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24226"/>
  <mc:AlternateContent xmlns:mc="http://schemas.openxmlformats.org/markup-compatibility/2006">
    <mc:Choice Requires="x15">
      <x15ac:absPath xmlns:x15ac="http://schemas.microsoft.com/office/spreadsheetml/2010/11/ac" url="\\wsl$\vrekon\home\vrekon\projekte\vrekon\notebooks\listen_fin\"/>
    </mc:Choice>
  </mc:AlternateContent>
  <bookViews>
    <workbookView xWindow="480" yWindow="120" windowWidth="18192" windowHeight="11568" tabRatio="704"/>
  </bookViews>
  <sheets>
    <sheet name="Basis" sheetId="1" r:id="rId1"/>
    <sheet name="Infos zu dieser Mappe" sheetId="2" r:id="rId2"/>
    <sheet name="Legende_Thomschke" sheetId="3" r:id="rId3"/>
    <sheet name="Datentransfer" sheetId="4" r:id="rId4"/>
    <sheet name="Legende" sheetId="5" r:id="rId5"/>
    <sheet name="Zusammenfassung" sheetId="6" r:id="rId6"/>
  </sheets>
  <calcPr calcId="162913"/>
  <fileRecoveryPr repairLoad="1"/>
</workbook>
</file>

<file path=xl/calcChain.xml><?xml version="1.0" encoding="utf-8"?>
<calcChain xmlns="http://schemas.openxmlformats.org/spreadsheetml/2006/main">
  <c r="C84" i="4" l="1"/>
  <c r="C83" i="4"/>
  <c r="C82" i="4"/>
  <c r="C81" i="4"/>
  <c r="C80" i="4"/>
  <c r="C79" i="4"/>
  <c r="D79" i="4" s="1"/>
  <c r="C78" i="4"/>
  <c r="C77" i="4"/>
  <c r="C76" i="4"/>
  <c r="C75" i="4"/>
  <c r="C74" i="4"/>
  <c r="C73" i="4"/>
  <c r="C72" i="4"/>
  <c r="C71" i="4"/>
  <c r="C70" i="4"/>
  <c r="C69" i="4"/>
  <c r="C68" i="4"/>
  <c r="C67" i="4"/>
  <c r="C66" i="4"/>
  <c r="C65" i="4"/>
  <c r="C64" i="4"/>
  <c r="C63" i="4"/>
  <c r="C62" i="4"/>
  <c r="C61" i="4"/>
  <c r="C60" i="4"/>
  <c r="C59" i="4"/>
  <c r="C58" i="4"/>
  <c r="C57" i="4"/>
  <c r="C56" i="4"/>
  <c r="C55" i="4"/>
  <c r="C54" i="4"/>
  <c r="C53" i="4"/>
  <c r="C52" i="4"/>
  <c r="C51" i="4"/>
  <c r="C49" i="4"/>
  <c r="C48" i="4"/>
  <c r="C47" i="4"/>
  <c r="C46" i="4"/>
  <c r="C44" i="4"/>
  <c r="C43" i="4"/>
  <c r="C42" i="4"/>
  <c r="C41" i="4"/>
  <c r="C40" i="4"/>
  <c r="C39" i="4"/>
  <c r="C38" i="4"/>
  <c r="C37" i="4"/>
  <c r="C36" i="4"/>
  <c r="C35" i="4"/>
  <c r="C34" i="4"/>
  <c r="C33" i="4"/>
  <c r="C32" i="4"/>
  <c r="C31" i="4"/>
  <c r="C30" i="4"/>
  <c r="C29" i="4"/>
  <c r="C28" i="4"/>
  <c r="C27" i="4"/>
  <c r="C25" i="4"/>
  <c r="C24" i="4"/>
  <c r="C23" i="4"/>
  <c r="C22" i="4"/>
  <c r="C21" i="4"/>
  <c r="C20" i="4"/>
  <c r="C19" i="4"/>
  <c r="C18" i="4"/>
  <c r="C17" i="4"/>
  <c r="C16" i="4"/>
  <c r="C15" i="4"/>
  <c r="C14" i="4"/>
  <c r="C13" i="4"/>
  <c r="C12" i="4"/>
  <c r="C11" i="4"/>
  <c r="C10" i="4"/>
  <c r="C9" i="4"/>
  <c r="C8" i="4"/>
  <c r="C7" i="4"/>
  <c r="C6" i="4"/>
  <c r="C5" i="4"/>
  <c r="C4" i="4"/>
  <c r="C3" i="4"/>
  <c r="C2" i="4"/>
  <c r="F278" i="1"/>
  <c r="F277" i="1"/>
  <c r="F276" i="1"/>
  <c r="F275" i="1"/>
  <c r="F274" i="1"/>
  <c r="F273" i="1"/>
  <c r="F272" i="1"/>
  <c r="F271" i="1"/>
  <c r="F270" i="1"/>
  <c r="F269" i="1"/>
  <c r="F268" i="1"/>
  <c r="F267" i="1"/>
  <c r="F266" i="1"/>
  <c r="F265" i="1"/>
  <c r="F264" i="1"/>
  <c r="F263" i="1"/>
  <c r="F262" i="1"/>
  <c r="F261" i="1"/>
  <c r="F260" i="1"/>
  <c r="F259" i="1"/>
  <c r="F258" i="1"/>
  <c r="F257" i="1"/>
  <c r="F256" i="1"/>
  <c r="F255" i="1"/>
  <c r="F254" i="1"/>
  <c r="F253" i="1"/>
  <c r="F252" i="1"/>
  <c r="F251" i="1"/>
  <c r="F250" i="1"/>
  <c r="F249" i="1"/>
  <c r="F248" i="1"/>
  <c r="F247" i="1"/>
  <c r="F246" i="1"/>
  <c r="F245" i="1"/>
  <c r="F244" i="1"/>
  <c r="F243" i="1"/>
  <c r="F242" i="1"/>
  <c r="F241" i="1"/>
  <c r="F240" i="1"/>
  <c r="F239" i="1"/>
  <c r="F238" i="1"/>
  <c r="F237" i="1"/>
  <c r="F236" i="1"/>
  <c r="F235" i="1"/>
  <c r="F234" i="1"/>
  <c r="F233" i="1"/>
  <c r="F232" i="1"/>
  <c r="F231" i="1"/>
  <c r="F230" i="1"/>
  <c r="F229" i="1"/>
  <c r="F228" i="1"/>
  <c r="F227" i="1"/>
  <c r="F226" i="1"/>
  <c r="F225" i="1"/>
  <c r="F224" i="1"/>
  <c r="F223" i="1"/>
  <c r="F222" i="1"/>
  <c r="F221" i="1"/>
  <c r="F220" i="1"/>
  <c r="F219" i="1"/>
  <c r="F218" i="1"/>
  <c r="F217" i="1"/>
  <c r="F216" i="1"/>
  <c r="F215" i="1"/>
  <c r="F214" i="1"/>
  <c r="F213" i="1"/>
  <c r="F212" i="1"/>
  <c r="F211" i="1"/>
  <c r="F210" i="1"/>
  <c r="F209" i="1"/>
  <c r="F208" i="1"/>
  <c r="F207" i="1"/>
  <c r="F206" i="1"/>
  <c r="F205" i="1"/>
  <c r="F204" i="1"/>
  <c r="F203" i="1"/>
  <c r="F202" i="1"/>
  <c r="F201" i="1"/>
  <c r="F200" i="1"/>
  <c r="F199" i="1"/>
  <c r="F198" i="1"/>
  <c r="F197" i="1"/>
  <c r="F196" i="1"/>
  <c r="F195" i="1"/>
  <c r="F194" i="1"/>
  <c r="F193" i="1"/>
  <c r="F192" i="1"/>
  <c r="F191" i="1"/>
  <c r="F190" i="1"/>
  <c r="F189" i="1"/>
  <c r="F188" i="1"/>
  <c r="F187" i="1"/>
  <c r="F186" i="1"/>
  <c r="F185" i="1"/>
  <c r="F184" i="1"/>
  <c r="F183" i="1"/>
  <c r="F182" i="1"/>
  <c r="F181" i="1"/>
  <c r="F180" i="1"/>
  <c r="F179" i="1"/>
  <c r="F178" i="1"/>
  <c r="F177" i="1"/>
  <c r="F176" i="1"/>
  <c r="F175" i="1"/>
  <c r="F174" i="1"/>
  <c r="F173" i="1"/>
  <c r="F172" i="1"/>
  <c r="F171" i="1"/>
  <c r="F170" i="1"/>
  <c r="F169" i="1"/>
  <c r="F168" i="1"/>
  <c r="F167" i="1"/>
  <c r="F166" i="1"/>
  <c r="F165" i="1"/>
  <c r="F164" i="1"/>
  <c r="F163" i="1"/>
  <c r="F162" i="1"/>
  <c r="F161" i="1"/>
  <c r="F160" i="1"/>
  <c r="F159" i="1"/>
  <c r="F158" i="1"/>
  <c r="F157" i="1"/>
  <c r="F156" i="1"/>
  <c r="F155" i="1"/>
  <c r="F154" i="1"/>
  <c r="F153" i="1"/>
  <c r="F152" i="1"/>
  <c r="F151" i="1"/>
  <c r="F150" i="1"/>
  <c r="F149" i="1"/>
  <c r="F148" i="1"/>
  <c r="F147" i="1"/>
  <c r="F146" i="1"/>
  <c r="F145" i="1"/>
  <c r="F144" i="1"/>
  <c r="F143" i="1"/>
  <c r="F142" i="1"/>
  <c r="F141" i="1"/>
  <c r="F140" i="1"/>
  <c r="F139" i="1"/>
  <c r="F138" i="1"/>
  <c r="F137" i="1"/>
  <c r="F136" i="1"/>
  <c r="F135" i="1"/>
  <c r="F134" i="1"/>
  <c r="F133" i="1"/>
  <c r="F132" i="1"/>
  <c r="F131" i="1"/>
  <c r="F130" i="1"/>
  <c r="F129" i="1"/>
  <c r="F128" i="1"/>
  <c r="F127" i="1"/>
  <c r="F126" i="1"/>
  <c r="F125" i="1"/>
  <c r="F124" i="1"/>
  <c r="F123" i="1"/>
  <c r="F122" i="1"/>
  <c r="F121" i="1"/>
  <c r="F120" i="1"/>
  <c r="F119" i="1"/>
  <c r="F118" i="1"/>
  <c r="F117" i="1"/>
  <c r="F116" i="1"/>
  <c r="F115" i="1"/>
  <c r="F114" i="1"/>
  <c r="F113" i="1"/>
  <c r="F112" i="1"/>
  <c r="F111" i="1"/>
  <c r="F110" i="1"/>
  <c r="F109" i="1"/>
  <c r="F108" i="1"/>
  <c r="F107" i="1"/>
  <c r="F106" i="1"/>
  <c r="F105" i="1"/>
  <c r="F104" i="1"/>
  <c r="F103" i="1"/>
  <c r="F102" i="1"/>
  <c r="F101" i="1"/>
  <c r="F100" i="1"/>
  <c r="F99" i="1"/>
  <c r="F98" i="1"/>
  <c r="F97" i="1"/>
  <c r="F96" i="1"/>
  <c r="F95" i="1"/>
  <c r="F94" i="1"/>
  <c r="F93" i="1"/>
  <c r="F92" i="1"/>
  <c r="F91" i="1"/>
  <c r="F90" i="1"/>
  <c r="F89" i="1"/>
  <c r="F88" i="1"/>
  <c r="F87" i="1"/>
  <c r="F86" i="1"/>
  <c r="F85" i="1"/>
  <c r="F84" i="1"/>
  <c r="F83" i="1"/>
  <c r="F82" i="1"/>
  <c r="F81" i="1"/>
  <c r="F80" i="1"/>
  <c r="F79" i="1"/>
  <c r="F78" i="1"/>
  <c r="F77" i="1"/>
  <c r="F76" i="1"/>
  <c r="F75" i="1"/>
  <c r="F74" i="1"/>
  <c r="F73" i="1"/>
  <c r="F72" i="1"/>
  <c r="F71" i="1"/>
  <c r="F70" i="1"/>
  <c r="F69" i="1"/>
  <c r="F68" i="1"/>
  <c r="F67" i="1"/>
  <c r="F66" i="1"/>
  <c r="F65" i="1"/>
  <c r="F64" i="1"/>
  <c r="F63" i="1"/>
  <c r="F62" i="1"/>
  <c r="F61" i="1"/>
  <c r="F60" i="1"/>
  <c r="F59" i="1"/>
  <c r="F58" i="1"/>
  <c r="F57" i="1"/>
  <c r="F56" i="1"/>
  <c r="F55" i="1"/>
  <c r="F54" i="1"/>
  <c r="F53" i="1"/>
  <c r="F52" i="1"/>
  <c r="F51" i="1"/>
  <c r="F50" i="1"/>
  <c r="F49" i="1"/>
  <c r="F48" i="1"/>
  <c r="F47" i="1"/>
  <c r="F46" i="1"/>
  <c r="F45" i="1"/>
  <c r="F44" i="1"/>
  <c r="F43" i="1"/>
  <c r="F42" i="1"/>
  <c r="F41" i="1"/>
  <c r="F40" i="1"/>
  <c r="F39" i="1"/>
  <c r="F38" i="1"/>
  <c r="F37" i="1"/>
  <c r="F36" i="1"/>
  <c r="F35" i="1"/>
  <c r="F34" i="1"/>
  <c r="F33" i="1"/>
  <c r="F32" i="1"/>
  <c r="F31" i="1"/>
  <c r="F30" i="1"/>
  <c r="F29" i="1"/>
  <c r="F28" i="1"/>
  <c r="F27" i="1"/>
  <c r="F26" i="1"/>
  <c r="F25" i="1"/>
  <c r="F24" i="1"/>
  <c r="F23" i="1"/>
  <c r="F22" i="1"/>
  <c r="F21" i="1"/>
  <c r="F20" i="1"/>
  <c r="F19" i="1"/>
  <c r="F18" i="1"/>
  <c r="F17" i="1"/>
  <c r="F16" i="1"/>
  <c r="F15" i="1"/>
  <c r="F14" i="1"/>
  <c r="F13" i="1"/>
  <c r="F12" i="1"/>
  <c r="F11" i="1"/>
  <c r="F10" i="1"/>
  <c r="F9" i="1"/>
  <c r="F8" i="1"/>
  <c r="F7" i="1"/>
  <c r="F6" i="1"/>
  <c r="F5" i="1"/>
  <c r="F4" i="1"/>
  <c r="F3" i="1"/>
  <c r="F2" i="1"/>
</calcChain>
</file>

<file path=xl/comments1.xml><?xml version="1.0" encoding="utf-8"?>
<comments xmlns="http://schemas.openxmlformats.org/spreadsheetml/2006/main">
  <authors>
    <author>Thomschke, Friedrun</author>
  </authors>
  <commentList>
    <comment ref="A2" authorId="0" shapeId="0">
      <text>
        <r>
          <rPr>
            <sz val="9"/>
            <color theme="1"/>
            <rFont val="Verdana"/>
            <family val="2"/>
          </rPr>
          <t>Thomschke, Friedrun:
alle Signaturen, inkl. der angebundenen Werke und der ggf. noch nicht geprüften Bücher</t>
        </r>
      </text>
    </comment>
    <comment ref="A3" authorId="0" shapeId="0">
      <text>
        <r>
          <rPr>
            <sz val="9"/>
            <color theme="1"/>
            <rFont val="Verdana"/>
            <family val="2"/>
          </rPr>
          <t>Thomschke, Friedrun:
Anzahl der tatsächlichen Bücher, Achtung: berücksichtigt sind nur die Bücher, die angeschaut wurden und für die somit ein Format angegeben wurde!! (daher ggf. große Differenz zur Gesamtanzahl der Signaturen oder auch zur Anzahl der geprüften Bücher durch F. Thomschke, denn hier zählen auch die Bücher mit, die vor der Bearbeitung von F. Thomschke erfasst wurden)</t>
        </r>
      </text>
    </comment>
    <comment ref="C3" authorId="0" shapeId="0">
      <text>
        <r>
          <rPr>
            <sz val="9"/>
            <color theme="1"/>
            <rFont val="Verdana"/>
            <family val="2"/>
          </rPr>
          <t>Thomschke, Friedrun:
plus 186 Fragmente</t>
        </r>
      </text>
    </comment>
    <comment ref="D79" authorId="0" shapeId="0">
      <text>
        <r>
          <rPr>
            <sz val="9"/>
            <color theme="1"/>
            <rFont val="Verdana"/>
            <family val="2"/>
          </rPr>
          <t>Thomschke, Friedrun:
Gesamtsumme Umschläge minus säurehaltige Umschläge (die werden von uns entfernt)</t>
        </r>
      </text>
    </comment>
    <comment ref="C82" authorId="0" shapeId="0">
      <text>
        <r>
          <rPr>
            <sz val="9"/>
            <color theme="1"/>
            <rFont val="Verdana"/>
            <family val="2"/>
          </rPr>
          <t>Thomschke, Friedrun:
inklusives eines separaten Einbandes</t>
        </r>
      </text>
    </comment>
  </commentList>
</comments>
</file>

<file path=xl/sharedStrings.xml><?xml version="1.0" encoding="utf-8"?>
<sst xmlns="http://schemas.openxmlformats.org/spreadsheetml/2006/main" count="4106" uniqueCount="1532">
  <si>
    <t>Gruppe</t>
  </si>
  <si>
    <t>digi</t>
  </si>
  <si>
    <t>Restaurierung</t>
  </si>
  <si>
    <t>Whitelist</t>
  </si>
  <si>
    <t>Lfd Nr.</t>
  </si>
  <si>
    <t>Link zum Portal</t>
  </si>
  <si>
    <t>bbg</t>
  </si>
  <si>
    <t>AKZ</t>
  </si>
  <si>
    <t>IDN</t>
  </si>
  <si>
    <t>signatur_g</t>
  </si>
  <si>
    <t>signatur_a</t>
  </si>
  <si>
    <t>Signatur</t>
  </si>
  <si>
    <t>steht bei
/ Anm.
zur
Signatur</t>
  </si>
  <si>
    <t>titel</t>
  </si>
  <si>
    <t>stuecktitel</t>
  </si>
  <si>
    <t>Provenienzmerkmal</t>
  </si>
  <si>
    <t>wert</t>
  </si>
  <si>
    <t>Material</t>
  </si>
  <si>
    <t>Format</t>
  </si>
  <si>
    <t>Öffnungswinkel</t>
  </si>
  <si>
    <t>Einschränkungen</t>
  </si>
  <si>
    <t xml:space="preserve">Glasplatte </t>
  </si>
  <si>
    <t>Verpackung</t>
  </si>
  <si>
    <t xml:space="preserve">Verpackung austauschen </t>
  </si>
  <si>
    <t>Schadensklasse</t>
  </si>
  <si>
    <t>notwendige Reparatur(en) vor der Digitalisierung, notwendige Reparatur(en) vor der Digitalisierung</t>
  </si>
  <si>
    <t>Bemerkungen</t>
  </si>
  <si>
    <t>Fragen/ Hinweise
an DBSM</t>
  </si>
  <si>
    <t>Fragen an M. Steinberg</t>
  </si>
  <si>
    <t>nicht
am Stand-ort</t>
  </si>
  <si>
    <t>Größe ÜF
(BxH)</t>
  </si>
  <si>
    <t>Breite
(nur Ausreißer)</t>
  </si>
  <si>
    <t>Dicke
(&gt;12 cm)</t>
  </si>
  <si>
    <t>12° Format
(&lt;15 cm)</t>
  </si>
  <si>
    <t>Einband-
art</t>
  </si>
  <si>
    <t>Einband-
art Kommentar</t>
  </si>
  <si>
    <t>Einband über-
formt (ganz od. teilweise)</t>
  </si>
  <si>
    <t>Buch bereits restau-riert</t>
  </si>
  <si>
    <t>hohler/
fester Rücken (mit Einlage/
Vergoldung?)</t>
  </si>
  <si>
    <t>Steh-
kanten
(bei Perg.)</t>
  </si>
  <si>
    <t>Leder pudert ab/roter Zerfall (extrem)</t>
  </si>
  <si>
    <t>Einband stark defor-miert</t>
  </si>
  <si>
    <t>Be-schläge bes. auftra-gend</t>
  </si>
  <si>
    <t>Buch-schließe steif</t>
  </si>
  <si>
    <t>Buch-block Pa./Perg.</t>
  </si>
  <si>
    <t>saures Füll-material</t>
  </si>
  <si>
    <t>Register-marken</t>
  </si>
  <si>
    <t>seitliche Heftung</t>
  </si>
  <si>
    <t>Buch-block sehr wellig</t>
  </si>
  <si>
    <t>Buch-block neigt zum "Bauch"</t>
  </si>
  <si>
    <t>ge-schloss-ene Lagen</t>
  </si>
  <si>
    <t>Falttafeln</t>
  </si>
  <si>
    <t>Größe Buch+
Falttafeln (BxH)</t>
  </si>
  <si>
    <t>Original-grafik</t>
  </si>
  <si>
    <t>Kolorier-ung / Buch-malerei / Initialen / Rubri-kation</t>
  </si>
  <si>
    <t>berühr-ungsfreie Digit.</t>
  </si>
  <si>
    <t>Schrift weit bis in den Falz (Bund-steg in mm) Text-verlust</t>
  </si>
  <si>
    <t>nicht digitali-sierbar wegen Bund-steg (vorraus-sichtlich)</t>
  </si>
  <si>
    <t>max. Öffnungs-winkel</t>
  </si>
  <si>
    <t>max. Öffnungs-winkel Kommentar</t>
  </si>
  <si>
    <t>Digit. mit Begleit-ung</t>
  </si>
  <si>
    <t>Digit. mit Begleit-ung Kommentar</t>
  </si>
  <si>
    <t>Rest.-Bericht einge-klebt</t>
  </si>
  <si>
    <t xml:space="preserve">Blatt mit Notizen zum Buch eingeklebt </t>
  </si>
  <si>
    <t>Rest.
not-wendig (ja/nein) (vor/nach der Digit.)</t>
  </si>
  <si>
    <t>Rest.-
Aufwand gesamt
(in Std.)</t>
  </si>
  <si>
    <t>Rest.
erfolgt</t>
  </si>
  <si>
    <t>Kassette</t>
  </si>
  <si>
    <t>Schuber</t>
  </si>
  <si>
    <t>Buch-schuh</t>
  </si>
  <si>
    <t xml:space="preserve">Mappe </t>
  </si>
  <si>
    <t>Um-schlag</t>
  </si>
  <si>
    <t>SB neu</t>
  </si>
  <si>
    <t>Anmerkungen (allg.)</t>
  </si>
  <si>
    <t>für Testphase
vorsehen</t>
  </si>
  <si>
    <t>für Testphase
vorsehen Kommentar</t>
  </si>
  <si>
    <t>Schutzbehältnis empfohlen</t>
  </si>
  <si>
    <t>Foto für Erheb. Rest. angefertigt (ab August)</t>
  </si>
  <si>
    <t>feuchte-empfind-liches Leder</t>
  </si>
  <si>
    <t>Material am Rücken/
Einband lose / eingeris-sen (auch Titelschild)</t>
  </si>
  <si>
    <t>Narben spaltet sich ab</t>
  </si>
  <si>
    <t>Gelenk(e) 
an/durch-gebro-chen</t>
  </si>
  <si>
    <t>Bünde gebro-chen (Anzahl)</t>
  </si>
  <si>
    <t>Rücken lose/
halb lose</t>
  </si>
  <si>
    <t>Be-schläge locker</t>
  </si>
  <si>
    <t>Buch
schließe fragil</t>
  </si>
  <si>
    <t>Deckel spaltet sich / Fehlstelle im Deckel</t>
  </si>
  <si>
    <t>Deckel gebro-chen</t>
  </si>
  <si>
    <t>Deckel lose / halb lose</t>
  </si>
  <si>
    <t>Kapital fragil/
lose</t>
  </si>
  <si>
    <t>Rest.-Aufwand Einband 
(in Std.)</t>
  </si>
  <si>
    <t>Anmerkungen für die Restaurierung am Einband</t>
  </si>
  <si>
    <t>Ver-schmutz-ung (Vorsatz / Ränder /
ges. BB)</t>
  </si>
  <si>
    <t>mikro-bieller Befall</t>
  </si>
  <si>
    <t>Farb-schicht pudert</t>
  </si>
  <si>
    <t>Buch-block / Seiten verblockt</t>
  </si>
  <si>
    <t>erste / letzte Lage oder Seiten lose</t>
  </si>
  <si>
    <t>(halb-) lose Seiten im BB</t>
  </si>
  <si>
    <t>Heftung zerstört</t>
  </si>
  <si>
    <t>Risse / Fehl-stellen im Vorsatz</t>
  </si>
  <si>
    <t>Risse im Text-bereich / an exponier-ter Stelle (z.B. Ecke)</t>
  </si>
  <si>
    <t>Risse am Rand</t>
  </si>
  <si>
    <t xml:space="preserve">Fehl-stellen im BB
(groß) </t>
  </si>
  <si>
    <t>Insekten-fraß (stark)</t>
  </si>
  <si>
    <t>Falten / Knicke</t>
  </si>
  <si>
    <t>saures /
brüchiges Papier</t>
  </si>
  <si>
    <t>Tinten-/ Farbfraß (akut)</t>
  </si>
  <si>
    <t>Register-marken fragil</t>
  </si>
  <si>
    <t>Klebe-
streifen ablösen</t>
  </si>
  <si>
    <t>Rest.-Aufwand Buchblock
(in Std.)</t>
  </si>
  <si>
    <t>Anmerkungen für die Restaurierung am Buchblock</t>
  </si>
  <si>
    <t>Bö Ink</t>
  </si>
  <si>
    <t>Aa</t>
  </si>
  <si>
    <t>L-1495-327139064</t>
  </si>
  <si>
    <t>1072233045</t>
  </si>
  <si>
    <t>Bö Ink 1</t>
  </si>
  <si>
    <t>Bö Ink 1</t>
  </si>
  <si>
    <t xml:space="preserve">Ars minor : </t>
  </si>
  <si>
    <t xml:space="preserve"> : </t>
  </si>
  <si>
    <t>X</t>
  </si>
  <si>
    <t>Broschur</t>
  </si>
  <si>
    <t>bis 25 cm</t>
  </si>
  <si>
    <t>80° bis 110°, einseitig digitalisierbar?</t>
  </si>
  <si>
    <t>Archivkarton</t>
  </si>
  <si>
    <t>Nein</t>
  </si>
  <si>
    <t>ausgebunden</t>
  </si>
  <si>
    <t>oE</t>
  </si>
  <si>
    <t>Pa</t>
  </si>
  <si>
    <t>nur 110</t>
  </si>
  <si>
    <t>n</t>
  </si>
  <si>
    <t>x</t>
  </si>
  <si>
    <t>Einband lose dabei stehend, beides in ein Schutzbehältnis?</t>
  </si>
  <si>
    <t>L-1488-315495324</t>
  </si>
  <si>
    <t>106696517X</t>
  </si>
  <si>
    <t>Bö Ink 2</t>
  </si>
  <si>
    <t>Bö Ink 2</t>
  </si>
  <si>
    <t xml:space="preserve">Flores astrologiae : </t>
  </si>
  <si>
    <t>Papier- oder Pappeinband</t>
  </si>
  <si>
    <t>hohler Rücken, erhabene Illuminationen</t>
  </si>
  <si>
    <t>nicht auflegen</t>
  </si>
  <si>
    <t>Signaturfahne austauschen</t>
  </si>
  <si>
    <t>h</t>
  </si>
  <si>
    <t>K</t>
  </si>
  <si>
    <t>Aaf</t>
  </si>
  <si>
    <t>L-1492-31550031X</t>
  </si>
  <si>
    <t>1066969973</t>
  </si>
  <si>
    <t>Bö Ink 3</t>
  </si>
  <si>
    <t>Bö Ink 3</t>
  </si>
  <si>
    <t xml:space="preserve">Poeniteas cito : </t>
  </si>
  <si>
    <t>Halbgewebeband</t>
  </si>
  <si>
    <t>180°</t>
  </si>
  <si>
    <t>erhabene Illuminationen</t>
  </si>
  <si>
    <t>HG</t>
  </si>
  <si>
    <t>f</t>
  </si>
  <si>
    <t>L-1498-32713948X</t>
  </si>
  <si>
    <t>1072233584</t>
  </si>
  <si>
    <t>Bö Ink 4</t>
  </si>
  <si>
    <t>Bö Ink 4</t>
  </si>
  <si>
    <t xml:space="preserve">Hymni. Expositio hymnorum : </t>
  </si>
  <si>
    <t>hohler Rücken, welliger Buchblock</t>
  </si>
  <si>
    <t>L-1478-315500344</t>
  </si>
  <si>
    <t>1066970009</t>
  </si>
  <si>
    <t>Bö Ink 5</t>
  </si>
  <si>
    <t>Bö Ink 5</t>
  </si>
  <si>
    <t xml:space="preserve">Sphaera mundi : </t>
  </si>
  <si>
    <t>Halbpergamentband</t>
  </si>
  <si>
    <t>HPg</t>
  </si>
  <si>
    <t>L-1483-315497890</t>
  </si>
  <si>
    <t>1066967644</t>
  </si>
  <si>
    <t>Bö Ink 6</t>
  </si>
  <si>
    <t>Bö Ink 6</t>
  </si>
  <si>
    <t xml:space="preserve">Cordiale quattuor novissimorum : </t>
  </si>
  <si>
    <t>hohler Rücken, welliger Buchblock, erhabene Illuminationen</t>
  </si>
  <si>
    <t>I/R</t>
  </si>
  <si>
    <t>Farbschicht pudert teilweise leicht</t>
  </si>
  <si>
    <t>L-1472-315495847</t>
  </si>
  <si>
    <t>1066965625</t>
  </si>
  <si>
    <t>Bö Ink 7</t>
  </si>
  <si>
    <t>Bö Ink 7</t>
  </si>
  <si>
    <t xml:space="preserve">Elegantiolae : </t>
  </si>
  <si>
    <t>erhabene Illuminationen, hohler Rücken</t>
  </si>
  <si>
    <t>L-1499-315501170</t>
  </si>
  <si>
    <t>1066970815</t>
  </si>
  <si>
    <t>Bö Ink 8</t>
  </si>
  <si>
    <t>Bö Ink 8</t>
  </si>
  <si>
    <t xml:space="preserve">Oratio continens dictiones, clausulas et elegantias oratorias : </t>
  </si>
  <si>
    <t>hohler Rücken</t>
  </si>
  <si>
    <t>L-1490-315502320</t>
  </si>
  <si>
    <t>1066971927</t>
  </si>
  <si>
    <t>Bö Ink 9</t>
  </si>
  <si>
    <t>Bö Ink 9</t>
  </si>
  <si>
    <t xml:space="preserve">Tabulae directionum et profectionum : </t>
  </si>
  <si>
    <t>Pergamentband</t>
  </si>
  <si>
    <t>Pg</t>
  </si>
  <si>
    <t>L-1499-31550126X</t>
  </si>
  <si>
    <t>1066970904</t>
  </si>
  <si>
    <t>Bö Ink 10</t>
  </si>
  <si>
    <t>Bö Ink 10</t>
  </si>
  <si>
    <t xml:space="preserve">Revelationes divinae a sanctis angelis factae : </t>
  </si>
  <si>
    <t>L-1498-315499281</t>
  </si>
  <si>
    <t>1066969019</t>
  </si>
  <si>
    <t>Bö Ink 11</t>
  </si>
  <si>
    <t>Bö Ink 11</t>
  </si>
  <si>
    <t xml:space="preserve">Oratio funebris in Fridericum Bavariae Ducem : </t>
  </si>
  <si>
    <t>L-1497-315327790</t>
  </si>
  <si>
    <t>1066869855</t>
  </si>
  <si>
    <t>Bö Ink 12</t>
  </si>
  <si>
    <t>Bö Ink 12</t>
  </si>
  <si>
    <t xml:space="preserve">Compendium totius logicae, sive Parvulus antiquorum : </t>
  </si>
  <si>
    <t xml:space="preserve">Papierumschlag </t>
  </si>
  <si>
    <t>Ja, Signaturfahne austauschen</t>
  </si>
  <si>
    <t>L-1467-31549588X</t>
  </si>
  <si>
    <t>106696565X</t>
  </si>
  <si>
    <t>Bö Ink 13</t>
  </si>
  <si>
    <t>Bö Ink 13</t>
  </si>
  <si>
    <t xml:space="preserve">De arte praedicandi [= De doctrina Christiana, liber 4] : </t>
  </si>
  <si>
    <t>bis 35 cm</t>
  </si>
  <si>
    <t>Ja</t>
  </si>
  <si>
    <t>x sauer</t>
  </si>
  <si>
    <t>L-1473-31549719X</t>
  </si>
  <si>
    <t>1066966893</t>
  </si>
  <si>
    <t>Bö Ink 15</t>
  </si>
  <si>
    <t>Bö Ink 15</t>
  </si>
  <si>
    <t xml:space="preserve">Breviloquium : </t>
  </si>
  <si>
    <t>gereinigt</t>
  </si>
  <si>
    <t>HPa</t>
  </si>
  <si>
    <t>I</t>
  </si>
  <si>
    <t>L-1491-327139668</t>
  </si>
  <si>
    <t>1072233924</t>
  </si>
  <si>
    <t>Bö Ink 16</t>
  </si>
  <si>
    <t>Bö Ink 16</t>
  </si>
  <si>
    <t xml:space="preserve">Le @songe du vergier : </t>
  </si>
  <si>
    <t>Ledereinband</t>
  </si>
  <si>
    <t>erhabene Illuminationen, fester Rücken mit Schmuckprägung</t>
  </si>
  <si>
    <t>lose Seiten befestigen</t>
  </si>
  <si>
    <t>L</t>
  </si>
  <si>
    <t>f/V</t>
  </si>
  <si>
    <t>ja vor</t>
  </si>
  <si>
    <t>L-1499-315502746</t>
  </si>
  <si>
    <t>1066972303</t>
  </si>
  <si>
    <t>Bö Ink 17 - 1</t>
  </si>
  <si>
    <t>Bö Ink 17 - 1</t>
  </si>
  <si>
    <t xml:space="preserve">Suda : </t>
  </si>
  <si>
    <t>fester Rücken mit Schmuckprägung, welliger Buchblock</t>
  </si>
  <si>
    <t>L-1499-315502754</t>
  </si>
  <si>
    <t>Bö Ink 17 - 2</t>
  </si>
  <si>
    <t>Bö Ink 17 - 2</t>
  </si>
  <si>
    <t>L-1476-315503459</t>
  </si>
  <si>
    <t>1066973067</t>
  </si>
  <si>
    <t>Bö Ink 18</t>
  </si>
  <si>
    <t>Bö Ink 18</t>
  </si>
  <si>
    <t xml:space="preserve">Speculum morale : </t>
  </si>
  <si>
    <t>bis 42 cm</t>
  </si>
  <si>
    <t>HD</t>
  </si>
  <si>
    <t>Rückenschaden für Digitalisierung nicht relevant</t>
  </si>
  <si>
    <t>L-1486-315501553</t>
  </si>
  <si>
    <t>1066971188</t>
  </si>
  <si>
    <t>Bö Ink 19</t>
  </si>
  <si>
    <t>Bö Ink 19</t>
  </si>
  <si>
    <t xml:space="preserve">De sacramentis : </t>
  </si>
  <si>
    <t>Ledereinband, Schließen, erhabene Buchbeschläge</t>
  </si>
  <si>
    <t>erhabene Illuminationen, welliger Buchblock</t>
  </si>
  <si>
    <t>max 110</t>
  </si>
  <si>
    <t>Gewebe</t>
  </si>
  <si>
    <t>110  ist grenzwertig, andere Technik weg. Schließe nicht möglich</t>
  </si>
  <si>
    <t>L-1491-315500662</t>
  </si>
  <si>
    <t>1066970327</t>
  </si>
  <si>
    <t>Bö Ink 21</t>
  </si>
  <si>
    <t>Bö Ink 21</t>
  </si>
  <si>
    <t>Quaestiones super libros Ethicorum Aristotelis : cum textu</t>
  </si>
  <si>
    <t>fester Rücken mit Schmuckprägung, erhabene Illuminationen</t>
  </si>
  <si>
    <t>ist bereits vollrestauriert</t>
  </si>
  <si>
    <t>L-1492-315495766</t>
  </si>
  <si>
    <t>1066965536</t>
  </si>
  <si>
    <t>Bö Ink 22</t>
  </si>
  <si>
    <t xml:space="preserve">Politica : </t>
  </si>
  <si>
    <t>L-1491-315493224</t>
  </si>
  <si>
    <t>1066962952</t>
  </si>
  <si>
    <t>Bö Ink 23</t>
  </si>
  <si>
    <t>Bö Ink 23 (angebunden)</t>
  </si>
  <si>
    <t xml:space="preserve">Oeconomica : </t>
  </si>
  <si>
    <t>L-1491-315500182</t>
  </si>
  <si>
    <t>1066969841</t>
  </si>
  <si>
    <t>Bö Ink 24</t>
  </si>
  <si>
    <t>Bö Ink 24</t>
  </si>
  <si>
    <t xml:space="preserve">Novella super VI. Decretalium : </t>
  </si>
  <si>
    <t>&gt; 42 cm</t>
  </si>
  <si>
    <t>erhabene Illuminationen, welliger Buchblock, stark brüchiges Einbandmaterial</t>
  </si>
  <si>
    <t>Holzdeckel</t>
  </si>
  <si>
    <t>max 80</t>
  </si>
  <si>
    <t>v/h</t>
  </si>
  <si>
    <t>Bünde verlängern, Gelenk mit JP-Gewebe-Laminat schließen, Ecken pasten</t>
  </si>
  <si>
    <t>Gelenke innen ggf. offen lassen</t>
  </si>
  <si>
    <t>L-1497-315499915</t>
  </si>
  <si>
    <t>1066969590</t>
  </si>
  <si>
    <t>Bö Ink 25</t>
  </si>
  <si>
    <t>Bö Ink 25</t>
  </si>
  <si>
    <t xml:space="preserve">Epitome Historiarum Trogi Pompei : </t>
  </si>
  <si>
    <t>L-1488-315212640</t>
  </si>
  <si>
    <t>1066791759</t>
  </si>
  <si>
    <t>Bö Ink 26</t>
  </si>
  <si>
    <t>Bö Ink 26</t>
  </si>
  <si>
    <t xml:space="preserve">Casus longi super Institutis : </t>
  </si>
  <si>
    <t>L-1488-315496282</t>
  </si>
  <si>
    <t>1066965986</t>
  </si>
  <si>
    <t>Bö Ink 27</t>
  </si>
  <si>
    <t>Bö Ink 27</t>
  </si>
  <si>
    <t xml:space="preserve">Summa casuum conscientiae : </t>
  </si>
  <si>
    <t>Halbledereinband</t>
  </si>
  <si>
    <t>fester Rücken mit Schmuckprägung, welliger Buchblock, erhabene Illuminationen</t>
  </si>
  <si>
    <t>hinterer Holzdeckel gebrochen</t>
  </si>
  <si>
    <t>Kasten aus Gewebe mit Stülpdeckel, Kasten ist schlecht zum Rausnehmen, v.a. bei dem Schaden und zu knapp in der Höhe</t>
  </si>
  <si>
    <t>RD</t>
  </si>
  <si>
    <t>L-1490-315495170</t>
  </si>
  <si>
    <t>106696503X</t>
  </si>
  <si>
    <t>Bö Ink 28</t>
  </si>
  <si>
    <t>Bö Ink 28</t>
  </si>
  <si>
    <t xml:space="preserve">Parva naturalia : </t>
  </si>
  <si>
    <t>L-1494-315503696</t>
  </si>
  <si>
    <t>1066973326</t>
  </si>
  <si>
    <t>Bö Ink 29</t>
  </si>
  <si>
    <t>Bö Ink 29</t>
  </si>
  <si>
    <t xml:space="preserve">Aphorismi, sive Sententiae : </t>
  </si>
  <si>
    <t>L-1471-315500948</t>
  </si>
  <si>
    <t>1066970580</t>
  </si>
  <si>
    <t>Bö Ink 30</t>
  </si>
  <si>
    <t>Bö Ink 30</t>
  </si>
  <si>
    <t xml:space="preserve">Quadragesimale aureum : </t>
  </si>
  <si>
    <t>Nein, Signaturfahne austauschen</t>
  </si>
  <si>
    <t>ist vollrestauriert</t>
  </si>
  <si>
    <t>L-1491-315497653</t>
  </si>
  <si>
    <t>1066967407</t>
  </si>
  <si>
    <t>Bö Ink 31</t>
  </si>
  <si>
    <t>Bö Ink 31</t>
  </si>
  <si>
    <t xml:space="preserve">Expositio in Psalterium : </t>
  </si>
  <si>
    <t>L-1479-327139870</t>
  </si>
  <si>
    <t>1072234246</t>
  </si>
  <si>
    <t>Bö Ink 32</t>
  </si>
  <si>
    <t>Bö Ink 32</t>
  </si>
  <si>
    <t xml:space="preserve">Summa de vitiis : </t>
  </si>
  <si>
    <t>welliger Buchblock, fester Rücken mit Schmuckprägung, stark brüchiges Einbandmaterial</t>
  </si>
  <si>
    <t>Spitze Nägel im Einband, daher Verpackung angefertigt</t>
  </si>
  <si>
    <t>Wellpappe</t>
  </si>
  <si>
    <t>Schachtel ist zu groß</t>
  </si>
  <si>
    <t>L-1498-31550210X</t>
  </si>
  <si>
    <t>1066971714</t>
  </si>
  <si>
    <t>Bö Ink 33</t>
  </si>
  <si>
    <t>Bö Ink 33</t>
  </si>
  <si>
    <t xml:space="preserve">Opera : </t>
  </si>
  <si>
    <t>L-1501-315503645</t>
  </si>
  <si>
    <t>1066973253</t>
  </si>
  <si>
    <t>Bö Ink 34</t>
  </si>
  <si>
    <t>Bö Ink 34</t>
  </si>
  <si>
    <t>L-1493-315497386</t>
  </si>
  <si>
    <t>1066967121</t>
  </si>
  <si>
    <t>Bö Ink 35</t>
  </si>
  <si>
    <t>Bö Ink 35</t>
  </si>
  <si>
    <t xml:space="preserve">Recuperationes Faesulanae : </t>
  </si>
  <si>
    <t>fester Rücken mit Schmuckprägung</t>
  </si>
  <si>
    <t>max 60</t>
  </si>
  <si>
    <t>L-1483-315498366</t>
  </si>
  <si>
    <t>1066968098</t>
  </si>
  <si>
    <t>Bö Ink 36</t>
  </si>
  <si>
    <t>Bö Ink 36</t>
  </si>
  <si>
    <t xml:space="preserve">Chronicon : </t>
  </si>
  <si>
    <t>Pergamentband, Schließen, erhabene Buchbeschläge</t>
  </si>
  <si>
    <t>hohler Rücken, Einband mit Schutz- oder Stoßkanten</t>
  </si>
  <si>
    <t>ist vollrest.</t>
  </si>
  <si>
    <t>L-1498-315498935</t>
  </si>
  <si>
    <t>1066968691</t>
  </si>
  <si>
    <t>Bö Ink 37</t>
  </si>
  <si>
    <t>Bö Ink 37</t>
  </si>
  <si>
    <t xml:space="preserve">Moralia sive Expositio in Job : </t>
  </si>
  <si>
    <t>Schrift bis in den Falz</t>
  </si>
  <si>
    <t>ist vollrest. und sehr steif im Rücken</t>
  </si>
  <si>
    <t>L-1500-327140046</t>
  </si>
  <si>
    <t>1072234556</t>
  </si>
  <si>
    <t>Bö Ink 38</t>
  </si>
  <si>
    <t>Bö Ink 38</t>
  </si>
  <si>
    <t xml:space="preserve">Opuscula varia : </t>
  </si>
  <si>
    <t>Pg (Mak.)</t>
  </si>
  <si>
    <t>L-1486-327140232</t>
  </si>
  <si>
    <t>1072234912</t>
  </si>
  <si>
    <t>Bö Ink 39</t>
  </si>
  <si>
    <t>Bö Ink 39</t>
  </si>
  <si>
    <t xml:space="preserve">Quaestiones de duodecim quodlibet : </t>
  </si>
  <si>
    <t>L-1480-31550319X</t>
  </si>
  <si>
    <t>1066972796</t>
  </si>
  <si>
    <t>Bö Ink 40</t>
  </si>
  <si>
    <t>Bö Ink 40</t>
  </si>
  <si>
    <t xml:space="preserve">Tractatus brevis et utilis de statu canonissarum seu mulierum quae vulgariter appellantur canonicae : </t>
  </si>
  <si>
    <t>L-1499-31550272X</t>
  </si>
  <si>
    <t>106697229X</t>
  </si>
  <si>
    <t>Bö Ink 41</t>
  </si>
  <si>
    <t>Bö Ink 41</t>
  </si>
  <si>
    <t xml:space="preserve">Almanach nova in annos 1499-1531 : </t>
  </si>
  <si>
    <t>L-1472-327144874</t>
  </si>
  <si>
    <t>1072239671</t>
  </si>
  <si>
    <t>Bö Ink 42</t>
  </si>
  <si>
    <t>Bö Ink 42</t>
  </si>
  <si>
    <t xml:space="preserve">Pamphilus de amore : </t>
  </si>
  <si>
    <t>L-1476-315500921</t>
  </si>
  <si>
    <t>1066970564</t>
  </si>
  <si>
    <t>Bö Ink 43 - Fragm.</t>
  </si>
  <si>
    <t>Bö Ink 43 - Fragm.</t>
  </si>
  <si>
    <t xml:space="preserve">Lehre und Unterweisung wie ein junger Mensch sich in Ehrbarkeit und guten Sitten erhalten soll : </t>
  </si>
  <si>
    <t>L-1500-315497688</t>
  </si>
  <si>
    <t>1066967423</t>
  </si>
  <si>
    <t>Bö Ink 44</t>
  </si>
  <si>
    <t>Bö Ink 44</t>
  </si>
  <si>
    <t xml:space="preserve">Septenaria sodalitas litteraria Germaniae : </t>
  </si>
  <si>
    <t>L-1470-315501758</t>
  </si>
  <si>
    <t>1066971382</t>
  </si>
  <si>
    <t>Bö Ink 45</t>
  </si>
  <si>
    <t>Bö Ink 45</t>
  </si>
  <si>
    <t xml:space="preserve">Bulla 19. 4. 1470 Ineffabilis providentia de publicatione anni Jubilaei : </t>
  </si>
  <si>
    <t>L-1494-315496258</t>
  </si>
  <si>
    <t>1066965951</t>
  </si>
  <si>
    <t>Bö Ink 46</t>
  </si>
  <si>
    <t>Bö Ink 46</t>
  </si>
  <si>
    <t xml:space="preserve">Expositio mysteriorum missae : </t>
  </si>
  <si>
    <t>L-1496-315501707</t>
  </si>
  <si>
    <t>1066971331</t>
  </si>
  <si>
    <t>Bö Ink 47</t>
  </si>
  <si>
    <t>Bö Ink 47</t>
  </si>
  <si>
    <t xml:space="preserve">Heroides : </t>
  </si>
  <si>
    <t>L-1494-327145145</t>
  </si>
  <si>
    <t>107224005X</t>
  </si>
  <si>
    <t>Bö Ink 48</t>
  </si>
  <si>
    <t>Bö Ink 48</t>
  </si>
  <si>
    <t xml:space="preserve">Ars grammatica [etc.] : </t>
  </si>
  <si>
    <t>L-1481-315503149</t>
  </si>
  <si>
    <t>1066972737</t>
  </si>
  <si>
    <t>Bö Ink 49</t>
  </si>
  <si>
    <t>Bö Ink 49</t>
  </si>
  <si>
    <t xml:space="preserve">Super quarto libro Sententiarum : </t>
  </si>
  <si>
    <t>nur sehr geringer Öffnungswinkel</t>
  </si>
  <si>
    <t>ist vollrest., macht in der Mitte "Bauch" --&gt; geringere Öffnungswinkel günstiger für verzerrungsfreie Aufnahme?</t>
  </si>
  <si>
    <t>L-1488-315497130</t>
  </si>
  <si>
    <t>1066966834</t>
  </si>
  <si>
    <t>Bö Ink 50</t>
  </si>
  <si>
    <t>Bö Ink 50</t>
  </si>
  <si>
    <t>De consolatione philosophiae : P. 1-2</t>
  </si>
  <si>
    <t>hohler Rücken, erhabene Illuminationen, welliger Buchblock</t>
  </si>
  <si>
    <t>S. 96 herausgerissen</t>
  </si>
  <si>
    <t>max 180</t>
  </si>
  <si>
    <t>L-1484-31550269X</t>
  </si>
  <si>
    <t>1066972273</t>
  </si>
  <si>
    <t>Bö Ink 51</t>
  </si>
  <si>
    <t>Bö Ink 51</t>
  </si>
  <si>
    <t xml:space="preserve">Himmelstrasse : </t>
  </si>
  <si>
    <t>L-1487-31550188X</t>
  </si>
  <si>
    <t>1066971498</t>
  </si>
  <si>
    <t>Bö Ink 52</t>
  </si>
  <si>
    <t>Bö Ink 52</t>
  </si>
  <si>
    <t xml:space="preserve">Sermones thesauri novi de tempore : </t>
  </si>
  <si>
    <t>L-1487-315501871</t>
  </si>
  <si>
    <t>Bö Ink 53</t>
  </si>
  <si>
    <t>Bö Ink 53</t>
  </si>
  <si>
    <t>erhabene Illuminationen, stark brüchiges Einbandmaterial</t>
  </si>
  <si>
    <t>L-1493-315487941</t>
  </si>
  <si>
    <t>1066957290</t>
  </si>
  <si>
    <t>Bö Ink 55</t>
  </si>
  <si>
    <t>Bö Ink 55</t>
  </si>
  <si>
    <t xml:space="preserve">Liber chronicarum : </t>
  </si>
  <si>
    <t>360000,00 EUR</t>
  </si>
  <si>
    <t>erhabene Illuminationen, hohler Rücken, stark brüchiges Einbandmaterial</t>
  </si>
  <si>
    <t>h/E</t>
  </si>
  <si>
    <t>K/I/R</t>
  </si>
  <si>
    <t>xx</t>
  </si>
  <si>
    <t>Af</t>
  </si>
  <si>
    <t>L-1482-83478372X</t>
  </si>
  <si>
    <t>1269212222</t>
  </si>
  <si>
    <t>Bö Ink 56 - 1</t>
  </si>
  <si>
    <t>Bö Ink 56 -1</t>
  </si>
  <si>
    <t>Summa universae theologiae</t>
  </si>
  <si>
    <t xml:space="preserve">Pars 1 : </t>
  </si>
  <si>
    <t xml:space="preserve">x </t>
  </si>
  <si>
    <t>L-1481-834785714</t>
  </si>
  <si>
    <t>1269214047</t>
  </si>
  <si>
    <t>Bö Ink 56 - 2</t>
  </si>
  <si>
    <t>Bö Ink 56 -2</t>
  </si>
  <si>
    <t xml:space="preserve">Pars 2 : </t>
  </si>
  <si>
    <t>erhabene Illuminationen, Einband mit Schutz- oder Stoßkanten</t>
  </si>
  <si>
    <t>L-1495-327145609</t>
  </si>
  <si>
    <t>1072240653</t>
  </si>
  <si>
    <t>Bö Ink 57</t>
  </si>
  <si>
    <t>Bö Ink 57</t>
  </si>
  <si>
    <t xml:space="preserve">Expositio in primum librum Canonis Avicennae cum quaestionibus eiusdem : </t>
  </si>
  <si>
    <t>hohler Rücken, welliger Buchblock, Schrift bis in den Falz</t>
  </si>
  <si>
    <t>nur Ecke rechts oben, wo Gefährdung ist (Rest belassen)</t>
  </si>
  <si>
    <t>Acl</t>
  </si>
  <si>
    <t>L-1474-315498277</t>
  </si>
  <si>
    <t>1066968004</t>
  </si>
  <si>
    <t>Bö Ink 58</t>
  </si>
  <si>
    <t>Bö Ink 58 - 1</t>
  </si>
  <si>
    <t xml:space="preserve">Speculum iudiciale : </t>
  </si>
  <si>
    <t>Afl</t>
  </si>
  <si>
    <t>L-1474-848177959</t>
  </si>
  <si>
    <t>1272539504</t>
  </si>
  <si>
    <t>Bö Ink 58 - 1</t>
  </si>
  <si>
    <t>Speculum iudiciale</t>
  </si>
  <si>
    <t xml:space="preserve">1 : </t>
  </si>
  <si>
    <t>L-1474-848178033</t>
  </si>
  <si>
    <t>1272539555</t>
  </si>
  <si>
    <t>Bö Ink 58 - 2/3</t>
  </si>
  <si>
    <t xml:space="preserve">2/3 : </t>
  </si>
  <si>
    <t>L-1481-315502029</t>
  </si>
  <si>
    <t>1066971641</t>
  </si>
  <si>
    <t>Bö Ink 59</t>
  </si>
  <si>
    <t>Bö Ink 59</t>
  </si>
  <si>
    <t xml:space="preserve">Historia naturalis : </t>
  </si>
  <si>
    <t>L-1483-31549882X</t>
  </si>
  <si>
    <t>1066968578</t>
  </si>
  <si>
    <t>Bö Ink 60</t>
  </si>
  <si>
    <t>Bö Ink 60</t>
  </si>
  <si>
    <t xml:space="preserve">Decretum : </t>
  </si>
  <si>
    <t>erhabene Illuminationen, welliger Buchblock, fester Rücken mit Schmuckprägung</t>
  </si>
  <si>
    <t>L-1478-315502088</t>
  </si>
  <si>
    <t>1066971692</t>
  </si>
  <si>
    <t>Bö Ink 61</t>
  </si>
  <si>
    <t>Bö Ink 61</t>
  </si>
  <si>
    <t xml:space="preserve">Vitae illustrium virorum : </t>
  </si>
  <si>
    <t>x 110</t>
  </si>
  <si>
    <t>L-1483-315499753</t>
  </si>
  <si>
    <t>1066969434</t>
  </si>
  <si>
    <t>Bö Ink 62</t>
  </si>
  <si>
    <t>Bö Ink 62</t>
  </si>
  <si>
    <t xml:space="preserve">Postillae de tempore et sermones : </t>
  </si>
  <si>
    <t>fester Rücken mit Schmuckprägung, welliger Buchblock, erhabene Illuminationen, stark brüchiges Einbandmaterial</t>
  </si>
  <si>
    <t>HL</t>
  </si>
  <si>
    <t>alter Schimmelschaden, hält sich in Grenzen, sollte keine Gefahr davon ausgehen</t>
  </si>
  <si>
    <t>L-1474-315498617</t>
  </si>
  <si>
    <t>1066968365</t>
  </si>
  <si>
    <t>Bö Ink 63</t>
  </si>
  <si>
    <t>Bö Ink 63</t>
  </si>
  <si>
    <t xml:space="preserve">In librum de homine Martii Galeotti opus : </t>
  </si>
  <si>
    <t>Aal</t>
  </si>
  <si>
    <t>L-1487-292765975</t>
  </si>
  <si>
    <t>1052249787</t>
  </si>
  <si>
    <t>Bö Ink 64</t>
  </si>
  <si>
    <t>Bö Ink 64 - 2</t>
  </si>
  <si>
    <t xml:space="preserve">Biblia, dt. : </t>
  </si>
  <si>
    <t>B/I</t>
  </si>
  <si>
    <t>L-1473-315495790</t>
  </si>
  <si>
    <t>1066965579</t>
  </si>
  <si>
    <t>Bö Ink 65</t>
  </si>
  <si>
    <t>Bö Ink 65</t>
  </si>
  <si>
    <t xml:space="preserve">Ars et modus contemplativae vitae : </t>
  </si>
  <si>
    <t>L-1476-315500913</t>
  </si>
  <si>
    <t>1066970556</t>
  </si>
  <si>
    <t>Bö Ink 66</t>
  </si>
  <si>
    <t>Bö Ink 66</t>
  </si>
  <si>
    <t xml:space="preserve">Sophologium : </t>
  </si>
  <si>
    <t>L-1484-315501359</t>
  </si>
  <si>
    <t>1066970998</t>
  </si>
  <si>
    <t>Bö Ink 67</t>
  </si>
  <si>
    <t>Bö Ink 67</t>
  </si>
  <si>
    <t xml:space="preserve">Modus legendi abbreviaturas [u.a.] : </t>
  </si>
  <si>
    <t>R</t>
  </si>
  <si>
    <t>L-1491-315501960</t>
  </si>
  <si>
    <t>1066971595</t>
  </si>
  <si>
    <t>Bö Ink 68</t>
  </si>
  <si>
    <t>Bö Ink 68</t>
  </si>
  <si>
    <t xml:space="preserve">Orationes cum quibusdam aliis eiusdem operibus : </t>
  </si>
  <si>
    <t>L-1488-315501413</t>
  </si>
  <si>
    <t>1066971056</t>
  </si>
  <si>
    <t>Bö Ink 69</t>
  </si>
  <si>
    <t>Bö Ink 69</t>
  </si>
  <si>
    <t xml:space="preserve">Supplementum Summae Pisanellae et Canones poenitentiales fratris Astensis : </t>
  </si>
  <si>
    <t>fester Rücken mit Schmuckprägung, stark brüchiges Einbandmaterial, erhabene Illuminationen</t>
  </si>
  <si>
    <t>Umschlag</t>
  </si>
  <si>
    <t>x 45</t>
  </si>
  <si>
    <t>Umschlag (pudert)</t>
  </si>
  <si>
    <t>Rücken sichern, Umschlag anfertigen</t>
  </si>
  <si>
    <t>L-1472-315501642</t>
  </si>
  <si>
    <t>1066971277</t>
  </si>
  <si>
    <t>Bö Ink 70</t>
  </si>
  <si>
    <t>Bö Ink 70</t>
  </si>
  <si>
    <t xml:space="preserve">Die @vierundzwanzig goldenen Harfen : </t>
  </si>
  <si>
    <t>L-1497-315498439</t>
  </si>
  <si>
    <t>1066968160</t>
  </si>
  <si>
    <t>Bö Ink 71</t>
  </si>
  <si>
    <t>Bö Ink 71</t>
  </si>
  <si>
    <t xml:space="preserve">Epistolae : </t>
  </si>
  <si>
    <t>L-1494-327146052</t>
  </si>
  <si>
    <t>1072241498</t>
  </si>
  <si>
    <t>Bö Ink 72 - Fragm.</t>
  </si>
  <si>
    <t>Bö Ink 72 - Fragm.</t>
  </si>
  <si>
    <t xml:space="preserve">De situ urbis Venetae : </t>
  </si>
  <si>
    <t>L-1474-31550370X</t>
  </si>
  <si>
    <t>1066973334</t>
  </si>
  <si>
    <t>Bö Ink 73</t>
  </si>
  <si>
    <t xml:space="preserve">Liber de contemptu mundi, sive De miseria humanae conditionis : </t>
  </si>
  <si>
    <t>L-1490-315503157</t>
  </si>
  <si>
    <t>1066972745</t>
  </si>
  <si>
    <t>Bö Ink 74</t>
  </si>
  <si>
    <t>Bö Ink 74</t>
  </si>
  <si>
    <t xml:space="preserve">Scripta super quattuor libros Sententiarum : </t>
  </si>
  <si>
    <t>Schrift bis in den Falz, hohler Rücken</t>
  </si>
  <si>
    <t xml:space="preserve">
flexibler Perg.band</t>
  </si>
  <si>
    <t>L-1485-315501480</t>
  </si>
  <si>
    <t>1072494159</t>
  </si>
  <si>
    <t>Bö Ink 75</t>
  </si>
  <si>
    <t>Bö Ink 75</t>
  </si>
  <si>
    <t>Postilla super totam Bibliam</t>
  </si>
  <si>
    <t>P.3. : Proverbia - Machabaei</t>
  </si>
  <si>
    <t>erhabene Illuminationen, welliger Buchblock, Schrift bis in den Falz</t>
  </si>
  <si>
    <t>L-1475-315498374</t>
  </si>
  <si>
    <t>1066968101</t>
  </si>
  <si>
    <t>Bö Ink 76</t>
  </si>
  <si>
    <t>Bö Ink 76</t>
  </si>
  <si>
    <t xml:space="preserve">Historia ecclesiastica : </t>
  </si>
  <si>
    <t>L-1476-327155469</t>
  </si>
  <si>
    <t>1072254964</t>
  </si>
  <si>
    <t>Bö Ink 77</t>
  </si>
  <si>
    <t>Bö Ink 77</t>
  </si>
  <si>
    <t xml:space="preserve">Commentum in Ciceronis Oratorem : </t>
  </si>
  <si>
    <t>L-1500-315502134</t>
  </si>
  <si>
    <t>1066971757</t>
  </si>
  <si>
    <t>Bö Ink 78</t>
  </si>
  <si>
    <t>Bö Ink 78</t>
  </si>
  <si>
    <t>fester Rücken mit Schmuckprägung, Schrift bis in den Falz</t>
  </si>
  <si>
    <t>Box</t>
  </si>
  <si>
    <t>Deckel sperren</t>
  </si>
  <si>
    <t>L-1497-315499222</t>
  </si>
  <si>
    <t>1066968942</t>
  </si>
  <si>
    <t>Bö Ink 79</t>
  </si>
  <si>
    <t>Bö Ink 79</t>
  </si>
  <si>
    <t xml:space="preserve">Diaeta salutis : </t>
  </si>
  <si>
    <t>L-1499-315502819</t>
  </si>
  <si>
    <t>1066972397</t>
  </si>
  <si>
    <t>Bö Ink 80</t>
  </si>
  <si>
    <t>Bö Ink 80</t>
  </si>
  <si>
    <t xml:space="preserve">Hortulus rosarum de valle lacrimarum : </t>
  </si>
  <si>
    <t>L-1493-315496452</t>
  </si>
  <si>
    <t>106696615X</t>
  </si>
  <si>
    <t>Bö Ink 81</t>
  </si>
  <si>
    <t>Bö Ink 81</t>
  </si>
  <si>
    <t xml:space="preserve">Viatorium utriusque iuris : </t>
  </si>
  <si>
    <t>L-1496-315496924</t>
  </si>
  <si>
    <t>106696663X</t>
  </si>
  <si>
    <t>Bö Ink 82</t>
  </si>
  <si>
    <t>Bö Ink 82</t>
  </si>
  <si>
    <t xml:space="preserve">Biblia, lat. : </t>
  </si>
  <si>
    <t>fester Rücken mit Schmuckprägung, Schrift bis in den Falz, erhabene Illuminationen</t>
  </si>
  <si>
    <t>gedruckte und handschriftliche Anmerkungen sehr weit im Falz</t>
  </si>
  <si>
    <t>L-1513-32715960X</t>
  </si>
  <si>
    <t>1072260050</t>
  </si>
  <si>
    <t>Bö Ink 83</t>
  </si>
  <si>
    <t>Bö Ink 83</t>
  </si>
  <si>
    <t xml:space="preserve">Margarita decreti : </t>
  </si>
  <si>
    <t>L-1489-327160357</t>
  </si>
  <si>
    <t>1072051486</t>
  </si>
  <si>
    <t>Bö Ink 84</t>
  </si>
  <si>
    <t>Bö Ink 84</t>
  </si>
  <si>
    <t xml:space="preserve">Cursus hinc inde collecti : </t>
  </si>
  <si>
    <t>hohler Rücken, erhabene Illuminationen, Einband mit Schutz- oder Stoßkanten</t>
  </si>
  <si>
    <t>L-1498-315497998</t>
  </si>
  <si>
    <t>1066967733</t>
  </si>
  <si>
    <t>Bö Ink 85</t>
  </si>
  <si>
    <t>Bö Ink 85</t>
  </si>
  <si>
    <t xml:space="preserve">De exterioris et interioris hominis compositione (Ausz. Lib. 2 und 3). De profectu religiosorum : </t>
  </si>
  <si>
    <t xml:space="preserve">
Pergamentumschlag</t>
  </si>
  <si>
    <t>Pergamentumschlag</t>
  </si>
  <si>
    <t>L-1489-315496789</t>
  </si>
  <si>
    <t>1066966494</t>
  </si>
  <si>
    <t>Bö Ink 86</t>
  </si>
  <si>
    <t>Bö Ink 86</t>
  </si>
  <si>
    <t>L-1487-315495464</t>
  </si>
  <si>
    <t>1066965285</t>
  </si>
  <si>
    <t>Bö Ink 87</t>
  </si>
  <si>
    <t>Bö Ink 87</t>
  </si>
  <si>
    <t xml:space="preserve">Summa angelica de casibus conscientiae : </t>
  </si>
  <si>
    <t>L-1497-315498544</t>
  </si>
  <si>
    <t>1066968284</t>
  </si>
  <si>
    <t>Bö Ink 88</t>
  </si>
  <si>
    <t>Bö Ink 88</t>
  </si>
  <si>
    <t xml:space="preserve">Compendium de origine et gestis Francorum : </t>
  </si>
  <si>
    <t>L-1472-31550160X</t>
  </si>
  <si>
    <t>1066971234</t>
  </si>
  <si>
    <t>Bö Ink 89</t>
  </si>
  <si>
    <t>Bö Ink 89</t>
  </si>
  <si>
    <t xml:space="preserve">Praeceptorium divinae legis sive Expositio decalogi : </t>
  </si>
  <si>
    <t>welliger Buchblock, erhabene Illuminationen</t>
  </si>
  <si>
    <t>RD an Ecke am Fuß mit Hausenblase festigen, loses Leder zurückkleben (keine Ergänzungen)</t>
  </si>
  <si>
    <t>1. Lage: Verklebung lösen und aufheften; Vorsatz hinten rest.</t>
  </si>
  <si>
    <t>L-1473-315498889</t>
  </si>
  <si>
    <t>1066968624</t>
  </si>
  <si>
    <t>Bö Ink 90</t>
  </si>
  <si>
    <t>Bö Ink 90</t>
  </si>
  <si>
    <t xml:space="preserve">Dialogi [etc.] : </t>
  </si>
  <si>
    <t>L-1483-287401766</t>
  </si>
  <si>
    <t>1048164535</t>
  </si>
  <si>
    <t>Bö Ink 91</t>
  </si>
  <si>
    <t>Bö Ink 91 - 1</t>
  </si>
  <si>
    <t xml:space="preserve">Biblia, deutsch : </t>
  </si>
  <si>
    <t>332182,00 EUR</t>
  </si>
  <si>
    <t>Bö Ink 91 - 2</t>
  </si>
  <si>
    <t>L-1499-315500794</t>
  </si>
  <si>
    <t>1066970432</t>
  </si>
  <si>
    <t>Bö Ink 92</t>
  </si>
  <si>
    <t>Bö Ink 92</t>
  </si>
  <si>
    <t xml:space="preserve">Die @Cronica van der hilliger stat van Coellen : </t>
  </si>
  <si>
    <t>L-1499-315496657</t>
  </si>
  <si>
    <t>1066966370</t>
  </si>
  <si>
    <t>Bö Ink 93 - Fragm.</t>
  </si>
  <si>
    <t xml:space="preserve">alle Fragmente sind auf einen Karton montiert; teilweise sind sie mehrseitig, auch aus Perg. ws. (hab nicht alle angeschaut), alle sind vermutlich bei 180° digitalisierbar. Größe der Montagekartons (alle sauer!!) 32x48. Sie werden in insgesamt 13 Gewebekassetten aufbewahrt und liegen in R42A/6/2-4 </t>
  </si>
  <si>
    <t xml:space="preserve">Repertorium iuris utriusque : </t>
  </si>
  <si>
    <t>L-1488-315494883</t>
  </si>
  <si>
    <t>1066964653</t>
  </si>
  <si>
    <t>Bö Ink 94 - Fragm.</t>
  </si>
  <si>
    <t>L-1493-315496908</t>
  </si>
  <si>
    <t>1066966613</t>
  </si>
  <si>
    <t>Bö Ink 95 - Fragm.</t>
  </si>
  <si>
    <t>L-1481-315500050</t>
  </si>
  <si>
    <t>106696971X</t>
  </si>
  <si>
    <t>Bö Ink 96 - Fragm.</t>
  </si>
  <si>
    <t xml:space="preserve">Legenda aurea sanctorum sive Lombardica historia : </t>
  </si>
  <si>
    <t>L-1487-315502835</t>
  </si>
  <si>
    <t>1066972419</t>
  </si>
  <si>
    <t>Bö Ink 97 - Fragm.</t>
  </si>
  <si>
    <t xml:space="preserve">Imitatio Christi : </t>
  </si>
  <si>
    <t>L-1475-315500034</t>
  </si>
  <si>
    <t>1066969698</t>
  </si>
  <si>
    <t>Bö Ink 98 - Fragm.</t>
  </si>
  <si>
    <t xml:space="preserve">Sermones dominicales : </t>
  </si>
  <si>
    <t>L-1479-315499443</t>
  </si>
  <si>
    <t>1066969140</t>
  </si>
  <si>
    <t>Bö Ink 99 - Fragm.</t>
  </si>
  <si>
    <t xml:space="preserve">Sermones Discipuli de tempore et de sanctis : </t>
  </si>
  <si>
    <t>L-1486-315496843</t>
  </si>
  <si>
    <t>1066966567</t>
  </si>
  <si>
    <t>Bö Ink 100 - Fragm.</t>
  </si>
  <si>
    <t>L-1480-315501634</t>
  </si>
  <si>
    <t>1066971269</t>
  </si>
  <si>
    <t>Bö Ink 101 - Fragm.</t>
  </si>
  <si>
    <t xml:space="preserve">Sermones de tempore et de sanctis cum quadragesimali : </t>
  </si>
  <si>
    <t>L-1485-31550157X</t>
  </si>
  <si>
    <t>106697120X</t>
  </si>
  <si>
    <t>Bö Ink 102 - Fragm.</t>
  </si>
  <si>
    <t xml:space="preserve">Lectura super V libris Decretalium : </t>
  </si>
  <si>
    <t>L-1486-315501979</t>
  </si>
  <si>
    <t>1066971609</t>
  </si>
  <si>
    <t>Bö Ink 103 - Fragm.</t>
  </si>
  <si>
    <t xml:space="preserve">Epistolae familiares : </t>
  </si>
  <si>
    <t>L-1486-315495596</t>
  </si>
  <si>
    <t>1066965382</t>
  </si>
  <si>
    <t>Bö Ink 104 - Fragm.</t>
  </si>
  <si>
    <t>Summa theologica : P. 1-4</t>
  </si>
  <si>
    <t>L-1483-315499613</t>
  </si>
  <si>
    <t>1066969302</t>
  </si>
  <si>
    <t>Bö Ink 105 - Fragm.</t>
  </si>
  <si>
    <t xml:space="preserve">Sermones dominicales super evangelia et epistolas : </t>
  </si>
  <si>
    <t>L-1478-315501405</t>
  </si>
  <si>
    <t>1066971048</t>
  </si>
  <si>
    <t>Bö Ink 106 - Fragm.</t>
  </si>
  <si>
    <t>L-1485-315503033</t>
  </si>
  <si>
    <t>1066972605</t>
  </si>
  <si>
    <t>Bö Ink 107 - Fragm.</t>
  </si>
  <si>
    <t>Summa theologiae : P. 1-3</t>
  </si>
  <si>
    <t>L-1483-327160934</t>
  </si>
  <si>
    <t>1072261766</t>
  </si>
  <si>
    <t>Bö Ink 108 - Fragm.</t>
  </si>
  <si>
    <t xml:space="preserve">Psalterium latinum : </t>
  </si>
  <si>
    <t>L-1475-315500158</t>
  </si>
  <si>
    <t>1066969817</t>
  </si>
  <si>
    <t>Bö Ink 109 - Fragm.</t>
  </si>
  <si>
    <t xml:space="preserve">Additiones ad Durantis speculum iudiciale : </t>
  </si>
  <si>
    <t>L-1489-315496495</t>
  </si>
  <si>
    <t>1066966206</t>
  </si>
  <si>
    <t>Bö Ink 110 - Fragm.</t>
  </si>
  <si>
    <t xml:space="preserve">Repertorium morale : </t>
  </si>
  <si>
    <t>L-1490-315502231</t>
  </si>
  <si>
    <t>1066971838</t>
  </si>
  <si>
    <t>Bö Ink 111 - Fragm.</t>
  </si>
  <si>
    <t xml:space="preserve">Cosmographia : </t>
  </si>
  <si>
    <t>L-1477-315498218</t>
  </si>
  <si>
    <t>1066967946</t>
  </si>
  <si>
    <t>Bö Ink 112 - Fragm.</t>
  </si>
  <si>
    <t xml:space="preserve">Rationale divinorum officiorum : </t>
  </si>
  <si>
    <t>L-1491-315501952</t>
  </si>
  <si>
    <t>1066971579</t>
  </si>
  <si>
    <t>Bö Ink 113 - Fragm.</t>
  </si>
  <si>
    <t xml:space="preserve">Sententiarum libri IV : </t>
  </si>
  <si>
    <t>L-1476-315497947</t>
  </si>
  <si>
    <t>1066967687</t>
  </si>
  <si>
    <t>Bö Ink 114 - Fragm.</t>
  </si>
  <si>
    <t xml:space="preserve">Corpus iuris civilis. Institutiones : </t>
  </si>
  <si>
    <t>L-1494-315500840</t>
  </si>
  <si>
    <t>1066970483</t>
  </si>
  <si>
    <t>Bö Ink 115 - Fragm.</t>
  </si>
  <si>
    <t xml:space="preserve">Copulata veteris artis Aristotelis : </t>
  </si>
  <si>
    <t>L-1488-315502576</t>
  </si>
  <si>
    <t>106697215X</t>
  </si>
  <si>
    <t>Bö Ink 116 - Fragm.</t>
  </si>
  <si>
    <t xml:space="preserve">Epistolae breves : </t>
  </si>
  <si>
    <t>L-1493-327161256</t>
  </si>
  <si>
    <t>1072262169</t>
  </si>
  <si>
    <t>Bö Ink 117 - Fragm.</t>
  </si>
  <si>
    <t xml:space="preserve">Missale  Brixiense : </t>
  </si>
  <si>
    <t>L-1487-31549560X</t>
  </si>
  <si>
    <t>1066965390</t>
  </si>
  <si>
    <t>Bö Ink 118 - Fragm.</t>
  </si>
  <si>
    <t>L-1482-315499532</t>
  </si>
  <si>
    <t>1066969221</t>
  </si>
  <si>
    <t>Bö Ink 119 - Fragm.</t>
  </si>
  <si>
    <t xml:space="preserve">Homiliarius doctorum de tempore et de sanctis : </t>
  </si>
  <si>
    <t>L-1489-315498749</t>
  </si>
  <si>
    <t>1066968489</t>
  </si>
  <si>
    <t>Bö Ink 120 - Fragm.</t>
  </si>
  <si>
    <t>L-1489-315500638</t>
  </si>
  <si>
    <t>1066970289</t>
  </si>
  <si>
    <t>Bö Ink 121 - Fragm.</t>
  </si>
  <si>
    <t xml:space="preserve">Mammotrectus super Bibliam : </t>
  </si>
  <si>
    <t>L-1475-315494867</t>
  </si>
  <si>
    <t>1066964645</t>
  </si>
  <si>
    <t>Bö Ink 122 - Fragm.</t>
  </si>
  <si>
    <t xml:space="preserve">Sermones de tempore et de sanctis : </t>
  </si>
  <si>
    <t>L-1484-315499362</t>
  </si>
  <si>
    <t>106696906X</t>
  </si>
  <si>
    <t>Bö Ink 123 - Fragm.</t>
  </si>
  <si>
    <t xml:space="preserve">Sermones de tempore, de sanctis, de tribus partibus poenitentiae et de adventu : </t>
  </si>
  <si>
    <t>L-1494-31550241X</t>
  </si>
  <si>
    <t>1066972001</t>
  </si>
  <si>
    <t>Bö Ink 124 - Fragm.</t>
  </si>
  <si>
    <t xml:space="preserve">Super sapientiam Salomonis : </t>
  </si>
  <si>
    <t>L-1477-315495634</t>
  </si>
  <si>
    <t>1173179100</t>
  </si>
  <si>
    <t>Bö Ink 125 - Fragm.</t>
  </si>
  <si>
    <t>Summa theologica, P. 1-4</t>
  </si>
  <si>
    <t>4. : Pars 4</t>
  </si>
  <si>
    <t>L-1491-315495502</t>
  </si>
  <si>
    <t>1066965331</t>
  </si>
  <si>
    <t>Bö Ink 126 - Fragm.</t>
  </si>
  <si>
    <t>L-1477-315496487</t>
  </si>
  <si>
    <t>1066966184</t>
  </si>
  <si>
    <t>Bö Ink 127 - Fragm.</t>
  </si>
  <si>
    <t xml:space="preserve">Liber Bibliae moralis : </t>
  </si>
  <si>
    <t>L-1481-315496584</t>
  </si>
  <si>
    <t>106696629X</t>
  </si>
  <si>
    <t>Bö Ink 128 - Fragm.</t>
  </si>
  <si>
    <t xml:space="preserve">Sermones de tempore et de sanctis et de diversis : </t>
  </si>
  <si>
    <t>L-1496-315501987</t>
  </si>
  <si>
    <t>1066971617</t>
  </si>
  <si>
    <t>Bö Ink 129 - Fragm.</t>
  </si>
  <si>
    <t>L-1494-315498250</t>
  </si>
  <si>
    <t>1066967989</t>
  </si>
  <si>
    <t>Bö Ink 130 - Fragm.</t>
  </si>
  <si>
    <t>L-1477-315495685</t>
  </si>
  <si>
    <t>1066965447</t>
  </si>
  <si>
    <t>Bö Ink 131 - Fragm.</t>
  </si>
  <si>
    <t>Historia Romana : P. 1-2</t>
  </si>
  <si>
    <t>L-1484-315500980</t>
  </si>
  <si>
    <t>1066970629</t>
  </si>
  <si>
    <t>Bö Ink 132</t>
  </si>
  <si>
    <t>Libri venales Venetiis impressi : [Bücheranzeige (Buchführeranzeige)]</t>
  </si>
  <si>
    <t>L-1478-315497424</t>
  </si>
  <si>
    <t>1066967164</t>
  </si>
  <si>
    <t>Bö Ink 133</t>
  </si>
  <si>
    <t xml:space="preserve">Bücheranzeige (für sechzehn Bücher) von Lukas Brandis, niederdt. : </t>
  </si>
  <si>
    <t>L-1478-327163062</t>
  </si>
  <si>
    <t>1072264366</t>
  </si>
  <si>
    <t>Bö Ink 133a</t>
  </si>
  <si>
    <t xml:space="preserve">Bücheranzeige, lat. : </t>
  </si>
  <si>
    <t>L-1491-31549736X</t>
  </si>
  <si>
    <t>1066967105</t>
  </si>
  <si>
    <t>Bö Ink 135 - Fragm.</t>
  </si>
  <si>
    <t xml:space="preserve">Liber sextus Decretalium : </t>
  </si>
  <si>
    <t>L-1495-315495308</t>
  </si>
  <si>
    <t>1066965153</t>
  </si>
  <si>
    <t>Bö Ink 137 - Fragm.</t>
  </si>
  <si>
    <t xml:space="preserve">Margarita poetica : </t>
  </si>
  <si>
    <t>L-1493-315497394</t>
  </si>
  <si>
    <t>106696713X</t>
  </si>
  <si>
    <t>Bö Ink 138 - Fragm.</t>
  </si>
  <si>
    <t>L-1500-315498773</t>
  </si>
  <si>
    <t>1066968519</t>
  </si>
  <si>
    <t>Bö Ink 139 - Fragm.</t>
  </si>
  <si>
    <t xml:space="preserve">De confutatione hebraicae sectae : </t>
  </si>
  <si>
    <t>L-1479-315497769</t>
  </si>
  <si>
    <t>1066967512</t>
  </si>
  <si>
    <t>Bö Ink 140 - Fragm.</t>
  </si>
  <si>
    <t xml:space="preserve">Constitutiones : </t>
  </si>
  <si>
    <t>L-1493-315487925</t>
  </si>
  <si>
    <t>Bö Ink 141 - Fragm.</t>
  </si>
  <si>
    <t>L-1490-315496665</t>
  </si>
  <si>
    <t>1066966389</t>
  </si>
  <si>
    <t>Bö Ink 142 - Fragm.</t>
  </si>
  <si>
    <t xml:space="preserve">Repertorium iuris utriusque. P. 1-3. : </t>
  </si>
  <si>
    <t>L-1494-315499079</t>
  </si>
  <si>
    <t>1066968802</t>
  </si>
  <si>
    <t>Bö Ink 143 - Fragm.</t>
  </si>
  <si>
    <t xml:space="preserve">Decretales : </t>
  </si>
  <si>
    <t>L-1483-315503106</t>
  </si>
  <si>
    <t>1066972699</t>
  </si>
  <si>
    <t>Bö Ink 144 - Fragm.</t>
  </si>
  <si>
    <t xml:space="preserve">Summa theologica. P. 2,1 : </t>
  </si>
  <si>
    <t>L-1498-315488077</t>
  </si>
  <si>
    <t>1173452044</t>
  </si>
  <si>
    <t>Bö Ink 145 - Fragm.</t>
  </si>
  <si>
    <t>Biblia, lat.</t>
  </si>
  <si>
    <t xml:space="preserve">6. : </t>
  </si>
  <si>
    <t>L-1489-315501898</t>
  </si>
  <si>
    <t>106697151X</t>
  </si>
  <si>
    <t>Bö Ink 146 - Fragm.</t>
  </si>
  <si>
    <t>L-1487-315496185</t>
  </si>
  <si>
    <t>1066965900</t>
  </si>
  <si>
    <t>Bö Ink 147 - Fragm.</t>
  </si>
  <si>
    <t xml:space="preserve">Sermones ad heremitas : </t>
  </si>
  <si>
    <t>L-1495-315496266</t>
  </si>
  <si>
    <t>1066965978</t>
  </si>
  <si>
    <t>Bö Ink 148 - Fragm.</t>
  </si>
  <si>
    <t>L-1490-315502614</t>
  </si>
  <si>
    <t>1066972192</t>
  </si>
  <si>
    <t>Bö Ink 149 - Fragm.</t>
  </si>
  <si>
    <t xml:space="preserve">Sermones Parati de tempore et de sanctis : </t>
  </si>
  <si>
    <t>L-1482-315499060</t>
  </si>
  <si>
    <t>1066968799</t>
  </si>
  <si>
    <t>Bö Ink 150 - Fragm.</t>
  </si>
  <si>
    <t>L-1496-315497874</t>
  </si>
  <si>
    <t>1066967628</t>
  </si>
  <si>
    <t>Bö Ink 151 - Fragm.</t>
  </si>
  <si>
    <t xml:space="preserve">Concordantiae bibliorum : </t>
  </si>
  <si>
    <t>L-1486-315503092</t>
  </si>
  <si>
    <t>1066972664</t>
  </si>
  <si>
    <t>Bö Ink 152 - Fragm.</t>
  </si>
  <si>
    <t>Summa theologiae : P. 3</t>
  </si>
  <si>
    <t>L-1486-315498285</t>
  </si>
  <si>
    <t>1066968012</t>
  </si>
  <si>
    <t>Bö Ink 153 - Fragm.</t>
  </si>
  <si>
    <t>L-1486-315496851</t>
  </si>
  <si>
    <t>Bö Ink 154 - Fragm.</t>
  </si>
  <si>
    <t>L-1476-315497750</t>
  </si>
  <si>
    <t>1066967482</t>
  </si>
  <si>
    <t>Bö Ink 155 - Fragm.</t>
  </si>
  <si>
    <t>L-1485-315503025</t>
  </si>
  <si>
    <t>Bö Ink 156 - Fragm.</t>
  </si>
  <si>
    <t>L-1484-315498838</t>
  </si>
  <si>
    <t>1066968586</t>
  </si>
  <si>
    <t>Bö Ink 157 - Fragm.</t>
  </si>
  <si>
    <t>L-1481-315499583</t>
  </si>
  <si>
    <t>1066969272</t>
  </si>
  <si>
    <t>Bö Ink 158 - Fragm.</t>
  </si>
  <si>
    <t xml:space="preserve">Compendium theologicae veritatis : </t>
  </si>
  <si>
    <t>L-1496-327163305</t>
  </si>
  <si>
    <t>1072264676</t>
  </si>
  <si>
    <t>Bö Ink 159</t>
  </si>
  <si>
    <t>Bö Ink 160</t>
  </si>
  <si>
    <t xml:space="preserve">De monstroso ansere atque porcellis : </t>
  </si>
  <si>
    <t>L-1479-315500611</t>
  </si>
  <si>
    <t>1066970270</t>
  </si>
  <si>
    <t>Bö Ink 160 - Fragm.</t>
  </si>
  <si>
    <t>L-1483-315500069</t>
  </si>
  <si>
    <t>1066969728</t>
  </si>
  <si>
    <t>Bö Ink 161 - Fragm.</t>
  </si>
  <si>
    <t>L-1494-315500646</t>
  </si>
  <si>
    <t>1066970300</t>
  </si>
  <si>
    <t>Bö Ink 162 - Fragm.</t>
  </si>
  <si>
    <t>L-1489-315496088</t>
  </si>
  <si>
    <t>1066965838</t>
  </si>
  <si>
    <t>Bö Ink 163 - Fragm.</t>
  </si>
  <si>
    <t>Explanatio psalmorum : P. 1-3</t>
  </si>
  <si>
    <t>L-1493-315498854</t>
  </si>
  <si>
    <t>1066968608</t>
  </si>
  <si>
    <t>Bö Ink 164 - Fragm.</t>
  </si>
  <si>
    <t>L-1485-315501200</t>
  </si>
  <si>
    <t>106697084X</t>
  </si>
  <si>
    <t>Bö Ink 165 - Fragm.</t>
  </si>
  <si>
    <t xml:space="preserve">Sermones de tempore et de sanctis sive Hortulus reginae : </t>
  </si>
  <si>
    <t>L-1492-315501545</t>
  </si>
  <si>
    <t>1066971161</t>
  </si>
  <si>
    <t>Bö Ink 166 - Fragm.</t>
  </si>
  <si>
    <t xml:space="preserve">Repertorium in postillam Nicolai de Lyra super vetus et novum testamentum : </t>
  </si>
  <si>
    <t>L-1481-315499044</t>
  </si>
  <si>
    <t>1066968780</t>
  </si>
  <si>
    <t>Bö Ink 167 - Fragm.</t>
  </si>
  <si>
    <t>L-1485-315495588</t>
  </si>
  <si>
    <t>1066965374</t>
  </si>
  <si>
    <t>Bö Ink 168 - Fragm.</t>
  </si>
  <si>
    <t>L-1483-315500549</t>
  </si>
  <si>
    <t>1066970211</t>
  </si>
  <si>
    <t>Bö Ink 169 - Fragm.</t>
  </si>
  <si>
    <t xml:space="preserve">Catholicon : </t>
  </si>
  <si>
    <t>L-1483-315500077</t>
  </si>
  <si>
    <t>1066969736</t>
  </si>
  <si>
    <t>Bö Ink 171 - Fragm.</t>
  </si>
  <si>
    <t>L-1494-315497327</t>
  </si>
  <si>
    <t>1066967024</t>
  </si>
  <si>
    <t>Bö Ink 172 - Fragm.</t>
  </si>
  <si>
    <t>Liber sextus Decretalium : P. 1-2</t>
  </si>
  <si>
    <t>L-1485-315495006</t>
  </si>
  <si>
    <t>1066964823</t>
  </si>
  <si>
    <t>Bö Ink 173 - Fragm.</t>
  </si>
  <si>
    <t xml:space="preserve">Quadragesimale de floribus sapientiae : </t>
  </si>
  <si>
    <t>L-1482-31549963X</t>
  </si>
  <si>
    <t>1066969310</t>
  </si>
  <si>
    <t>Bö Ink 174 - Fragm.</t>
  </si>
  <si>
    <t xml:space="preserve">Postilla super evangelia : </t>
  </si>
  <si>
    <t>L-1489-315496096</t>
  </si>
  <si>
    <t>Bö Ink 175 - Fragm.</t>
  </si>
  <si>
    <t>L-1492-315495529</t>
  </si>
  <si>
    <t>1066965358</t>
  </si>
  <si>
    <t>Bö Ink 176 - Fragm.</t>
  </si>
  <si>
    <t xml:space="preserve">Confessionale Defecerunt : </t>
  </si>
  <si>
    <t>L-1493-315497440</t>
  </si>
  <si>
    <t>1066967180</t>
  </si>
  <si>
    <t>Bö Ink 177 - Fragm.</t>
  </si>
  <si>
    <t xml:space="preserve">Breviarium Augustanum : </t>
  </si>
  <si>
    <t>L-1483-315499826</t>
  </si>
  <si>
    <t>1066969485</t>
  </si>
  <si>
    <t>Bö Ink 179 - Fragm.</t>
  </si>
  <si>
    <t xml:space="preserve">Etymologiae : </t>
  </si>
  <si>
    <t>L-1495-315497793</t>
  </si>
  <si>
    <t>1066967547</t>
  </si>
  <si>
    <t>Bö Ink 180 - Fragm.</t>
  </si>
  <si>
    <t>Concordantiae utriusque iuris : [mit anonymem Kommentar]</t>
  </si>
  <si>
    <t>L-1493-315502398</t>
  </si>
  <si>
    <t>1066971978</t>
  </si>
  <si>
    <t>Bö Ink 181 - Fragm.</t>
  </si>
  <si>
    <t xml:space="preserve">De laudibus Mariae : </t>
  </si>
  <si>
    <t>L-1490-315496371</t>
  </si>
  <si>
    <t>1066966079</t>
  </si>
  <si>
    <t>Bö Ink 182 - Fragm.</t>
  </si>
  <si>
    <t xml:space="preserve">Cautelae : </t>
  </si>
  <si>
    <t>L-1489-315496029</t>
  </si>
  <si>
    <t>1066965781</t>
  </si>
  <si>
    <t>Bö Ink 183 - Fragm.</t>
  </si>
  <si>
    <t>L-1483-315500085</t>
  </si>
  <si>
    <t>1066969744</t>
  </si>
  <si>
    <t>Bö Ink 184 - Fragm.</t>
  </si>
  <si>
    <t>L-1497-315500883</t>
  </si>
  <si>
    <t>1066970521</t>
  </si>
  <si>
    <t>Bö Ink 185 - Fragm.</t>
  </si>
  <si>
    <t xml:space="preserve">Sermones de sanctis, Biga salutis intitulati : </t>
  </si>
  <si>
    <t>L-1498-315500891</t>
  </si>
  <si>
    <t>106697053X</t>
  </si>
  <si>
    <t>Bö Ink 186 - Fragm.</t>
  </si>
  <si>
    <t xml:space="preserve">Sermones dominicales, Biga salutis intitulati. : </t>
  </si>
  <si>
    <t>L-1488-315502843</t>
  </si>
  <si>
    <t>1066972427</t>
  </si>
  <si>
    <t>Bö Ink 187 - Fragm.</t>
  </si>
  <si>
    <t>L-1490-327163577</t>
  </si>
  <si>
    <t>1072264986</t>
  </si>
  <si>
    <t>Bö Ink 188 - Fragm.</t>
  </si>
  <si>
    <t xml:space="preserve">Modus veniendi ad amorem b. Mariae virginis : </t>
  </si>
  <si>
    <t>L-1479-315503068</t>
  </si>
  <si>
    <t>1066972648</t>
  </si>
  <si>
    <t>Bö Ink 189 - Fragm.</t>
  </si>
  <si>
    <t xml:space="preserve">Summa theologiae, P. 2,2 : </t>
  </si>
  <si>
    <t>L-1471-315498943</t>
  </si>
  <si>
    <t>1066968705</t>
  </si>
  <si>
    <t>Bö Ink 190 - Fragm.</t>
  </si>
  <si>
    <t>L-1480-327168676</t>
  </si>
  <si>
    <t>107226532X</t>
  </si>
  <si>
    <t>Bö Ink 191</t>
  </si>
  <si>
    <t xml:space="preserve">Bulla (Salvator noster) [betr. den Ablass zum besten der Kirche der hl. Georg und Maria in Nördlingen], Rom, 9.II.1479/80 : </t>
  </si>
  <si>
    <t>48x63</t>
  </si>
  <si>
    <t>L-1480-327172649</t>
  </si>
  <si>
    <t>107226580X</t>
  </si>
  <si>
    <t>Bö Ink 192</t>
  </si>
  <si>
    <t>L-1476-315503432</t>
  </si>
  <si>
    <t>Bö Ink 193 - Fragm.</t>
  </si>
  <si>
    <t>L-1475-31549817X</t>
  </si>
  <si>
    <t>106696792X</t>
  </si>
  <si>
    <t>Bö Ink 194 - Fragm.</t>
  </si>
  <si>
    <t>L-1474-315495391</t>
  </si>
  <si>
    <t>1066965242</t>
  </si>
  <si>
    <t>Bö Ink 195 - Fragm.</t>
  </si>
  <si>
    <t xml:space="preserve">De planctu ecclesiae : </t>
  </si>
  <si>
    <t>L-1498-315212659</t>
  </si>
  <si>
    <t>1173459332</t>
  </si>
  <si>
    <t>Bö Ink 196 - Fragm.</t>
  </si>
  <si>
    <t>1. : Prima pars biblie</t>
  </si>
  <si>
    <t>L-1492-315495421</t>
  </si>
  <si>
    <t>1085177750</t>
  </si>
  <si>
    <t>Bö Ink 197 - Fragm.</t>
  </si>
  <si>
    <t>Opera</t>
  </si>
  <si>
    <t xml:space="preserve">[Pt. 3] : </t>
  </si>
  <si>
    <t>L-1486-315500557</t>
  </si>
  <si>
    <t>106697022X</t>
  </si>
  <si>
    <t>Bö Ink 198 - Fragm.</t>
  </si>
  <si>
    <t>L-1472-31550367X</t>
  </si>
  <si>
    <t>1066973296</t>
  </si>
  <si>
    <t>Bö Ink 199 - Fragm.</t>
  </si>
  <si>
    <t xml:space="preserve">De salute corporis : </t>
  </si>
  <si>
    <t>L-1477-315497068</t>
  </si>
  <si>
    <t>1066966761</t>
  </si>
  <si>
    <t>Bö Ink 200 - Fragm.</t>
  </si>
  <si>
    <t xml:space="preserve">Die @güldene Bibel : </t>
  </si>
  <si>
    <t>L-1499-315502193</t>
  </si>
  <si>
    <t>1066971803</t>
  </si>
  <si>
    <t>Bö Ink 201 - Fragm.</t>
  </si>
  <si>
    <t xml:space="preserve">Psalterium, lat. und. dt. : </t>
  </si>
  <si>
    <t>L-1494-315502185</t>
  </si>
  <si>
    <t>106697179X</t>
  </si>
  <si>
    <t>Bö Ink 202 - Fragm.</t>
  </si>
  <si>
    <t xml:space="preserve">Psalterium, lat. und dt. : </t>
  </si>
  <si>
    <t>L-1487-292765967</t>
  </si>
  <si>
    <t>Bö Ink 203 - Fragm.</t>
  </si>
  <si>
    <t>L-1492-31549543X</t>
  </si>
  <si>
    <t>1085177238</t>
  </si>
  <si>
    <t>Bö Ink 204 - Fragm.</t>
  </si>
  <si>
    <t xml:space="preserve">[Pt. 1] : </t>
  </si>
  <si>
    <t>L-1480-315496967</t>
  </si>
  <si>
    <t>1066966672</t>
  </si>
  <si>
    <t>Bö Ink 205 - Fragm.</t>
  </si>
  <si>
    <t>L-1486-315502223</t>
  </si>
  <si>
    <t>106697182X</t>
  </si>
  <si>
    <t>Bö Ink 206 - Fragm.</t>
  </si>
  <si>
    <t>L-1483-31549834X</t>
  </si>
  <si>
    <t>1066968063</t>
  </si>
  <si>
    <t>Bö Ink 207 - Fragm.</t>
  </si>
  <si>
    <t xml:space="preserve">Plenarium : </t>
  </si>
  <si>
    <t>L-1495-315497564</t>
  </si>
  <si>
    <t>106696730X</t>
  </si>
  <si>
    <t>Bö Ink 208 - Fragm.</t>
  </si>
  <si>
    <t>Opera : P. 1-7</t>
  </si>
  <si>
    <t>L-1478-315498293</t>
  </si>
  <si>
    <t>1066968020</t>
  </si>
  <si>
    <t>Bö Ink 209 - Fragm.</t>
  </si>
  <si>
    <t>L-1498-315502592</t>
  </si>
  <si>
    <t>1066972176</t>
  </si>
  <si>
    <t>Bö Ink 210 - Fragm.</t>
  </si>
  <si>
    <t xml:space="preserve">Lucubratiunculae : </t>
  </si>
  <si>
    <t>L-1484-315494905</t>
  </si>
  <si>
    <t>1066964688</t>
  </si>
  <si>
    <t>Bö Ink 211 - Fragm.</t>
  </si>
  <si>
    <t xml:space="preserve">Confessionale Defecerunt scrutantes scrutinio : </t>
  </si>
  <si>
    <t>L-1479-31549977X</t>
  </si>
  <si>
    <t>1066969442</t>
  </si>
  <si>
    <t>Bö Ink 212 - Fragm.</t>
  </si>
  <si>
    <t xml:space="preserve">Sermones de sanctis : </t>
  </si>
  <si>
    <t>L-1483-315500220</t>
  </si>
  <si>
    <t>1066969892</t>
  </si>
  <si>
    <t>Bö Ink 213 - Fragm.</t>
  </si>
  <si>
    <t xml:space="preserve">Quaestiones in IV libros Sententiarum seu Libri IV defensionum theologiae Thomae Aquinatis /Johannes Capreolus. Hrsg.: Thomas de Sancto Germano : </t>
  </si>
  <si>
    <t>L-1493-315496800</t>
  </si>
  <si>
    <t>1066966516</t>
  </si>
  <si>
    <t>Bö Ink 214 - Fragm.</t>
  </si>
  <si>
    <t>L-1477-315495642</t>
  </si>
  <si>
    <t>1173179313</t>
  </si>
  <si>
    <t>Bö Ink 215 - Fragm.</t>
  </si>
  <si>
    <t>2. : Pars 2</t>
  </si>
  <si>
    <t>L-1485-315501510</t>
  </si>
  <si>
    <t>Bö Ink 216 - Fragm.</t>
  </si>
  <si>
    <t>L-1487-315501219</t>
  </si>
  <si>
    <t>1066970858</t>
  </si>
  <si>
    <t>Bö Ink 217 - Fragm.</t>
  </si>
  <si>
    <t>L-1497-315496991</t>
  </si>
  <si>
    <t>1066966699</t>
  </si>
  <si>
    <t>Bö Ink 218 - Fragm.</t>
  </si>
  <si>
    <t>L-1493-327173564</t>
  </si>
  <si>
    <t>1072266288</t>
  </si>
  <si>
    <t>Bö Ink 219 - Fragm.</t>
  </si>
  <si>
    <t xml:space="preserve">Lectura super I.-III. libro Institutionum : </t>
  </si>
  <si>
    <t>L-1477-315495650</t>
  </si>
  <si>
    <t>Bö Ink 220 - Fragm.</t>
  </si>
  <si>
    <t>L-1497-315497009</t>
  </si>
  <si>
    <t>Bö Ink 221 - Fragm.</t>
  </si>
  <si>
    <t>L-1483-315497084</t>
  </si>
  <si>
    <t>1066966788</t>
  </si>
  <si>
    <t>Bö Ink 222 - Fragm.</t>
  </si>
  <si>
    <t xml:space="preserve">Historiarum ab inclinatione Romanorum imperii decades : </t>
  </si>
  <si>
    <t>L-1489-31549686X</t>
  </si>
  <si>
    <t>1066966575</t>
  </si>
  <si>
    <t>Bö Ink 223 - Fragm.</t>
  </si>
  <si>
    <t>Aaq</t>
  </si>
  <si>
    <t>L-1491-315497971</t>
  </si>
  <si>
    <t>1066967717</t>
  </si>
  <si>
    <t>Bö Ink 224 - Fragm.</t>
  </si>
  <si>
    <t>L-1497-768213703</t>
  </si>
  <si>
    <t>1066967725</t>
  </si>
  <si>
    <t xml:space="preserve">La @Commedia : </t>
  </si>
  <si>
    <t>L-1495-315496835</t>
  </si>
  <si>
    <t>1066966559</t>
  </si>
  <si>
    <t>Bö Ink 225 - Fragm.</t>
  </si>
  <si>
    <t>L-1493-315496533</t>
  </si>
  <si>
    <t>1066966249</t>
  </si>
  <si>
    <t>Bö Ink 226 - Fragm.</t>
  </si>
  <si>
    <t>L-1478-315501901</t>
  </si>
  <si>
    <t>1066971528</t>
  </si>
  <si>
    <t>Bö Ink 228 - Fragm.</t>
  </si>
  <si>
    <t xml:space="preserve">Glossa magistralis Psalterii : </t>
  </si>
  <si>
    <t>L-1493-315487933</t>
  </si>
  <si>
    <t>Bö Ink 229 - Fragm.</t>
  </si>
  <si>
    <t>L-1491-315498536</t>
  </si>
  <si>
    <t>1066968276</t>
  </si>
  <si>
    <t>Bö Ink 230 - Fragm.</t>
  </si>
  <si>
    <t xml:space="preserve">Schatzbehalter der wahren Reichtümer des Heils : </t>
  </si>
  <si>
    <t>L-1478-315497017</t>
  </si>
  <si>
    <t>1066966710</t>
  </si>
  <si>
    <t>Bö Ink 231 - Fragm.</t>
  </si>
  <si>
    <t xml:space="preserve">Biblia, niederdt. : </t>
  </si>
  <si>
    <t>L-1499-315500786</t>
  </si>
  <si>
    <t>Bö Ink 232 - Fragm.</t>
  </si>
  <si>
    <t>L-1485-327174331</t>
  </si>
  <si>
    <t>107226661X</t>
  </si>
  <si>
    <t>Bö Ink 233 - Fragm.</t>
  </si>
  <si>
    <t xml:space="preserve">Dat @duytsche Passionael : </t>
  </si>
  <si>
    <t>L-1474-315502452</t>
  </si>
  <si>
    <t>1066972036</t>
  </si>
  <si>
    <t>Bö Ink 234 - Fragm.</t>
  </si>
  <si>
    <t xml:space="preserve">Fasciculus temporum : </t>
  </si>
  <si>
    <t>L-1499-315499974</t>
  </si>
  <si>
    <t>1066969647</t>
  </si>
  <si>
    <t>Bö Ink 235 - Fragm.</t>
  </si>
  <si>
    <t xml:space="preserve">Liber decretorum sive Panormia : </t>
  </si>
  <si>
    <t>L-1494-315498765</t>
  </si>
  <si>
    <t>1066968500</t>
  </si>
  <si>
    <t>Bö Ink 236 - Fragm.</t>
  </si>
  <si>
    <t>L-1496-315498927</t>
  </si>
  <si>
    <t>1066968683</t>
  </si>
  <si>
    <t>Bö Ink 237 - Fragm.</t>
  </si>
  <si>
    <t>L-1497-315498463</t>
  </si>
  <si>
    <t>1066968195</t>
  </si>
  <si>
    <t>Bö Ink 238 - Fragm.</t>
  </si>
  <si>
    <t xml:space="preserve">De claris mulieribus : </t>
  </si>
  <si>
    <t>L-1499-327175362</t>
  </si>
  <si>
    <t>1072267047</t>
  </si>
  <si>
    <t>Bö Ink 239 - Fragm.</t>
  </si>
  <si>
    <t xml:space="preserve">Grammatica : </t>
  </si>
  <si>
    <t>L-1493-315498862</t>
  </si>
  <si>
    <t>Bö Ink 240 - Fragm.</t>
  </si>
  <si>
    <t>L-1495-315496975</t>
  </si>
  <si>
    <t>1066966680</t>
  </si>
  <si>
    <t>Bö Ink 241 - Fragm.</t>
  </si>
  <si>
    <t>L-1475-315496959</t>
  </si>
  <si>
    <t>1066966664</t>
  </si>
  <si>
    <t>Bö Ink 242 - Fragm.</t>
  </si>
  <si>
    <t>L-1488-315497475</t>
  </si>
  <si>
    <t>1066967210</t>
  </si>
  <si>
    <t>Bö Ink 243 - Fragm.</t>
  </si>
  <si>
    <t xml:space="preserve">Die @heiligen Reisen gen Jerusalem : </t>
  </si>
  <si>
    <t>L-1489-315498064</t>
  </si>
  <si>
    <t>1066967792</t>
  </si>
  <si>
    <t>Bö Ink 244 - Fragm.</t>
  </si>
  <si>
    <t xml:space="preserve">Die @Geschichte der Römer : </t>
  </si>
  <si>
    <t>L-1474-315496681</t>
  </si>
  <si>
    <t>1066966400</t>
  </si>
  <si>
    <t>Bö Ink 245 - Fragm.</t>
  </si>
  <si>
    <t>L-1475-327176628</t>
  </si>
  <si>
    <t>1072267322</t>
  </si>
  <si>
    <t>Bö Ink 246 - Fragm.</t>
  </si>
  <si>
    <t xml:space="preserve">Legenda aurea : </t>
  </si>
  <si>
    <t>L-1476-315500298</t>
  </si>
  <si>
    <t>1066969957</t>
  </si>
  <si>
    <t>Bö Ink 247 - Fragm.</t>
  </si>
  <si>
    <t xml:space="preserve">Summa confessorum : </t>
  </si>
  <si>
    <t>L-1475-315501154</t>
  </si>
  <si>
    <t>1066970793</t>
  </si>
  <si>
    <t>Bö Ink 248 - Fragm.</t>
  </si>
  <si>
    <t xml:space="preserve">Margarita Davitica seu Expositio psalmorum : </t>
  </si>
  <si>
    <t>L-1474-315502347</t>
  </si>
  <si>
    <t>1066971943</t>
  </si>
  <si>
    <t>Bö Ink 249 - Fragm.</t>
  </si>
  <si>
    <t xml:space="preserve">Pantheologia sive Summa universae theologiae : </t>
  </si>
  <si>
    <t>L-1498-315501383</t>
  </si>
  <si>
    <t>1066971021</t>
  </si>
  <si>
    <t>Bö Ink 250</t>
  </si>
  <si>
    <t>Bö Ink 251</t>
  </si>
  <si>
    <t xml:space="preserve">Logica : </t>
  </si>
  <si>
    <t>welliger Buchblock</t>
  </si>
  <si>
    <t>L-1491-283710691</t>
  </si>
  <si>
    <t>1047218887</t>
  </si>
  <si>
    <t>Bö Ink 253</t>
  </si>
  <si>
    <t>Bö Ink 254</t>
  </si>
  <si>
    <t xml:space="preserve">Turandement van der munten [Münzvertrag,  Löwen, 10.IV.1491, d.i. 10.4.1492] @[GW] : </t>
  </si>
  <si>
    <t>L-1476-285513311</t>
  </si>
  <si>
    <t>1047477246</t>
  </si>
  <si>
    <t>Bö Ink 254 - Fragm.</t>
  </si>
  <si>
    <t>L-1474-285623974</t>
  </si>
  <si>
    <t>1047569779</t>
  </si>
  <si>
    <t>Bö Ink 255 - Fragm.</t>
  </si>
  <si>
    <t xml:space="preserve">Speculum historiale : </t>
  </si>
  <si>
    <t>L-1493-286685353</t>
  </si>
  <si>
    <t>1048059340</t>
  </si>
  <si>
    <t>Bö Ink 256 - Fragm.</t>
  </si>
  <si>
    <t xml:space="preserve">Missale Ratisponense : </t>
  </si>
  <si>
    <t>L-1490-35325441X</t>
  </si>
  <si>
    <t>1088451101</t>
  </si>
  <si>
    <t>Bö Ink 257 - Fragm.</t>
  </si>
  <si>
    <t xml:space="preserve">Sermones quadragesimales de peccatis etc. : </t>
  </si>
  <si>
    <t>??? EUR</t>
  </si>
  <si>
    <t>L-1495-286290367</t>
  </si>
  <si>
    <t>1047877775</t>
  </si>
  <si>
    <t>Bö Ink 258 - Fragm.</t>
  </si>
  <si>
    <t xml:space="preserve">Formularium instrumentorum : </t>
  </si>
  <si>
    <t>L-1496-286290782</t>
  </si>
  <si>
    <t>1047878534</t>
  </si>
  <si>
    <t>Bö Ink 259 - Fragm.</t>
  </si>
  <si>
    <t xml:space="preserve">Theologica emphasis : </t>
  </si>
  <si>
    <t>L-1499-28632282X</t>
  </si>
  <si>
    <t>1047897032</t>
  </si>
  <si>
    <t>Bö Ink 260 - Fragm.</t>
  </si>
  <si>
    <t xml:space="preserve">Missale dominorum Teutonicorum : </t>
  </si>
  <si>
    <t>L-1479-286784718</t>
  </si>
  <si>
    <t>104816313X</t>
  </si>
  <si>
    <t>Bö Ink 261 - Fragm.</t>
  </si>
  <si>
    <t>L-1483-286785641</t>
  </si>
  <si>
    <t>Bö Ink 262 - Fragm.</t>
  </si>
  <si>
    <t>L-1484-286786516</t>
  </si>
  <si>
    <t>1048166694</t>
  </si>
  <si>
    <t>Bö Ink 263 - Fragm.</t>
  </si>
  <si>
    <t xml:space="preserve">Missale Romanum : </t>
  </si>
  <si>
    <t>L-1477-286786966</t>
  </si>
  <si>
    <t>1048168069</t>
  </si>
  <si>
    <t>Bö Ink 264 - Fragm.</t>
  </si>
  <si>
    <t xml:space="preserve">Biblia aurea : </t>
  </si>
  <si>
    <t>L-1473-286787512</t>
  </si>
  <si>
    <t>1048169669</t>
  </si>
  <si>
    <t>Bö Ink 265 - Fragm.</t>
  </si>
  <si>
    <t>L-1473-287114619</t>
  </si>
  <si>
    <t>1048306054</t>
  </si>
  <si>
    <t>Bö Ink 266 - Fragm.</t>
  </si>
  <si>
    <t xml:space="preserve">Pantheologia : </t>
  </si>
  <si>
    <t>L-1481-291482708</t>
  </si>
  <si>
    <t>1051419549</t>
  </si>
  <si>
    <t>Bö Ink 267 - Fragm.</t>
  </si>
  <si>
    <t xml:space="preserve">Missale Benedictinum : </t>
  </si>
  <si>
    <t>L-1483-297892584</t>
  </si>
  <si>
    <t>1056050667</t>
  </si>
  <si>
    <t>Bö Ink 268 - Fragm.</t>
  </si>
  <si>
    <t xml:space="preserve">[Almanach für Nürnberg auf das Jahr 1484] : </t>
  </si>
  <si>
    <t>L-1475-315067187</t>
  </si>
  <si>
    <t>106667857X</t>
  </si>
  <si>
    <t>Bö Ink 269 - Fragm.</t>
  </si>
  <si>
    <t xml:space="preserve">Biblia : </t>
  </si>
  <si>
    <t>L-1492-478736967</t>
  </si>
  <si>
    <t>1173831592</t>
  </si>
  <si>
    <t>Bö Ink 270 - Fragm.</t>
  </si>
  <si>
    <t xml:space="preserve">Commentum in sex tractarus Summularum logicalium Petri Hispani. Darin: Commentum tractatus correspondentis libro Posteriorum Aristotelis : </t>
  </si>
  <si>
    <t>L-1480-35430609X</t>
  </si>
  <si>
    <t>1091088985</t>
  </si>
  <si>
    <t>Bö Ink 271 - Fragm.</t>
  </si>
  <si>
    <t>L-1483-354310992</t>
  </si>
  <si>
    <t>1091097410</t>
  </si>
  <si>
    <t>Bö Ink 272 - Fragm.</t>
  </si>
  <si>
    <t xml:space="preserve">Von dem Psalter unserer lieben Frau : </t>
  </si>
  <si>
    <t>L-1480-371163129</t>
  </si>
  <si>
    <t>1106570480</t>
  </si>
  <si>
    <t>Bö Ink 273 - Fragm.</t>
  </si>
  <si>
    <t xml:space="preserve">Vita et Fabulae : Prosabearbeitung des Romulus nebst Vita in der Übers. des Rinucius und Fabeln aus anderen Sammlungen, lat. Mit der deutschen Übers. </t>
  </si>
  <si>
    <t>L-1476-373399480</t>
  </si>
  <si>
    <t>1108322905</t>
  </si>
  <si>
    <t>Bö Ink 274 - Fragm.</t>
  </si>
  <si>
    <t xml:space="preserve">De horis canonicis : </t>
  </si>
  <si>
    <t>L-1478-375750975</t>
  </si>
  <si>
    <t>Bö Ink 275 - Fragm.</t>
  </si>
  <si>
    <t>L-1472-376651903</t>
  </si>
  <si>
    <t>1110919883</t>
  </si>
  <si>
    <t>Bö Ink 276 - Fragm.</t>
  </si>
  <si>
    <t>L-9999-37967601X</t>
  </si>
  <si>
    <t>1113034386</t>
  </si>
  <si>
    <t>Bö Ink 277 - Fragm.</t>
  </si>
  <si>
    <t xml:space="preserve">Evangelium : </t>
  </si>
  <si>
    <t>L-1470-379676575</t>
  </si>
  <si>
    <t>1079551522</t>
  </si>
  <si>
    <t>Bö Ink 278 - Fragm.</t>
  </si>
  <si>
    <t>L-1470-379676680</t>
  </si>
  <si>
    <t>1079550437</t>
  </si>
  <si>
    <t>Bö Ink 279 - Fragm.</t>
  </si>
  <si>
    <t>Übersicht über Vollstänigkeit der Inkunabeln (Schuber mit loser Blattsammlung, die in säurehaltiges Papier gehüllt ist) --&gt; bessere Verpackung!</t>
  </si>
  <si>
    <t>von FT aufgenommen, steht am Ende von Bö Ink Normalformaten</t>
  </si>
  <si>
    <t>Klemmsammlung</t>
  </si>
  <si>
    <t xml:space="preserve"> </t>
  </si>
  <si>
    <t xml:space="preserve">Signaturgruppe Bö Ink </t>
  </si>
  <si>
    <t>Standorte</t>
  </si>
  <si>
    <t>Normalformate 4. OG R 43</t>
  </si>
  <si>
    <t>Großformate 4. OG R 37</t>
  </si>
  <si>
    <t>Überformate 4. OG R 42/6/4-5</t>
  </si>
  <si>
    <t>Informationen zu dieser Mappe</t>
  </si>
  <si>
    <t>Die Mappe basiert auf der Excelliste, die 2020 erstellt worde. Veränderungen/Ergänzungen ab 2022 sind unten aufgeführt.</t>
  </si>
  <si>
    <t>Veränderungen an dieser Mappe:</t>
  </si>
  <si>
    <t>Wichtig! Bitte alle relevanten Veränderungen (Einfügen von Zellbezügen, neuen Spalten...) ergänzen, da verschiedene Leute mit der Tabelle arbeiten!!!</t>
  </si>
  <si>
    <t>wann</t>
  </si>
  <si>
    <t>wer</t>
  </si>
  <si>
    <t>was</t>
  </si>
  <si>
    <t>F. Thomschke</t>
  </si>
  <si>
    <t>Einfügen neuer Spalten in das Hauptblatt "Bö_Ink". Diese worden mit Zebra versehen.</t>
  </si>
  <si>
    <t>zusätzlich Zebra in Signaturspalte eingefügt</t>
  </si>
  <si>
    <t>neue Tabellenblätter in die Mappe eingefügt (Infos zu dieser Mappe, Legende_Thomschke, Schäden_Einband, Schäden_Buchblock)</t>
  </si>
  <si>
    <t>relative Zellbezüge eingefügt (auf Bö_Ink, Schäden_Einband, Schäden_Buchblock)</t>
  </si>
  <si>
    <t>grundsätzlich alle Spalten ausgeblendet, die F. Thomschke für die Erfassung nicht benötigt</t>
  </si>
  <si>
    <t>auf dem Hauptblatt alle Zeilen oberhalb der Tabelle (=Angaben zur Aufstellung) auf das Blatt "Infos zu dieser Mappe" übernommen und auf dem Hauptblatt gelöscht --&gt; ist einfacher in Bezug auf 
die relativen Zellbezüge, wenn z.B. Zeilen eingefügt werden</t>
  </si>
  <si>
    <t>Tabellenblatt "Datentransfer" angelegt, damit eine Gesamtauswertung aller Erfassungstabellen erfolgen kann in der Arbeitsmappe "Auswertung_Erfassungstabellen_ab2022" (über dieses "Hilfsmittel" bleiben die relativen Zellbezüge in der Auswertungstabelle erhalten, wenn in den Erfassungstabellen noch Änderungen vorgenommen werden, wie Einfügen oder Löschen von Zeilen / Spalten)</t>
  </si>
  <si>
    <t>Abkürzung</t>
  </si>
  <si>
    <t>Auflösung</t>
  </si>
  <si>
    <t>allg.</t>
  </si>
  <si>
    <t>ÜF</t>
  </si>
  <si>
    <t>Überformat</t>
  </si>
  <si>
    <t>SB</t>
  </si>
  <si>
    <t>Schutzbehältnis</t>
  </si>
  <si>
    <t>Einbandart</t>
  </si>
  <si>
    <t>Br</t>
  </si>
  <si>
    <t>G</t>
  </si>
  <si>
    <t>Gewebeeinband</t>
  </si>
  <si>
    <t>Holzdeckelband</t>
  </si>
  <si>
    <t>Pergamentband (Makulatur)</t>
  </si>
  <si>
    <t>ohne Einband (ungebunden)</t>
  </si>
  <si>
    <t>EB</t>
  </si>
  <si>
    <t>Einzelblätter</t>
  </si>
  <si>
    <t>Rücken</t>
  </si>
  <si>
    <t>fester Rücken</t>
  </si>
  <si>
    <t>fester Rücken mit Vergoldung</t>
  </si>
  <si>
    <t>hohler Rücken mit Einlage</t>
  </si>
  <si>
    <t>Ausstattung</t>
  </si>
  <si>
    <t>Kolorierung</t>
  </si>
  <si>
    <t>B</t>
  </si>
  <si>
    <t>Buchmalerei</t>
  </si>
  <si>
    <t>Initalien</t>
  </si>
  <si>
    <t>Rubrikation</t>
  </si>
  <si>
    <t>Öffnungswinkel (ÖW)</t>
  </si>
  <si>
    <t xml:space="preserve">wirklich nur bei 110 digitalisieren, z.B. wegen Schaden, weil kein Einband vorhanden ist o.ä. </t>
  </si>
  <si>
    <t>max 45/60/110/180</t>
  </si>
  <si>
    <t>Vorteilhafter wäre aus konservatorischer Sicht ein geringerer ÖW, was aber wegen z.B. Faltkarten ws. nicht möglich ist.
Bei der Winkelangabe ist i.d.R. ein Spielraum von ca. 5° möglich, aber bei einigen Büchern eben tatsächlich nicht.</t>
  </si>
  <si>
    <t>Schäden/
Restaurierung</t>
  </si>
  <si>
    <t>v</t>
  </si>
  <si>
    <t>vorn</t>
  </si>
  <si>
    <t>hinten</t>
  </si>
  <si>
    <t>VD</t>
  </si>
  <si>
    <t>Vorderdeckel</t>
  </si>
  <si>
    <t>Rückdeckel</t>
  </si>
  <si>
    <t>o</t>
  </si>
  <si>
    <t>oben</t>
  </si>
  <si>
    <t>u</t>
  </si>
  <si>
    <t>unten</t>
  </si>
  <si>
    <t>Datentransferblatt für Bö Ink</t>
  </si>
  <si>
    <t>Signaturen Gesamtanzahl</t>
  </si>
  <si>
    <t>Buchbinderische Einheiten</t>
  </si>
  <si>
    <t>Anzahl geprüfte Bücher durch Thomschke</t>
  </si>
  <si>
    <t>nicht
am Standort (DA)</t>
  </si>
  <si>
    <t>Anzahl Überformat</t>
  </si>
  <si>
    <t>Anzahl Querformat</t>
  </si>
  <si>
    <t>Besonderheiten (z.B. Perlen)</t>
  </si>
  <si>
    <t>Einband überformt (ganz od. teilweise)</t>
  </si>
  <si>
    <t>Buch bereits restauriert</t>
  </si>
  <si>
    <t>fester Rücken (mit und ohne Vergoldung)</t>
  </si>
  <si>
    <t>hohler Rücken (mit und ohne Einlage)</t>
  </si>
  <si>
    <t>Stehkanten
(bei Perg.)</t>
  </si>
  <si>
    <t>Leder pudert ab/
roter Zerfall (extrem)</t>
  </si>
  <si>
    <t>Einband stark deformiert</t>
  </si>
  <si>
    <t>Beschläge bes. auftragend</t>
  </si>
  <si>
    <t>Buchschließe steif</t>
  </si>
  <si>
    <t>Buchblock</t>
  </si>
  <si>
    <t>Papier</t>
  </si>
  <si>
    <t>Pergament</t>
  </si>
  <si>
    <t>saures
Fülmaterial</t>
  </si>
  <si>
    <t>Registermarken</t>
  </si>
  <si>
    <t>Buchblock sehr wellig</t>
  </si>
  <si>
    <t>Buchblock neigt zum "Bauch"</t>
  </si>
  <si>
    <t>geschlossene Lagen</t>
  </si>
  <si>
    <t>Anzahl Bücher mit Falttafeln</t>
  </si>
  <si>
    <t>Originalgrafik</t>
  </si>
  <si>
    <t>Kolorierung / Buchmalerei / Initialen / Rubrikation</t>
  </si>
  <si>
    <t>berührungsfreie Digit.</t>
  </si>
  <si>
    <t>Schrift weit bis in den Falz (Bundsteg in mm) Textverlust</t>
  </si>
  <si>
    <t>nicht digitalisierbar wegen Bundsteg (vorraussichtlich)</t>
  </si>
  <si>
    <t>max. Öffnungswinkel</t>
  </si>
  <si>
    <t>max 45</t>
  </si>
  <si>
    <t>Digit. mit Begleitung</t>
  </si>
  <si>
    <t>Verschmutzung (Vorsatz / Ränder /
ges. BB)</t>
  </si>
  <si>
    <t>mikrobieller Befall</t>
  </si>
  <si>
    <t>Rest.-Bericht eingeklebt</t>
  </si>
  <si>
    <t>Rest.
notwendig</t>
  </si>
  <si>
    <t>gesamt</t>
  </si>
  <si>
    <t>vor Digit.</t>
  </si>
  <si>
    <t>nach Digit.</t>
  </si>
  <si>
    <t>vor und nach Digit.</t>
  </si>
  <si>
    <t>ja ÖW=0</t>
  </si>
  <si>
    <t>Rest.-Aufwand gesamt
(in Std.)</t>
  </si>
  <si>
    <t>Anzahl erfolgter Restaurierung</t>
  </si>
  <si>
    <t>Buchschuh</t>
  </si>
  <si>
    <t>Öffnungswinkel 45</t>
  </si>
  <si>
    <t>Öffnungswinkel 110</t>
  </si>
  <si>
    <t>Zustandsbewertung Klemmsammlung</t>
  </si>
  <si>
    <t xml:space="preserve">insgesamt ca. X m Regalborde </t>
  </si>
  <si>
    <t>insgesamt ca. 16.000 Bände</t>
  </si>
  <si>
    <t>Begutachtet werden insgesamt mindestens 1500 Bände</t>
  </si>
  <si>
    <t>Für die zu begutachtenden Objekte werden die Schadensklasse,</t>
  </si>
  <si>
    <t xml:space="preserve">das verwendete Material und die bei Schadensklasse 1 und 2 </t>
  </si>
  <si>
    <t>notwendigen Reparaturmaßnahme(en) dokumentiert.</t>
  </si>
  <si>
    <t>Materialien</t>
  </si>
  <si>
    <t>Kürzel</t>
  </si>
  <si>
    <t>Materialbezeichnung</t>
  </si>
  <si>
    <t>Winkel</t>
  </si>
  <si>
    <t>gefaltete Blätter</t>
  </si>
  <si>
    <t>Mappe</t>
  </si>
  <si>
    <t>Kapsel</t>
  </si>
  <si>
    <t>Einband mit Schutz- oder Stoßkanten</t>
  </si>
  <si>
    <t>Buchblock nicht aufgeschnitten</t>
  </si>
  <si>
    <t>stark brüchiges Papier</t>
  </si>
  <si>
    <t>Folie</t>
  </si>
  <si>
    <t>Buchblock aus Pergament</t>
  </si>
  <si>
    <t>stark brüchiges Einbandmaterial</t>
  </si>
  <si>
    <t>Kassette im Schuber</t>
  </si>
  <si>
    <t>Schließen, erhabene Buchbeschläge</t>
  </si>
  <si>
    <t>Tintenfraß</t>
  </si>
  <si>
    <t>Mappen</t>
  </si>
  <si>
    <t>Kupferfraß</t>
  </si>
  <si>
    <t>Originale Schutzhülle</t>
  </si>
  <si>
    <t>seitliche Klammerung oder Bindung</t>
  </si>
  <si>
    <t>Ungebunden</t>
  </si>
  <si>
    <t>stark deformiertes Objekt</t>
  </si>
  <si>
    <t>Buchblock dicker als 20 cm</t>
  </si>
  <si>
    <t>Mehrfacheinbände innerhalb eines Buches</t>
  </si>
  <si>
    <t>Reparaturmaßnahmen</t>
  </si>
  <si>
    <t>Kreide, Pastell oder Rußtinte</t>
  </si>
  <si>
    <t>Wer</t>
  </si>
  <si>
    <t>Reparaturmaßnahme</t>
  </si>
  <si>
    <t>ungewöhnliche Buchform (Dreieck usw.)</t>
  </si>
  <si>
    <t>Trockenreinigung</t>
  </si>
  <si>
    <t>Glasplatte</t>
  </si>
  <si>
    <t>Risse schließen</t>
  </si>
  <si>
    <t>Einbandsicherung</t>
  </si>
  <si>
    <t>nicht verwenden</t>
  </si>
  <si>
    <t>Heftung sichern</t>
  </si>
  <si>
    <t>Kapital sichern</t>
  </si>
  <si>
    <t>Bindung lösen</t>
  </si>
  <si>
    <t>Seiten glätten</t>
  </si>
  <si>
    <t>Verklebung lösen</t>
  </si>
  <si>
    <t>Klebestreifen entfernen</t>
  </si>
  <si>
    <t>Kupferfraß sichern</t>
  </si>
  <si>
    <t>Unklar</t>
  </si>
  <si>
    <t>Tintenfraß sichern</t>
  </si>
  <si>
    <t>Schadensklassen</t>
  </si>
  <si>
    <t>Klasse</t>
  </si>
  <si>
    <t>Beschreibung</t>
  </si>
  <si>
    <t>Objekt ist vollständig benutzbar</t>
  </si>
  <si>
    <t>eingeschränkte Benutzbarkeit, geringer Reparaturaufwand</t>
  </si>
  <si>
    <t>eingeschränkte Benutzbarkeit, hoher Reparaturaufwand</t>
  </si>
  <si>
    <t>Objekt ist nicht benutzbar, größtmöglicher Aufwand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</si>
</sst>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12" x14ac:knownFonts="1">
    <font>
      <sz val="9"/>
      <color theme="1"/>
      <name val="Verdana"/>
      <family val="2"/>
    </font>
    <font>
      <b/>
      <sz val="11"/>
      <color theme="1"/>
      <name val="Verdana"/>
      <family val="2"/>
    </font>
    <font>
      <b/>
      <sz val="9"/>
      <color theme="1"/>
      <name val="Verdana"/>
      <family val="2"/>
    </font>
    <font>
      <b/>
      <sz val="10"/>
      <color theme="1"/>
      <name val="Verdana"/>
      <family val="2"/>
    </font>
    <font>
      <sz val="10"/>
      <color theme="1"/>
      <name val="Verdana"/>
      <family val="2"/>
    </font>
    <font>
      <sz val="9"/>
      <color theme="1"/>
      <name val="Verdana"/>
      <family val="2"/>
    </font>
    <font>
      <sz val="9"/>
      <name val="Verdana"/>
      <family val="2"/>
    </font>
    <font>
      <b/>
      <sz val="9"/>
      <name val="Verdana"/>
      <family val="2"/>
    </font>
    <font>
      <b/>
      <i/>
      <sz val="9"/>
      <color theme="1"/>
      <name val="Verdana"/>
      <family val="2"/>
    </font>
    <font>
      <b/>
      <sz val="9"/>
      <color rgb="FFFF0000"/>
      <name val="Verdana"/>
      <family val="2"/>
    </font>
    <font>
      <i/>
      <sz val="9"/>
      <color theme="1"/>
      <name val="Verdana"/>
      <family val="2"/>
    </font>
    <font>
      <sz val="9"/>
      <color rgb="FFFF0000"/>
      <name val="Verdana"/>
      <family val="2"/>
    </font>
  </fonts>
  <fills count="4">
    <fill>
      <patternFill patternType="none"/>
    </fill>
    <fill>
      <patternFill patternType="gray125"/>
    </fill>
    <fill>
      <patternFill patternType="solid">
        <fgColor theme="0" tint="-0.14999847407452621"/>
        <bgColor indexed="64"/>
      </patternFill>
    </fill>
    <fill>
      <patternFill patternType="solid">
        <fgColor theme="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bottom/>
      <diagonal/>
    </border>
  </borders>
  <cellStyleXfs count="2">
    <xf numFmtId="0" fontId="0" fillId="0" borderId="0"/>
    <xf numFmtId="9" fontId="5" fillId="0" borderId="0"/>
  </cellStyleXfs>
  <cellXfs count="78">
    <xf numFmtId="0" fontId="0" fillId="0" borderId="0" xfId="0"/>
    <xf numFmtId="0" fontId="1" fillId="0" borderId="0" xfId="0" applyFont="1"/>
    <xf numFmtId="0" fontId="2" fillId="0" borderId="0" xfId="0" applyFont="1"/>
    <xf numFmtId="0" fontId="0" fillId="0" borderId="2" xfId="0" applyBorder="1"/>
    <xf numFmtId="0" fontId="0" fillId="0" borderId="3" xfId="0" applyBorder="1"/>
    <xf numFmtId="0" fontId="4" fillId="0" borderId="11" xfId="0" applyFont="1" applyBorder="1"/>
    <xf numFmtId="0" fontId="4" fillId="0" borderId="6" xfId="0" applyFont="1" applyBorder="1"/>
    <xf numFmtId="0" fontId="4" fillId="0" borderId="7" xfId="0" applyFont="1" applyBorder="1"/>
    <xf numFmtId="3" fontId="0" fillId="0" borderId="1" xfId="0" applyNumberFormat="1" applyBorder="1"/>
    <xf numFmtId="0" fontId="0" fillId="0" borderId="1" xfId="0" applyBorder="1" applyAlignment="1">
      <alignment horizontal="right"/>
    </xf>
    <xf numFmtId="3" fontId="0" fillId="0" borderId="1" xfId="0" applyNumberFormat="1" applyBorder="1" applyAlignment="1">
      <alignment horizontal="right"/>
    </xf>
    <xf numFmtId="9" fontId="0" fillId="0" borderId="7" xfId="1" applyFont="1" applyBorder="1" applyAlignment="1">
      <alignment horizontal="right"/>
    </xf>
    <xf numFmtId="0" fontId="0" fillId="0" borderId="0" xfId="0" applyAlignment="1">
      <alignment horizontal="right"/>
    </xf>
    <xf numFmtId="9" fontId="0" fillId="0" borderId="3" xfId="1" applyFont="1" applyBorder="1" applyAlignment="1">
      <alignment horizontal="right"/>
    </xf>
    <xf numFmtId="3" fontId="0" fillId="0" borderId="0" xfId="0" applyNumberFormat="1" applyAlignment="1">
      <alignment horizontal="right"/>
    </xf>
    <xf numFmtId="3" fontId="0" fillId="0" borderId="0" xfId="0" applyNumberFormat="1"/>
    <xf numFmtId="0" fontId="0" fillId="0" borderId="0" xfId="0" applyAlignment="1">
      <alignment horizontal="left"/>
    </xf>
    <xf numFmtId="164" fontId="0" fillId="0" borderId="6" xfId="1" applyNumberFormat="1" applyFont="1" applyBorder="1" applyAlignment="1">
      <alignment horizontal="right"/>
    </xf>
    <xf numFmtId="164" fontId="0" fillId="0" borderId="7" xfId="1" applyNumberFormat="1" applyFont="1" applyBorder="1" applyAlignment="1">
      <alignment horizontal="right"/>
    </xf>
    <xf numFmtId="164" fontId="0" fillId="0" borderId="0" xfId="0" applyNumberFormat="1" applyAlignment="1">
      <alignment horizontal="right"/>
    </xf>
    <xf numFmtId="164" fontId="0" fillId="0" borderId="11" xfId="1" applyNumberFormat="1" applyFont="1" applyBorder="1" applyAlignment="1">
      <alignment horizontal="right"/>
    </xf>
    <xf numFmtId="164" fontId="0" fillId="0" borderId="8" xfId="1" applyNumberFormat="1" applyFont="1" applyBorder="1" applyAlignment="1">
      <alignment horizontal="right"/>
    </xf>
    <xf numFmtId="164" fontId="0" fillId="0" borderId="2" xfId="1" applyNumberFormat="1" applyFont="1" applyBorder="1" applyAlignment="1">
      <alignment horizontal="right"/>
    </xf>
    <xf numFmtId="164" fontId="0" fillId="0" borderId="3" xfId="1" applyNumberFormat="1" applyFont="1" applyBorder="1" applyAlignment="1">
      <alignment horizontal="right"/>
    </xf>
    <xf numFmtId="3" fontId="0" fillId="0" borderId="11" xfId="0" applyNumberFormat="1" applyBorder="1"/>
    <xf numFmtId="3" fontId="0" fillId="0" borderId="6" xfId="0" applyNumberFormat="1" applyBorder="1"/>
    <xf numFmtId="3" fontId="0" fillId="0" borderId="7" xfId="0" applyNumberFormat="1" applyBorder="1"/>
    <xf numFmtId="164" fontId="6" fillId="0" borderId="0" xfId="1" applyNumberFormat="1" applyFont="1" applyAlignment="1">
      <alignment horizontal="right"/>
    </xf>
    <xf numFmtId="164" fontId="6" fillId="0" borderId="9" xfId="1" applyNumberFormat="1" applyFont="1" applyBorder="1" applyAlignment="1">
      <alignment horizontal="right"/>
    </xf>
    <xf numFmtId="164" fontId="6" fillId="0" borderId="0" xfId="0" applyNumberFormat="1" applyFont="1" applyAlignment="1">
      <alignment horizontal="right"/>
    </xf>
    <xf numFmtId="0" fontId="2" fillId="0" borderId="1" xfId="0" applyFont="1" applyBorder="1"/>
    <xf numFmtId="0" fontId="2" fillId="0" borderId="1" xfId="0" applyFont="1" applyBorder="1" applyAlignment="1">
      <alignment horizontal="right"/>
    </xf>
    <xf numFmtId="3" fontId="2" fillId="0" borderId="1" xfId="0" applyNumberFormat="1" applyFont="1" applyBorder="1" applyAlignment="1">
      <alignment horizontal="right"/>
    </xf>
    <xf numFmtId="0" fontId="2" fillId="0" borderId="4" xfId="0" applyFont="1" applyBorder="1"/>
    <xf numFmtId="0" fontId="2" fillId="0" borderId="10" xfId="0" applyFont="1" applyBorder="1" applyAlignment="1">
      <alignment horizontal="right"/>
    </xf>
    <xf numFmtId="3" fontId="2" fillId="0" borderId="11" xfId="0" applyNumberFormat="1" applyFont="1" applyBorder="1" applyAlignment="1">
      <alignment horizontal="right"/>
    </xf>
    <xf numFmtId="164" fontId="2" fillId="0" borderId="1" xfId="0" applyNumberFormat="1" applyFont="1" applyBorder="1" applyAlignment="1">
      <alignment horizontal="right"/>
    </xf>
    <xf numFmtId="164" fontId="7" fillId="0" borderId="10" xfId="0" applyNumberFormat="1" applyFont="1" applyBorder="1" applyAlignment="1">
      <alignment horizontal="right"/>
    </xf>
    <xf numFmtId="164" fontId="2" fillId="0" borderId="10" xfId="0" applyNumberFormat="1" applyFont="1" applyBorder="1" applyAlignment="1">
      <alignment horizontal="right"/>
    </xf>
    <xf numFmtId="0" fontId="2" fillId="0" borderId="8" xfId="0" applyFont="1" applyBorder="1"/>
    <xf numFmtId="0" fontId="2" fillId="2" borderId="1" xfId="0" applyFont="1" applyFill="1" applyBorder="1"/>
    <xf numFmtId="0" fontId="4" fillId="0" borderId="0" xfId="0" applyFont="1" applyAlignment="1">
      <alignment vertical="center" wrapText="1"/>
    </xf>
    <xf numFmtId="0" fontId="4" fillId="0" borderId="2" xfId="0" applyFont="1" applyBorder="1" applyAlignment="1">
      <alignment vertical="center" wrapText="1"/>
    </xf>
    <xf numFmtId="0" fontId="0" fillId="0" borderId="1" xfId="0" applyBorder="1"/>
    <xf numFmtId="0" fontId="0" fillId="0" borderId="1" xfId="0" applyBorder="1" applyAlignment="1">
      <alignment horizontal="left"/>
    </xf>
    <xf numFmtId="0" fontId="0" fillId="0" borderId="4" xfId="0" applyBorder="1" applyAlignment="1">
      <alignment vertical="center" wrapText="1"/>
    </xf>
    <xf numFmtId="0" fontId="0" fillId="0" borderId="1" xfId="0" applyBorder="1" applyAlignment="1">
      <alignment horizontal="left" vertical="center"/>
    </xf>
    <xf numFmtId="0" fontId="2" fillId="2" borderId="4" xfId="0" applyFont="1" applyFill="1" applyBorder="1"/>
    <xf numFmtId="0" fontId="2" fillId="2" borderId="5" xfId="0" applyFont="1" applyFill="1" applyBorder="1" applyAlignment="1">
      <alignment vertical="center" wrapText="1"/>
    </xf>
    <xf numFmtId="0" fontId="0" fillId="0" borderId="1" xfId="0" applyBorder="1" applyAlignment="1">
      <alignment vertical="center" wrapText="1"/>
    </xf>
    <xf numFmtId="0" fontId="0" fillId="0" borderId="1" xfId="0" applyBorder="1" applyAlignment="1">
      <alignment wrapText="1"/>
    </xf>
    <xf numFmtId="0" fontId="0" fillId="0" borderId="11" xfId="0" applyBorder="1"/>
    <xf numFmtId="0" fontId="7" fillId="2" borderId="1" xfId="0" applyFont="1" applyFill="1" applyBorder="1"/>
    <xf numFmtId="0" fontId="0" fillId="0" borderId="5" xfId="0" applyBorder="1"/>
    <xf numFmtId="0" fontId="0" fillId="3" borderId="1" xfId="0" applyFill="1" applyBorder="1"/>
    <xf numFmtId="0" fontId="0" fillId="0" borderId="6" xfId="0" applyBorder="1"/>
    <xf numFmtId="0" fontId="2" fillId="0" borderId="0" xfId="0" applyFont="1" applyAlignment="1">
      <alignment horizontal="left" vertical="top"/>
    </xf>
    <xf numFmtId="0" fontId="10" fillId="0" borderId="0" xfId="0" applyFont="1" applyAlignment="1">
      <alignment horizontal="left" vertical="top"/>
    </xf>
    <xf numFmtId="0" fontId="0" fillId="0" borderId="0" xfId="0"/>
    <xf numFmtId="0" fontId="10" fillId="0" borderId="0" xfId="0" applyFont="1" applyAlignment="1">
      <alignment horizontal="left" vertical="top" wrapText="1"/>
    </xf>
    <xf numFmtId="0" fontId="0" fillId="0" borderId="0" xfId="0" applyAlignment="1">
      <alignment horizontal="left" vertical="top"/>
    </xf>
    <xf numFmtId="0" fontId="0" fillId="0" borderId="12" xfId="0" applyBorder="1" applyAlignment="1">
      <alignment horizontal="left" vertical="top" wrapText="1"/>
    </xf>
    <xf numFmtId="0" fontId="0" fillId="0" borderId="12" xfId="0" applyBorder="1" applyAlignment="1">
      <alignment horizontal="left" vertical="top"/>
    </xf>
    <xf numFmtId="0" fontId="11" fillId="0" borderId="0" xfId="0" applyFont="1" applyAlignment="1">
      <alignment horizontal="left" vertical="top" wrapText="1"/>
    </xf>
    <xf numFmtId="2" fontId="0" fillId="0" borderId="0" xfId="0" applyNumberFormat="1" applyAlignment="1">
      <alignment horizontal="left" vertical="top" wrapText="1"/>
    </xf>
    <xf numFmtId="0" fontId="1" fillId="0" borderId="0" xfId="0" applyFont="1" applyAlignment="1">
      <alignment vertical="top"/>
    </xf>
    <xf numFmtId="0" fontId="2" fillId="0" borderId="0" xfId="0" applyFont="1" applyAlignment="1">
      <alignment vertical="top"/>
    </xf>
    <xf numFmtId="0" fontId="3" fillId="0" borderId="0" xfId="0" applyFont="1" applyAlignment="1">
      <alignment vertical="top"/>
    </xf>
    <xf numFmtId="0" fontId="8" fillId="0" borderId="0" xfId="0" applyFont="1" applyAlignment="1">
      <alignment vertical="top"/>
    </xf>
    <xf numFmtId="0" fontId="9" fillId="0" borderId="0" xfId="0" applyFont="1" applyAlignment="1">
      <alignment vertical="top"/>
    </xf>
    <xf numFmtId="14" fontId="0" fillId="0" borderId="0" xfId="0" applyNumberFormat="1" applyAlignment="1">
      <alignment horizontal="left" vertical="top"/>
    </xf>
    <xf numFmtId="0" fontId="0" fillId="0" borderId="0" xfId="0" applyAlignment="1">
      <alignment horizontal="left" vertical="top" wrapText="1"/>
    </xf>
    <xf numFmtId="0" fontId="0" fillId="0" borderId="0" xfId="0" applyAlignment="1">
      <alignment vertical="top"/>
    </xf>
    <xf numFmtId="0" fontId="0" fillId="0" borderId="0" xfId="0" applyAlignment="1">
      <alignment vertical="top" wrapText="1"/>
    </xf>
    <xf numFmtId="0" fontId="2" fillId="0" borderId="0" xfId="0" applyFont="1" applyAlignment="1">
      <alignment horizontal="left" vertical="top" wrapText="1"/>
    </xf>
    <xf numFmtId="0" fontId="0" fillId="0" borderId="12" xfId="0" applyBorder="1"/>
    <xf numFmtId="0" fontId="2" fillId="0" borderId="12" xfId="0" applyFont="1" applyBorder="1" applyAlignment="1">
      <alignment horizontal="left" vertical="top" wrapText="1"/>
    </xf>
    <xf numFmtId="0" fontId="0" fillId="0" borderId="12" xfId="0" applyBorder="1"/>
  </cellXfs>
  <cellStyles count="2">
    <cellStyle name="Prozent" xfId="1" builtinId="5"/>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id="1" name="Basistabelle" displayName="Basistabelle" ref="A1:DG278">
  <autoFilter ref="A1:DG278"/>
  <tableColumns count="111">
    <tableColumn id="1" name="Gruppe"/>
    <tableColumn id="2" name="digi"/>
    <tableColumn id="3" name="Restaurierung"/>
    <tableColumn id="4" name="Whitelist"/>
    <tableColumn id="5" name="Lfd Nr."/>
    <tableColumn id="6" name="Link zum Portal"/>
    <tableColumn id="7" name="bbg"/>
    <tableColumn id="8" name="AKZ"/>
    <tableColumn id="9" name="IDN"/>
    <tableColumn id="10" name="signatur_g"/>
    <tableColumn id="11" name="signatur_a"/>
    <tableColumn id="12" name="Signatur"/>
    <tableColumn id="13" name="steht bei_x000a_/ Anm._x000a_zur_x000a_Signatur"/>
    <tableColumn id="14" name="titel"/>
    <tableColumn id="15" name="stuecktitel"/>
    <tableColumn id="16" name="Provenienzmerkmal"/>
    <tableColumn id="17" name="wert"/>
    <tableColumn id="18" name="Material"/>
    <tableColumn id="19" name="Format"/>
    <tableColumn id="20" name="Öffnungswinkel"/>
    <tableColumn id="21" name="Einschränkungen"/>
    <tableColumn id="22" name="Glasplatte "/>
    <tableColumn id="23" name="Verpackung"/>
    <tableColumn id="24" name="Verpackung austauschen "/>
    <tableColumn id="25" name="Schadensklasse"/>
    <tableColumn id="26" name="notwendige Reparatur(en) vor der Digitalisierung, notwendige Reparatur(en) vor der Digitalisierung"/>
    <tableColumn id="27" name="Bemerkungen"/>
    <tableColumn id="28" name="Fragen/ Hinweise_x000a_an DBSM"/>
    <tableColumn id="29" name="Fragen an M. Steinberg"/>
    <tableColumn id="30" name="nicht_x000a_am Stand-ort"/>
    <tableColumn id="31" name="Größe ÜF_x000a_(BxH)"/>
    <tableColumn id="32" name="Breite_x000a_(nur Ausreißer)"/>
    <tableColumn id="33" name="Dicke_x000a_(&gt;12 cm)"/>
    <tableColumn id="34" name="12° Format_x000a_(&lt;15 cm)"/>
    <tableColumn id="35" name="Einband-_x000a_art"/>
    <tableColumn id="36" name="Einband-_x000a_art Kommentar"/>
    <tableColumn id="37" name="Einband über-_x000a_formt (ganz od. teilweise)"/>
    <tableColumn id="38" name="Buch bereits restau-riert"/>
    <tableColumn id="39" name="hohler/_x000a_fester Rücken (mit Einlage/_x000a_Vergoldung?)"/>
    <tableColumn id="40" name="Steh-_x000a_kanten_x000a_(bei Perg.)"/>
    <tableColumn id="41" name="Leder pudert ab/roter Zerfall (extrem)"/>
    <tableColumn id="42" name="Einband stark defor-miert"/>
    <tableColumn id="43" name="Be-schläge bes. auftra-gend"/>
    <tableColumn id="44" name="Buch-schließe steif"/>
    <tableColumn id="45" name="Buch-block Pa./Perg."/>
    <tableColumn id="46" name="saures Füll-material"/>
    <tableColumn id="47" name="Register-marken"/>
    <tableColumn id="48" name="seitliche Heftung"/>
    <tableColumn id="49" name="Buch-block sehr wellig"/>
    <tableColumn id="50" name="Buch-block neigt zum &quot;Bauch&quot;"/>
    <tableColumn id="51" name="ge-schloss-ene Lagen"/>
    <tableColumn id="52" name="Falttafeln"/>
    <tableColumn id="53" name="Größe Buch+_x000a_Falttafeln (BxH)"/>
    <tableColumn id="54" name="Original-grafik"/>
    <tableColumn id="55" name="Kolorier-ung / Buch-malerei / Initialen / Rubri-kation"/>
    <tableColumn id="56" name="berühr-ungsfreie Digit."/>
    <tableColumn id="57" name="Schrift weit bis in den Falz (Bund-steg in mm) Text-verlust"/>
    <tableColumn id="58" name="nicht digitali-sierbar wegen Bund-steg (vorraus-sichtlich)"/>
    <tableColumn id="59" name="max. Öffnungs-winkel"/>
    <tableColumn id="60" name="max. Öffnungs-winkel Kommentar"/>
    <tableColumn id="61" name="Digit. mit Begleit-ung"/>
    <tableColumn id="62" name="Digit. mit Begleit-ung Kommentar"/>
    <tableColumn id="63" name="Rest.-Bericht einge-klebt"/>
    <tableColumn id="64" name="Blatt mit Notizen zum Buch eingeklebt "/>
    <tableColumn id="65" name="Rest._x000a_not-wendig (ja/nein) (vor/nach der Digit.)"/>
    <tableColumn id="66" name="Rest.-_x000a_Aufwand gesamt_x000a_(in Std.)"/>
    <tableColumn id="67" name="Rest._x000a_erfolgt"/>
    <tableColumn id="68" name="Kassette"/>
    <tableColumn id="69" name="Schuber"/>
    <tableColumn id="70" name="Buch-schuh"/>
    <tableColumn id="71" name="Mappe "/>
    <tableColumn id="72" name="Um-schlag"/>
    <tableColumn id="73" name="SB neu"/>
    <tableColumn id="74" name="Anmerkungen (allg.)"/>
    <tableColumn id="75" name="für Testphase_x000a_vorsehen"/>
    <tableColumn id="76" name="für Testphase_x000a_vorsehen Kommentar"/>
    <tableColumn id="77" name="Schutzbehältnis empfohlen"/>
    <tableColumn id="78" name="Foto für Erheb. Rest. angefertigt (ab August)"/>
    <tableColumn id="79" name="feuchte-empfind-liches Leder"/>
    <tableColumn id="80" name="Material am Rücken/_x000a_Einband lose / eingeris-sen (auch Titelschild)"/>
    <tableColumn id="81" name="Narben spaltet sich ab"/>
    <tableColumn id="82" name="Gelenk(e) _x000a_an/durch-gebro-chen"/>
    <tableColumn id="83" name="Bünde gebro-chen (Anzahl)"/>
    <tableColumn id="84" name="Rücken lose/_x000a_halb lose"/>
    <tableColumn id="85" name="Be-schläge locker"/>
    <tableColumn id="86" name="Buch_x000a_schließe fragil"/>
    <tableColumn id="87" name="Deckel spaltet sich / Fehlstelle im Deckel"/>
    <tableColumn id="88" name="Deckel gebro-chen"/>
    <tableColumn id="89" name="Deckel lose / halb lose"/>
    <tableColumn id="90" name="Kapital fragil/_x000a_lose"/>
    <tableColumn id="91" name="Rest.-Aufwand Einband _x000a_(in Std.)"/>
    <tableColumn id="92" name="Anmerkungen für die Restaurierung am Einband"/>
    <tableColumn id="93" name="Ver-schmutz-ung (Vorsatz / Ränder /_x000a_ges. BB)"/>
    <tableColumn id="94" name="mikro-bieller Befall"/>
    <tableColumn id="95" name="Farb-schicht pudert"/>
    <tableColumn id="96" name="Buch-block / Seiten verblockt"/>
    <tableColumn id="97" name="erste / letzte Lage oder Seiten lose"/>
    <tableColumn id="98" name="(halb-) lose Seiten im BB"/>
    <tableColumn id="99" name="Heftung zerstört"/>
    <tableColumn id="100" name="Risse / Fehl-stellen im Vorsatz"/>
    <tableColumn id="101" name="Risse im Text-bereich / an exponier-ter Stelle (z.B. Ecke)"/>
    <tableColumn id="102" name="Risse am Rand"/>
    <tableColumn id="103" name="Fehl-stellen im BB_x000a_(groß) "/>
    <tableColumn id="104" name="Insekten-fraß (stark)"/>
    <tableColumn id="105" name="Falten / Knicke"/>
    <tableColumn id="106" name="saures /_x000a_brüchiges Papier"/>
    <tableColumn id="107" name="Tinten-/ Farbfraß (akut)"/>
    <tableColumn id="108" name="Register-marken fragil"/>
    <tableColumn id="109" name="Klebe-_x000a_streifen ablösen"/>
    <tableColumn id="110" name="Rest.-Aufwand Buchblock_x000a_(in Std.)"/>
    <tableColumn id="111" name="Anmerkungen für die Restaurierung am Buchblock"/>
  </tableColumns>
  <tableStyleInfo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G278"/>
  <sheetViews>
    <sheetView tabSelected="1" topLeftCell="CN1" workbookViewId="0">
      <selection activeCell="DH1" sqref="DH1:DH1048576"/>
    </sheetView>
  </sheetViews>
  <sheetFormatPr baseColWidth="10" defaultColWidth="8.796875" defaultRowHeight="11.4" x14ac:dyDescent="0.2"/>
  <sheetData>
    <row r="1" spans="1:111" x14ac:dyDescent="0.2">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c r="BI1" t="s">
        <v>60</v>
      </c>
      <c r="BJ1" t="s">
        <v>61</v>
      </c>
      <c r="BK1" t="s">
        <v>62</v>
      </c>
      <c r="BL1" t="s">
        <v>63</v>
      </c>
      <c r="BM1" t="s">
        <v>64</v>
      </c>
      <c r="BN1" t="s">
        <v>65</v>
      </c>
      <c r="BO1" t="s">
        <v>66</v>
      </c>
      <c r="BP1" t="s">
        <v>67</v>
      </c>
      <c r="BQ1" t="s">
        <v>68</v>
      </c>
      <c r="BR1" t="s">
        <v>69</v>
      </c>
      <c r="BS1" t="s">
        <v>70</v>
      </c>
      <c r="BT1" t="s">
        <v>71</v>
      </c>
      <c r="BU1" t="s">
        <v>72</v>
      </c>
      <c r="BV1" t="s">
        <v>73</v>
      </c>
      <c r="BW1" t="s">
        <v>74</v>
      </c>
      <c r="BX1" t="s">
        <v>75</v>
      </c>
      <c r="BY1" t="s">
        <v>76</v>
      </c>
      <c r="BZ1" t="s">
        <v>77</v>
      </c>
      <c r="CA1" t="s">
        <v>78</v>
      </c>
      <c r="CB1" t="s">
        <v>79</v>
      </c>
      <c r="CC1" t="s">
        <v>80</v>
      </c>
      <c r="CD1" t="s">
        <v>81</v>
      </c>
      <c r="CE1" t="s">
        <v>82</v>
      </c>
      <c r="CF1" t="s">
        <v>83</v>
      </c>
      <c r="CG1" t="s">
        <v>84</v>
      </c>
      <c r="CH1" t="s">
        <v>85</v>
      </c>
      <c r="CI1" t="s">
        <v>86</v>
      </c>
      <c r="CJ1" t="s">
        <v>87</v>
      </c>
      <c r="CK1" t="s">
        <v>88</v>
      </c>
      <c r="CL1" t="s">
        <v>89</v>
      </c>
      <c r="CM1" t="s">
        <v>90</v>
      </c>
      <c r="CN1" t="s">
        <v>91</v>
      </c>
      <c r="CO1" t="s">
        <v>92</v>
      </c>
      <c r="CP1" t="s">
        <v>93</v>
      </c>
      <c r="CQ1" t="s">
        <v>94</v>
      </c>
      <c r="CR1" t="s">
        <v>95</v>
      </c>
      <c r="CS1" t="s">
        <v>96</v>
      </c>
      <c r="CT1" t="s">
        <v>97</v>
      </c>
      <c r="CU1" t="s">
        <v>98</v>
      </c>
      <c r="CV1" t="s">
        <v>99</v>
      </c>
      <c r="CW1" t="s">
        <v>100</v>
      </c>
      <c r="CX1" t="s">
        <v>101</v>
      </c>
      <c r="CY1" t="s">
        <v>102</v>
      </c>
      <c r="CZ1" t="s">
        <v>103</v>
      </c>
      <c r="DA1" t="s">
        <v>104</v>
      </c>
      <c r="DB1" t="s">
        <v>105</v>
      </c>
      <c r="DC1" t="s">
        <v>106</v>
      </c>
      <c r="DD1" t="s">
        <v>107</v>
      </c>
      <c r="DE1" t="s">
        <v>108</v>
      </c>
      <c r="DF1" t="s">
        <v>109</v>
      </c>
      <c r="DG1" t="s">
        <v>110</v>
      </c>
    </row>
    <row r="2" spans="1:111" x14ac:dyDescent="0.2">
      <c r="A2" t="s">
        <v>111</v>
      </c>
      <c r="B2" t="b">
        <v>1</v>
      </c>
      <c r="E2">
        <v>1</v>
      </c>
      <c r="F2" t="str">
        <f>HYPERLINK("https://portal.dnb.de/opac.htm?method=simpleSearch&amp;cqlMode=true&amp;query=idn%3D1072233045", "Portal")</f>
        <v>Portal</v>
      </c>
      <c r="G2" t="s">
        <v>112</v>
      </c>
      <c r="H2" t="s">
        <v>113</v>
      </c>
      <c r="I2" t="s">
        <v>114</v>
      </c>
      <c r="J2" t="s">
        <v>115</v>
      </c>
      <c r="K2" t="s">
        <v>115</v>
      </c>
      <c r="L2" t="s">
        <v>116</v>
      </c>
      <c r="N2" t="s">
        <v>117</v>
      </c>
      <c r="O2" t="s">
        <v>118</v>
      </c>
      <c r="P2" t="s">
        <v>119</v>
      </c>
      <c r="R2" t="s">
        <v>120</v>
      </c>
      <c r="S2" t="s">
        <v>121</v>
      </c>
      <c r="T2" t="s">
        <v>122</v>
      </c>
      <c r="W2" t="s">
        <v>123</v>
      </c>
      <c r="X2" t="s">
        <v>124</v>
      </c>
      <c r="Y2">
        <v>0</v>
      </c>
      <c r="AA2" t="s">
        <v>125</v>
      </c>
      <c r="AI2" t="s">
        <v>126</v>
      </c>
      <c r="AS2" t="s">
        <v>127</v>
      </c>
      <c r="BG2" t="s">
        <v>128</v>
      </c>
      <c r="BM2" t="s">
        <v>129</v>
      </c>
      <c r="BN2">
        <v>0</v>
      </c>
      <c r="BS2" t="s">
        <v>130</v>
      </c>
      <c r="BV2" t="s">
        <v>131</v>
      </c>
    </row>
    <row r="3" spans="1:111" x14ac:dyDescent="0.2">
      <c r="A3" t="s">
        <v>111</v>
      </c>
      <c r="B3" t="b">
        <v>1</v>
      </c>
      <c r="E3">
        <v>2</v>
      </c>
      <c r="F3" t="str">
        <f>HYPERLINK("https://portal.dnb.de/opac.htm?method=simpleSearch&amp;cqlMode=true&amp;query=idn%3D106696517X", "Portal")</f>
        <v>Portal</v>
      </c>
      <c r="G3" t="s">
        <v>112</v>
      </c>
      <c r="H3" t="s">
        <v>132</v>
      </c>
      <c r="I3" t="s">
        <v>133</v>
      </c>
      <c r="J3" t="s">
        <v>134</v>
      </c>
      <c r="K3" t="s">
        <v>134</v>
      </c>
      <c r="L3" t="s">
        <v>135</v>
      </c>
      <c r="N3" t="s">
        <v>136</v>
      </c>
      <c r="O3" t="s">
        <v>118</v>
      </c>
      <c r="P3" t="s">
        <v>119</v>
      </c>
      <c r="R3" t="s">
        <v>137</v>
      </c>
      <c r="S3" t="s">
        <v>121</v>
      </c>
      <c r="T3" t="s">
        <v>122</v>
      </c>
      <c r="U3" t="s">
        <v>138</v>
      </c>
      <c r="V3" t="s">
        <v>139</v>
      </c>
      <c r="X3" t="s">
        <v>140</v>
      </c>
      <c r="Y3">
        <v>0</v>
      </c>
      <c r="AI3" t="s">
        <v>127</v>
      </c>
      <c r="AM3" t="s">
        <v>141</v>
      </c>
      <c r="AS3" t="s">
        <v>127</v>
      </c>
      <c r="BC3" t="s">
        <v>142</v>
      </c>
      <c r="BD3" t="s">
        <v>130</v>
      </c>
      <c r="BG3" t="s">
        <v>128</v>
      </c>
      <c r="BM3" t="s">
        <v>129</v>
      </c>
      <c r="BN3">
        <v>0</v>
      </c>
    </row>
    <row r="4" spans="1:111" x14ac:dyDescent="0.2">
      <c r="A4" t="s">
        <v>111</v>
      </c>
      <c r="B4" t="b">
        <v>1</v>
      </c>
      <c r="E4">
        <v>3</v>
      </c>
      <c r="F4" t="str">
        <f>HYPERLINK("https://portal.dnb.de/opac.htm?method=simpleSearch&amp;cqlMode=true&amp;query=idn%3D1066969973", "Portal")</f>
        <v>Portal</v>
      </c>
      <c r="G4" t="s">
        <v>143</v>
      </c>
      <c r="H4" t="s">
        <v>144</v>
      </c>
      <c r="I4" t="s">
        <v>145</v>
      </c>
      <c r="J4" t="s">
        <v>146</v>
      </c>
      <c r="K4" t="s">
        <v>146</v>
      </c>
      <c r="L4" t="s">
        <v>147</v>
      </c>
      <c r="N4" t="s">
        <v>148</v>
      </c>
      <c r="O4" t="s">
        <v>118</v>
      </c>
      <c r="P4" t="s">
        <v>119</v>
      </c>
      <c r="R4" t="s">
        <v>149</v>
      </c>
      <c r="S4" t="s">
        <v>121</v>
      </c>
      <c r="T4" t="s">
        <v>150</v>
      </c>
      <c r="U4" t="s">
        <v>151</v>
      </c>
      <c r="V4" t="s">
        <v>139</v>
      </c>
      <c r="X4" t="s">
        <v>140</v>
      </c>
      <c r="Y4">
        <v>1</v>
      </c>
      <c r="AI4" t="s">
        <v>152</v>
      </c>
      <c r="AM4" t="s">
        <v>153</v>
      </c>
      <c r="AS4" t="s">
        <v>127</v>
      </c>
      <c r="BC4" t="s">
        <v>142</v>
      </c>
      <c r="BD4" t="s">
        <v>130</v>
      </c>
      <c r="BG4" t="s">
        <v>128</v>
      </c>
      <c r="BM4" t="s">
        <v>129</v>
      </c>
      <c r="BN4">
        <v>0</v>
      </c>
    </row>
    <row r="5" spans="1:111" x14ac:dyDescent="0.2">
      <c r="A5" t="s">
        <v>111</v>
      </c>
      <c r="B5" t="b">
        <v>1</v>
      </c>
      <c r="E5">
        <v>4</v>
      </c>
      <c r="F5" t="str">
        <f>HYPERLINK("https://portal.dnb.de/opac.htm?method=simpleSearch&amp;cqlMode=true&amp;query=idn%3D1072233584", "Portal")</f>
        <v>Portal</v>
      </c>
      <c r="G5" t="s">
        <v>112</v>
      </c>
      <c r="H5" t="s">
        <v>154</v>
      </c>
      <c r="I5" t="s">
        <v>155</v>
      </c>
      <c r="J5" t="s">
        <v>156</v>
      </c>
      <c r="K5" t="s">
        <v>156</v>
      </c>
      <c r="L5" t="s">
        <v>157</v>
      </c>
      <c r="N5" t="s">
        <v>158</v>
      </c>
      <c r="O5" t="s">
        <v>118</v>
      </c>
      <c r="P5" t="s">
        <v>119</v>
      </c>
      <c r="R5" t="s">
        <v>137</v>
      </c>
      <c r="S5" t="s">
        <v>121</v>
      </c>
      <c r="T5" t="s">
        <v>122</v>
      </c>
      <c r="U5" t="s">
        <v>159</v>
      </c>
      <c r="X5" t="s">
        <v>140</v>
      </c>
      <c r="Y5">
        <v>0</v>
      </c>
      <c r="AI5" t="s">
        <v>127</v>
      </c>
      <c r="AM5" t="s">
        <v>141</v>
      </c>
      <c r="AS5" t="s">
        <v>127</v>
      </c>
      <c r="BG5">
        <v>110</v>
      </c>
      <c r="BM5" t="s">
        <v>129</v>
      </c>
      <c r="BN5">
        <v>0</v>
      </c>
    </row>
    <row r="6" spans="1:111" x14ac:dyDescent="0.2">
      <c r="A6" t="s">
        <v>111</v>
      </c>
      <c r="B6" t="b">
        <v>1</v>
      </c>
      <c r="E6">
        <v>5</v>
      </c>
      <c r="F6" t="str">
        <f>HYPERLINK("https://portal.dnb.de/opac.htm?method=simpleSearch&amp;cqlMode=true&amp;query=idn%3D1066970009", "Portal")</f>
        <v>Portal</v>
      </c>
      <c r="G6" t="s">
        <v>112</v>
      </c>
      <c r="H6" t="s">
        <v>160</v>
      </c>
      <c r="I6" t="s">
        <v>161</v>
      </c>
      <c r="J6" t="s">
        <v>162</v>
      </c>
      <c r="K6" t="s">
        <v>162</v>
      </c>
      <c r="L6" t="s">
        <v>163</v>
      </c>
      <c r="N6" t="s">
        <v>164</v>
      </c>
      <c r="O6" t="s">
        <v>118</v>
      </c>
      <c r="P6" t="s">
        <v>119</v>
      </c>
      <c r="R6" t="s">
        <v>165</v>
      </c>
      <c r="S6" t="s">
        <v>121</v>
      </c>
      <c r="T6" t="s">
        <v>150</v>
      </c>
      <c r="X6" t="s">
        <v>140</v>
      </c>
      <c r="Y6">
        <v>0</v>
      </c>
      <c r="AI6" t="s">
        <v>166</v>
      </c>
      <c r="AM6" t="s">
        <v>141</v>
      </c>
      <c r="AS6" t="s">
        <v>127</v>
      </c>
      <c r="BG6">
        <v>110</v>
      </c>
      <c r="BM6" t="s">
        <v>129</v>
      </c>
      <c r="BN6">
        <v>0</v>
      </c>
    </row>
    <row r="7" spans="1:111" x14ac:dyDescent="0.2">
      <c r="A7" t="s">
        <v>111</v>
      </c>
      <c r="B7" t="b">
        <v>1</v>
      </c>
      <c r="E7">
        <v>6</v>
      </c>
      <c r="F7" t="str">
        <f>HYPERLINK("https://portal.dnb.de/opac.htm?method=simpleSearch&amp;cqlMode=true&amp;query=idn%3D1066967644", "Portal")</f>
        <v>Portal</v>
      </c>
      <c r="G7" t="s">
        <v>143</v>
      </c>
      <c r="H7" t="s">
        <v>167</v>
      </c>
      <c r="I7" t="s">
        <v>168</v>
      </c>
      <c r="J7" t="s">
        <v>169</v>
      </c>
      <c r="K7" t="s">
        <v>169</v>
      </c>
      <c r="L7" t="s">
        <v>170</v>
      </c>
      <c r="N7" t="s">
        <v>171</v>
      </c>
      <c r="O7" t="s">
        <v>118</v>
      </c>
      <c r="P7" t="s">
        <v>119</v>
      </c>
      <c r="R7" t="s">
        <v>137</v>
      </c>
      <c r="S7" t="s">
        <v>121</v>
      </c>
      <c r="T7" t="s">
        <v>122</v>
      </c>
      <c r="U7" t="s">
        <v>172</v>
      </c>
      <c r="V7" t="s">
        <v>139</v>
      </c>
      <c r="X7" t="s">
        <v>140</v>
      </c>
      <c r="Y7">
        <v>1</v>
      </c>
      <c r="AI7" t="s">
        <v>127</v>
      </c>
      <c r="AM7" t="s">
        <v>141</v>
      </c>
      <c r="AS7" t="s">
        <v>127</v>
      </c>
      <c r="BC7" t="s">
        <v>173</v>
      </c>
      <c r="BD7" t="s">
        <v>130</v>
      </c>
      <c r="BG7">
        <v>110</v>
      </c>
      <c r="BM7" t="s">
        <v>129</v>
      </c>
      <c r="BN7">
        <v>0</v>
      </c>
      <c r="BV7" t="s">
        <v>174</v>
      </c>
    </row>
    <row r="8" spans="1:111" x14ac:dyDescent="0.2">
      <c r="A8" t="s">
        <v>111</v>
      </c>
      <c r="B8" t="b">
        <v>1</v>
      </c>
      <c r="E8">
        <v>7</v>
      </c>
      <c r="F8" t="str">
        <f>HYPERLINK("https://portal.dnb.de/opac.htm?method=simpleSearch&amp;cqlMode=true&amp;query=idn%3D1066965625", "Portal")</f>
        <v>Portal</v>
      </c>
      <c r="G8" t="s">
        <v>143</v>
      </c>
      <c r="H8" t="s">
        <v>175</v>
      </c>
      <c r="I8" t="s">
        <v>176</v>
      </c>
      <c r="J8" t="s">
        <v>177</v>
      </c>
      <c r="K8" t="s">
        <v>177</v>
      </c>
      <c r="L8" t="s">
        <v>178</v>
      </c>
      <c r="N8" t="s">
        <v>179</v>
      </c>
      <c r="O8" t="s">
        <v>118</v>
      </c>
      <c r="P8" t="s">
        <v>119</v>
      </c>
      <c r="R8" t="s">
        <v>137</v>
      </c>
      <c r="S8" t="s">
        <v>121</v>
      </c>
      <c r="T8" t="s">
        <v>150</v>
      </c>
      <c r="U8" t="s">
        <v>180</v>
      </c>
      <c r="V8" t="s">
        <v>139</v>
      </c>
      <c r="Y8">
        <v>0</v>
      </c>
      <c r="AI8" t="s">
        <v>127</v>
      </c>
      <c r="AM8" t="s">
        <v>141</v>
      </c>
      <c r="AS8" t="s">
        <v>127</v>
      </c>
      <c r="BC8" t="s">
        <v>173</v>
      </c>
      <c r="BD8" t="s">
        <v>130</v>
      </c>
      <c r="BG8">
        <v>110</v>
      </c>
      <c r="BM8" t="s">
        <v>129</v>
      </c>
      <c r="BN8">
        <v>0</v>
      </c>
    </row>
    <row r="9" spans="1:111" x14ac:dyDescent="0.2">
      <c r="A9" t="s">
        <v>111</v>
      </c>
      <c r="B9" t="b">
        <v>1</v>
      </c>
      <c r="E9">
        <v>8</v>
      </c>
      <c r="F9" t="str">
        <f>HYPERLINK("https://portal.dnb.de/opac.htm?method=simpleSearch&amp;cqlMode=true&amp;query=idn%3D1066970815", "Portal")</f>
        <v>Portal</v>
      </c>
      <c r="G9" t="s">
        <v>143</v>
      </c>
      <c r="H9" t="s">
        <v>181</v>
      </c>
      <c r="I9" t="s">
        <v>182</v>
      </c>
      <c r="J9" t="s">
        <v>183</v>
      </c>
      <c r="K9" t="s">
        <v>183</v>
      </c>
      <c r="L9" t="s">
        <v>184</v>
      </c>
      <c r="N9" t="s">
        <v>185</v>
      </c>
      <c r="O9" t="s">
        <v>118</v>
      </c>
      <c r="P9" t="s">
        <v>119</v>
      </c>
      <c r="R9" t="s">
        <v>137</v>
      </c>
      <c r="S9" t="s">
        <v>121</v>
      </c>
      <c r="T9" t="s">
        <v>150</v>
      </c>
      <c r="U9" t="s">
        <v>186</v>
      </c>
      <c r="X9" t="s">
        <v>140</v>
      </c>
      <c r="Y9">
        <v>0</v>
      </c>
      <c r="AI9" t="s">
        <v>127</v>
      </c>
      <c r="AM9" t="s">
        <v>141</v>
      </c>
      <c r="AS9" t="s">
        <v>127</v>
      </c>
      <c r="BG9">
        <v>110</v>
      </c>
      <c r="BM9" t="s">
        <v>129</v>
      </c>
      <c r="BN9">
        <v>0</v>
      </c>
    </row>
    <row r="10" spans="1:111" x14ac:dyDescent="0.2">
      <c r="A10" t="s">
        <v>111</v>
      </c>
      <c r="B10" t="b">
        <v>1</v>
      </c>
      <c r="E10">
        <v>9</v>
      </c>
      <c r="F10" t="str">
        <f>HYPERLINK("https://portal.dnb.de/opac.htm?method=simpleSearch&amp;cqlMode=true&amp;query=idn%3D1066971927", "Portal")</f>
        <v>Portal</v>
      </c>
      <c r="G10" t="s">
        <v>143</v>
      </c>
      <c r="H10" t="s">
        <v>187</v>
      </c>
      <c r="I10" t="s">
        <v>188</v>
      </c>
      <c r="J10" t="s">
        <v>189</v>
      </c>
      <c r="K10" t="s">
        <v>189</v>
      </c>
      <c r="L10" t="s">
        <v>190</v>
      </c>
      <c r="N10" t="s">
        <v>191</v>
      </c>
      <c r="O10" t="s">
        <v>118</v>
      </c>
      <c r="P10" t="s">
        <v>119</v>
      </c>
      <c r="R10" t="s">
        <v>192</v>
      </c>
      <c r="S10" t="s">
        <v>121</v>
      </c>
      <c r="T10" t="s">
        <v>122</v>
      </c>
      <c r="W10" t="s">
        <v>67</v>
      </c>
      <c r="X10" t="s">
        <v>124</v>
      </c>
      <c r="Y10">
        <v>0</v>
      </c>
      <c r="AI10" t="s">
        <v>193</v>
      </c>
      <c r="AM10" t="s">
        <v>141</v>
      </c>
      <c r="AS10" t="s">
        <v>127</v>
      </c>
      <c r="BG10">
        <v>110</v>
      </c>
      <c r="BM10" t="s">
        <v>129</v>
      </c>
      <c r="BN10">
        <v>0</v>
      </c>
    </row>
    <row r="11" spans="1:111" x14ac:dyDescent="0.2">
      <c r="A11" t="s">
        <v>111</v>
      </c>
      <c r="B11" t="b">
        <v>1</v>
      </c>
      <c r="E11">
        <v>10</v>
      </c>
      <c r="F11" t="str">
        <f>HYPERLINK("https://portal.dnb.de/opac.htm?method=simpleSearch&amp;cqlMode=true&amp;query=idn%3D1066970904", "Portal")</f>
        <v>Portal</v>
      </c>
      <c r="G11" t="s">
        <v>143</v>
      </c>
      <c r="H11" t="s">
        <v>194</v>
      </c>
      <c r="I11" t="s">
        <v>195</v>
      </c>
      <c r="J11" t="s">
        <v>196</v>
      </c>
      <c r="K11" t="s">
        <v>196</v>
      </c>
      <c r="L11" t="s">
        <v>197</v>
      </c>
      <c r="N11" t="s">
        <v>198</v>
      </c>
      <c r="O11" t="s">
        <v>118</v>
      </c>
      <c r="R11" t="s">
        <v>165</v>
      </c>
      <c r="S11" t="s">
        <v>121</v>
      </c>
      <c r="T11" t="s">
        <v>122</v>
      </c>
      <c r="U11" t="s">
        <v>186</v>
      </c>
      <c r="X11" t="s">
        <v>140</v>
      </c>
      <c r="Y11">
        <v>0</v>
      </c>
      <c r="AI11" t="s">
        <v>166</v>
      </c>
      <c r="AM11" t="s">
        <v>141</v>
      </c>
      <c r="AS11" t="s">
        <v>127</v>
      </c>
      <c r="BG11">
        <v>110</v>
      </c>
      <c r="BM11" t="s">
        <v>129</v>
      </c>
      <c r="BN11">
        <v>0</v>
      </c>
    </row>
    <row r="12" spans="1:111" x14ac:dyDescent="0.2">
      <c r="A12" t="s">
        <v>111</v>
      </c>
      <c r="B12" t="b">
        <v>1</v>
      </c>
      <c r="E12">
        <v>11</v>
      </c>
      <c r="F12" t="str">
        <f>HYPERLINK("https://portal.dnb.de/opac.htm?method=simpleSearch&amp;cqlMode=true&amp;query=idn%3D1066969019", "Portal")</f>
        <v>Portal</v>
      </c>
      <c r="G12" t="s">
        <v>143</v>
      </c>
      <c r="H12" t="s">
        <v>199</v>
      </c>
      <c r="I12" t="s">
        <v>200</v>
      </c>
      <c r="J12" t="s">
        <v>201</v>
      </c>
      <c r="K12" t="s">
        <v>201</v>
      </c>
      <c r="L12" t="s">
        <v>202</v>
      </c>
      <c r="N12" t="s">
        <v>203</v>
      </c>
      <c r="O12" t="s">
        <v>118</v>
      </c>
      <c r="P12" t="s">
        <v>119</v>
      </c>
      <c r="R12" t="s">
        <v>165</v>
      </c>
      <c r="S12" t="s">
        <v>121</v>
      </c>
      <c r="T12" t="s">
        <v>150</v>
      </c>
      <c r="U12" t="s">
        <v>186</v>
      </c>
      <c r="X12" t="s">
        <v>140</v>
      </c>
      <c r="Y12">
        <v>0</v>
      </c>
      <c r="AI12" t="s">
        <v>166</v>
      </c>
      <c r="AM12" t="s">
        <v>141</v>
      </c>
      <c r="AS12" t="s">
        <v>127</v>
      </c>
      <c r="BG12">
        <v>110</v>
      </c>
      <c r="BM12" t="s">
        <v>129</v>
      </c>
      <c r="BN12">
        <v>0</v>
      </c>
    </row>
    <row r="13" spans="1:111" x14ac:dyDescent="0.2">
      <c r="A13" t="s">
        <v>111</v>
      </c>
      <c r="B13" t="b">
        <v>1</v>
      </c>
      <c r="E13">
        <v>12</v>
      </c>
      <c r="F13" t="str">
        <f>HYPERLINK("https://portal.dnb.de/opac.htm?method=simpleSearch&amp;cqlMode=true&amp;query=idn%3D1066869855", "Portal")</f>
        <v>Portal</v>
      </c>
      <c r="G13" t="s">
        <v>143</v>
      </c>
      <c r="H13" t="s">
        <v>204</v>
      </c>
      <c r="I13" t="s">
        <v>205</v>
      </c>
      <c r="J13" t="s">
        <v>206</v>
      </c>
      <c r="K13" t="s">
        <v>206</v>
      </c>
      <c r="L13" t="s">
        <v>207</v>
      </c>
      <c r="N13" t="s">
        <v>208</v>
      </c>
      <c r="O13" t="s">
        <v>118</v>
      </c>
      <c r="P13" t="s">
        <v>119</v>
      </c>
      <c r="R13" t="s">
        <v>137</v>
      </c>
      <c r="S13" t="s">
        <v>121</v>
      </c>
      <c r="T13" t="s">
        <v>150</v>
      </c>
      <c r="U13" t="s">
        <v>138</v>
      </c>
      <c r="W13" t="s">
        <v>209</v>
      </c>
      <c r="X13" t="s">
        <v>210</v>
      </c>
      <c r="Y13">
        <v>0</v>
      </c>
      <c r="AI13" t="s">
        <v>127</v>
      </c>
      <c r="AM13" t="s">
        <v>141</v>
      </c>
      <c r="AS13" t="s">
        <v>127</v>
      </c>
      <c r="BC13" t="s">
        <v>173</v>
      </c>
      <c r="BD13" t="s">
        <v>130</v>
      </c>
      <c r="BG13">
        <v>110</v>
      </c>
      <c r="BM13" t="s">
        <v>129</v>
      </c>
      <c r="BN13">
        <v>0</v>
      </c>
    </row>
    <row r="14" spans="1:111" x14ac:dyDescent="0.2">
      <c r="A14" t="s">
        <v>111</v>
      </c>
      <c r="B14" t="b">
        <v>1</v>
      </c>
      <c r="E14">
        <v>13</v>
      </c>
      <c r="F14" t="str">
        <f>HYPERLINK("https://portal.dnb.de/opac.htm?method=simpleSearch&amp;cqlMode=true&amp;query=idn%3D106696565X", "Portal")</f>
        <v>Portal</v>
      </c>
      <c r="G14" t="s">
        <v>143</v>
      </c>
      <c r="H14" t="s">
        <v>211</v>
      </c>
      <c r="I14" t="s">
        <v>212</v>
      </c>
      <c r="J14" t="s">
        <v>213</v>
      </c>
      <c r="K14" t="s">
        <v>213</v>
      </c>
      <c r="L14" t="s">
        <v>214</v>
      </c>
      <c r="N14" t="s">
        <v>215</v>
      </c>
      <c r="O14" t="s">
        <v>118</v>
      </c>
      <c r="P14" t="s">
        <v>119</v>
      </c>
      <c r="R14" t="s">
        <v>165</v>
      </c>
      <c r="S14" t="s">
        <v>216</v>
      </c>
      <c r="T14" t="s">
        <v>150</v>
      </c>
      <c r="U14" t="s">
        <v>151</v>
      </c>
      <c r="V14" t="s">
        <v>139</v>
      </c>
      <c r="W14" t="s">
        <v>209</v>
      </c>
      <c r="X14" t="s">
        <v>217</v>
      </c>
      <c r="Y14">
        <v>0</v>
      </c>
      <c r="AI14" t="s">
        <v>166</v>
      </c>
      <c r="AM14" t="s">
        <v>141</v>
      </c>
      <c r="AS14" t="s">
        <v>127</v>
      </c>
      <c r="BG14">
        <v>110</v>
      </c>
      <c r="BM14" t="s">
        <v>129</v>
      </c>
      <c r="BN14">
        <v>0</v>
      </c>
      <c r="BT14" t="s">
        <v>218</v>
      </c>
      <c r="BU14" t="s">
        <v>130</v>
      </c>
    </row>
    <row r="15" spans="1:111" x14ac:dyDescent="0.2">
      <c r="A15" t="s">
        <v>111</v>
      </c>
      <c r="B15" t="b">
        <v>1</v>
      </c>
      <c r="E15">
        <v>15</v>
      </c>
      <c r="F15" t="str">
        <f>HYPERLINK("https://portal.dnb.de/opac.htm?method=simpleSearch&amp;cqlMode=true&amp;query=idn%3D1066966893", "Portal")</f>
        <v>Portal</v>
      </c>
      <c r="G15" t="s">
        <v>112</v>
      </c>
      <c r="H15" t="s">
        <v>219</v>
      </c>
      <c r="I15" t="s">
        <v>220</v>
      </c>
      <c r="J15" t="s">
        <v>221</v>
      </c>
      <c r="K15" t="s">
        <v>221</v>
      </c>
      <c r="L15" t="s">
        <v>222</v>
      </c>
      <c r="N15" t="s">
        <v>223</v>
      </c>
      <c r="O15" t="s">
        <v>118</v>
      </c>
      <c r="P15" t="s">
        <v>119</v>
      </c>
      <c r="R15" t="s">
        <v>165</v>
      </c>
      <c r="S15" t="s">
        <v>216</v>
      </c>
      <c r="T15" t="s">
        <v>122</v>
      </c>
      <c r="U15" t="s">
        <v>172</v>
      </c>
      <c r="V15" t="s">
        <v>139</v>
      </c>
      <c r="X15" t="s">
        <v>140</v>
      </c>
      <c r="Y15">
        <v>0</v>
      </c>
      <c r="AA15" t="s">
        <v>224</v>
      </c>
      <c r="AI15" t="s">
        <v>225</v>
      </c>
      <c r="AM15" t="s">
        <v>141</v>
      </c>
      <c r="AS15" t="s">
        <v>127</v>
      </c>
      <c r="BC15" t="s">
        <v>226</v>
      </c>
      <c r="BD15" t="s">
        <v>130</v>
      </c>
      <c r="BG15">
        <v>110</v>
      </c>
      <c r="BM15" t="s">
        <v>129</v>
      </c>
      <c r="BN15">
        <v>0</v>
      </c>
    </row>
    <row r="16" spans="1:111" x14ac:dyDescent="0.2">
      <c r="A16" t="s">
        <v>111</v>
      </c>
      <c r="B16" t="b">
        <v>1</v>
      </c>
      <c r="C16" t="s">
        <v>130</v>
      </c>
      <c r="E16">
        <v>16</v>
      </c>
      <c r="F16" t="str">
        <f>HYPERLINK("https://portal.dnb.de/opac.htm?method=simpleSearch&amp;cqlMode=true&amp;query=idn%3D1072233924", "Portal")</f>
        <v>Portal</v>
      </c>
      <c r="G16" t="s">
        <v>112</v>
      </c>
      <c r="H16" t="s">
        <v>227</v>
      </c>
      <c r="I16" t="s">
        <v>228</v>
      </c>
      <c r="J16" t="s">
        <v>229</v>
      </c>
      <c r="K16" t="s">
        <v>229</v>
      </c>
      <c r="L16" t="s">
        <v>230</v>
      </c>
      <c r="N16" t="s">
        <v>231</v>
      </c>
      <c r="O16" t="s">
        <v>118</v>
      </c>
      <c r="P16" t="s">
        <v>119</v>
      </c>
      <c r="R16" t="s">
        <v>232</v>
      </c>
      <c r="S16" t="s">
        <v>216</v>
      </c>
      <c r="T16" t="s">
        <v>150</v>
      </c>
      <c r="U16" t="s">
        <v>233</v>
      </c>
      <c r="V16" t="s">
        <v>139</v>
      </c>
      <c r="X16" t="s">
        <v>140</v>
      </c>
      <c r="Y16">
        <v>1</v>
      </c>
      <c r="Z16" t="s">
        <v>234</v>
      </c>
      <c r="AI16" t="s">
        <v>235</v>
      </c>
      <c r="AM16" t="s">
        <v>236</v>
      </c>
      <c r="AS16" t="s">
        <v>127</v>
      </c>
      <c r="BG16">
        <v>60</v>
      </c>
      <c r="BM16" t="s">
        <v>237</v>
      </c>
      <c r="BN16">
        <v>4</v>
      </c>
      <c r="CD16" t="s">
        <v>130</v>
      </c>
      <c r="CE16">
        <v>6</v>
      </c>
      <c r="CL16" t="s">
        <v>130</v>
      </c>
      <c r="CM16">
        <v>4</v>
      </c>
    </row>
    <row r="17" spans="1:111" x14ac:dyDescent="0.2">
      <c r="A17" t="s">
        <v>111</v>
      </c>
      <c r="B17" t="b">
        <v>1</v>
      </c>
      <c r="E17">
        <v>17</v>
      </c>
      <c r="F17" t="str">
        <f>HYPERLINK("https://portal.dnb.de/opac.htm?method=simpleSearch&amp;cqlMode=true&amp;query=idn%3D1066972303", "Portal")</f>
        <v>Portal</v>
      </c>
      <c r="G17" t="s">
        <v>143</v>
      </c>
      <c r="H17" t="s">
        <v>238</v>
      </c>
      <c r="I17" t="s">
        <v>239</v>
      </c>
      <c r="J17" t="s">
        <v>240</v>
      </c>
      <c r="K17" t="s">
        <v>240</v>
      </c>
      <c r="L17" t="s">
        <v>241</v>
      </c>
      <c r="N17" t="s">
        <v>242</v>
      </c>
      <c r="O17" t="s">
        <v>118</v>
      </c>
      <c r="P17" t="s">
        <v>119</v>
      </c>
      <c r="R17" t="s">
        <v>232</v>
      </c>
      <c r="S17" t="s">
        <v>216</v>
      </c>
      <c r="T17" t="s">
        <v>122</v>
      </c>
      <c r="U17" t="s">
        <v>243</v>
      </c>
      <c r="X17" t="s">
        <v>140</v>
      </c>
      <c r="Y17">
        <v>0</v>
      </c>
      <c r="AI17" t="s">
        <v>235</v>
      </c>
      <c r="AM17" t="s">
        <v>236</v>
      </c>
      <c r="AS17" t="s">
        <v>127</v>
      </c>
      <c r="BG17">
        <v>60</v>
      </c>
      <c r="BM17" t="s">
        <v>129</v>
      </c>
      <c r="BN17">
        <v>0</v>
      </c>
    </row>
    <row r="18" spans="1:111" x14ac:dyDescent="0.2">
      <c r="A18" t="s">
        <v>111</v>
      </c>
      <c r="B18" t="b">
        <v>1</v>
      </c>
      <c r="E18">
        <v>18</v>
      </c>
      <c r="F18" t="str">
        <f>HYPERLINK("https://portal.dnb.de/opac.htm?method=simpleSearch&amp;cqlMode=true&amp;query=idn%3D1066972303", "Portal")</f>
        <v>Portal</v>
      </c>
      <c r="G18" t="s">
        <v>143</v>
      </c>
      <c r="H18" t="s">
        <v>244</v>
      </c>
      <c r="I18" t="s">
        <v>239</v>
      </c>
      <c r="J18" t="s">
        <v>245</v>
      </c>
      <c r="K18" t="s">
        <v>245</v>
      </c>
      <c r="L18" t="s">
        <v>246</v>
      </c>
      <c r="N18" t="s">
        <v>242</v>
      </c>
      <c r="O18" t="s">
        <v>118</v>
      </c>
      <c r="P18" t="s">
        <v>119</v>
      </c>
      <c r="R18" t="s">
        <v>232</v>
      </c>
      <c r="S18" t="s">
        <v>216</v>
      </c>
      <c r="T18" t="s">
        <v>122</v>
      </c>
      <c r="U18" t="s">
        <v>243</v>
      </c>
      <c r="X18" t="s">
        <v>140</v>
      </c>
      <c r="Y18">
        <v>0</v>
      </c>
      <c r="AI18" t="s">
        <v>235</v>
      </c>
      <c r="AM18" t="s">
        <v>236</v>
      </c>
      <c r="AS18" t="s">
        <v>127</v>
      </c>
      <c r="BG18">
        <v>60</v>
      </c>
      <c r="BM18" t="s">
        <v>129</v>
      </c>
      <c r="BN18">
        <v>0</v>
      </c>
    </row>
    <row r="19" spans="1:111" x14ac:dyDescent="0.2">
      <c r="A19" t="s">
        <v>111</v>
      </c>
      <c r="B19" t="b">
        <v>1</v>
      </c>
      <c r="C19" t="s">
        <v>130</v>
      </c>
      <c r="E19">
        <v>19</v>
      </c>
      <c r="F19" t="str">
        <f>HYPERLINK("https://portal.dnb.de/opac.htm?method=simpleSearch&amp;cqlMode=true&amp;query=idn%3D1066973067", "Portal")</f>
        <v>Portal</v>
      </c>
      <c r="G19" t="s">
        <v>143</v>
      </c>
      <c r="H19" t="s">
        <v>247</v>
      </c>
      <c r="I19" t="s">
        <v>248</v>
      </c>
      <c r="J19" t="s">
        <v>249</v>
      </c>
      <c r="K19" t="s">
        <v>249</v>
      </c>
      <c r="L19" t="s">
        <v>250</v>
      </c>
      <c r="N19" t="s">
        <v>251</v>
      </c>
      <c r="O19" t="s">
        <v>118</v>
      </c>
      <c r="P19" t="s">
        <v>119</v>
      </c>
      <c r="R19" t="s">
        <v>232</v>
      </c>
      <c r="S19" t="s">
        <v>252</v>
      </c>
      <c r="T19" t="s">
        <v>122</v>
      </c>
      <c r="U19" t="s">
        <v>138</v>
      </c>
      <c r="V19" t="s">
        <v>139</v>
      </c>
      <c r="X19" t="s">
        <v>140</v>
      </c>
      <c r="Y19">
        <v>2</v>
      </c>
      <c r="AI19" t="s">
        <v>253</v>
      </c>
      <c r="AM19" t="s">
        <v>153</v>
      </c>
      <c r="AS19" t="s">
        <v>127</v>
      </c>
      <c r="BC19" t="s">
        <v>173</v>
      </c>
      <c r="BD19" t="s">
        <v>130</v>
      </c>
      <c r="BG19">
        <v>110</v>
      </c>
      <c r="BM19" t="s">
        <v>237</v>
      </c>
      <c r="BN19">
        <v>2</v>
      </c>
      <c r="BV19" t="s">
        <v>254</v>
      </c>
      <c r="CO19" t="s">
        <v>130</v>
      </c>
      <c r="CS19" t="s">
        <v>130</v>
      </c>
      <c r="CV19" t="s">
        <v>130</v>
      </c>
      <c r="DF19">
        <v>2</v>
      </c>
    </row>
    <row r="20" spans="1:111" x14ac:dyDescent="0.2">
      <c r="A20" t="s">
        <v>111</v>
      </c>
      <c r="B20" t="b">
        <v>1</v>
      </c>
      <c r="E20">
        <v>20</v>
      </c>
      <c r="F20" t="str">
        <f>HYPERLINK("https://portal.dnb.de/opac.htm?method=simpleSearch&amp;cqlMode=true&amp;query=idn%3D1066971188", "Portal")</f>
        <v>Portal</v>
      </c>
      <c r="G20" t="s">
        <v>143</v>
      </c>
      <c r="H20" t="s">
        <v>255</v>
      </c>
      <c r="I20" t="s">
        <v>256</v>
      </c>
      <c r="J20" t="s">
        <v>257</v>
      </c>
      <c r="K20" t="s">
        <v>257</v>
      </c>
      <c r="L20" t="s">
        <v>258</v>
      </c>
      <c r="N20" t="s">
        <v>259</v>
      </c>
      <c r="O20" t="s">
        <v>118</v>
      </c>
      <c r="P20" t="s">
        <v>119</v>
      </c>
      <c r="R20" t="s">
        <v>260</v>
      </c>
      <c r="S20" t="s">
        <v>216</v>
      </c>
      <c r="T20" t="s">
        <v>122</v>
      </c>
      <c r="U20" t="s">
        <v>261</v>
      </c>
      <c r="V20" t="s">
        <v>139</v>
      </c>
      <c r="W20" t="s">
        <v>67</v>
      </c>
      <c r="X20" t="s">
        <v>124</v>
      </c>
      <c r="Y20">
        <v>1</v>
      </c>
      <c r="AI20" t="s">
        <v>253</v>
      </c>
      <c r="AM20" t="s">
        <v>153</v>
      </c>
      <c r="AR20" t="s">
        <v>130</v>
      </c>
      <c r="AS20" t="s">
        <v>127</v>
      </c>
      <c r="BC20" t="s">
        <v>173</v>
      </c>
      <c r="BD20" t="s">
        <v>130</v>
      </c>
      <c r="BG20" t="s">
        <v>262</v>
      </c>
      <c r="BM20" t="s">
        <v>129</v>
      </c>
      <c r="BN20">
        <v>0</v>
      </c>
      <c r="BP20" t="s">
        <v>263</v>
      </c>
      <c r="BV20" t="s">
        <v>264</v>
      </c>
      <c r="CD20" t="s">
        <v>130</v>
      </c>
    </row>
    <row r="21" spans="1:111" x14ac:dyDescent="0.2">
      <c r="A21" t="s">
        <v>111</v>
      </c>
      <c r="B21" t="b">
        <v>1</v>
      </c>
      <c r="E21">
        <v>22</v>
      </c>
      <c r="F21" t="str">
        <f>HYPERLINK("https://portal.dnb.de/opac.htm?method=simpleSearch&amp;cqlMode=true&amp;query=idn%3D1066970327", "Portal")</f>
        <v>Portal</v>
      </c>
      <c r="G21" t="s">
        <v>143</v>
      </c>
      <c r="H21" t="s">
        <v>265</v>
      </c>
      <c r="I21" t="s">
        <v>266</v>
      </c>
      <c r="J21" t="s">
        <v>267</v>
      </c>
      <c r="K21" t="s">
        <v>267</v>
      </c>
      <c r="L21" t="s">
        <v>268</v>
      </c>
      <c r="N21" t="s">
        <v>269</v>
      </c>
      <c r="O21" t="s">
        <v>118</v>
      </c>
      <c r="P21" t="s">
        <v>119</v>
      </c>
      <c r="R21" t="s">
        <v>260</v>
      </c>
      <c r="S21" t="s">
        <v>216</v>
      </c>
      <c r="T21" t="s">
        <v>122</v>
      </c>
      <c r="U21" t="s">
        <v>270</v>
      </c>
      <c r="V21" t="s">
        <v>139</v>
      </c>
      <c r="W21" t="s">
        <v>67</v>
      </c>
      <c r="X21" t="s">
        <v>124</v>
      </c>
      <c r="Y21">
        <v>0</v>
      </c>
      <c r="AI21" t="s">
        <v>253</v>
      </c>
      <c r="AL21" t="s">
        <v>130</v>
      </c>
      <c r="AM21" t="s">
        <v>153</v>
      </c>
      <c r="AS21" t="s">
        <v>127</v>
      </c>
      <c r="BC21" t="s">
        <v>173</v>
      </c>
      <c r="BD21" t="s">
        <v>130</v>
      </c>
      <c r="BG21">
        <v>110</v>
      </c>
      <c r="BM21" t="s">
        <v>129</v>
      </c>
      <c r="BN21">
        <v>0</v>
      </c>
      <c r="BP21" t="s">
        <v>263</v>
      </c>
      <c r="BV21" t="s">
        <v>271</v>
      </c>
    </row>
    <row r="22" spans="1:111" x14ac:dyDescent="0.2">
      <c r="A22" t="s">
        <v>111</v>
      </c>
      <c r="B22" t="b">
        <v>1</v>
      </c>
      <c r="F22" t="str">
        <f>HYPERLINK("https://portal.dnb.de/opac.htm?method=simpleSearch&amp;cqlMode=true&amp;query=idn%3D1066965536", "Portal")</f>
        <v>Portal</v>
      </c>
      <c r="G22" t="s">
        <v>143</v>
      </c>
      <c r="H22" t="s">
        <v>272</v>
      </c>
      <c r="I22" t="s">
        <v>273</v>
      </c>
      <c r="J22" t="s">
        <v>274</v>
      </c>
      <c r="K22" t="s">
        <v>274</v>
      </c>
      <c r="L22" t="s">
        <v>274</v>
      </c>
      <c r="N22" t="s">
        <v>275</v>
      </c>
      <c r="O22" t="s">
        <v>118</v>
      </c>
    </row>
    <row r="23" spans="1:111" x14ac:dyDescent="0.2">
      <c r="A23" t="s">
        <v>111</v>
      </c>
      <c r="B23" t="b">
        <v>1</v>
      </c>
      <c r="E23">
        <v>24</v>
      </c>
      <c r="F23" t="str">
        <f>HYPERLINK("https://portal.dnb.de/opac.htm?method=simpleSearch&amp;cqlMode=true&amp;query=idn%3D1066962952", "Portal")</f>
        <v>Portal</v>
      </c>
      <c r="G23" t="s">
        <v>143</v>
      </c>
      <c r="H23" t="s">
        <v>276</v>
      </c>
      <c r="I23" t="s">
        <v>277</v>
      </c>
      <c r="J23" t="s">
        <v>278</v>
      </c>
      <c r="K23" t="s">
        <v>278</v>
      </c>
      <c r="L23" t="s">
        <v>279</v>
      </c>
      <c r="N23" t="s">
        <v>280</v>
      </c>
      <c r="O23" t="s">
        <v>118</v>
      </c>
      <c r="AS23" t="s">
        <v>127</v>
      </c>
      <c r="BN23">
        <v>0</v>
      </c>
    </row>
    <row r="24" spans="1:111" x14ac:dyDescent="0.2">
      <c r="A24" t="s">
        <v>111</v>
      </c>
      <c r="B24" t="b">
        <v>1</v>
      </c>
      <c r="C24" t="s">
        <v>130</v>
      </c>
      <c r="E24">
        <v>25</v>
      </c>
      <c r="F24" t="str">
        <f>HYPERLINK("https://portal.dnb.de/opac.htm?method=simpleSearch&amp;cqlMode=true&amp;query=idn%3D1066969841", "Portal")</f>
        <v>Portal</v>
      </c>
      <c r="G24" t="s">
        <v>143</v>
      </c>
      <c r="H24" t="s">
        <v>281</v>
      </c>
      <c r="I24" t="s">
        <v>282</v>
      </c>
      <c r="J24" t="s">
        <v>283</v>
      </c>
      <c r="K24" t="s">
        <v>283</v>
      </c>
      <c r="L24" t="s">
        <v>284</v>
      </c>
      <c r="N24" t="s">
        <v>285</v>
      </c>
      <c r="O24" t="s">
        <v>118</v>
      </c>
      <c r="P24" t="s">
        <v>119</v>
      </c>
      <c r="R24" t="s">
        <v>232</v>
      </c>
      <c r="S24" t="s">
        <v>286</v>
      </c>
      <c r="T24" t="s">
        <v>122</v>
      </c>
      <c r="U24" t="s">
        <v>287</v>
      </c>
      <c r="V24" t="s">
        <v>139</v>
      </c>
      <c r="X24" t="s">
        <v>140</v>
      </c>
      <c r="Y24">
        <v>3</v>
      </c>
      <c r="AA24" t="s">
        <v>288</v>
      </c>
      <c r="AI24" t="s">
        <v>253</v>
      </c>
      <c r="AM24" t="s">
        <v>153</v>
      </c>
      <c r="AS24" t="s">
        <v>127</v>
      </c>
      <c r="BC24" t="s">
        <v>173</v>
      </c>
      <c r="BD24" t="s">
        <v>130</v>
      </c>
      <c r="BG24" t="s">
        <v>289</v>
      </c>
      <c r="BM24" t="s">
        <v>237</v>
      </c>
      <c r="BN24">
        <v>10</v>
      </c>
      <c r="CA24" t="s">
        <v>130</v>
      </c>
      <c r="CB24" t="s">
        <v>130</v>
      </c>
      <c r="CD24" t="s">
        <v>290</v>
      </c>
      <c r="CE24">
        <v>3</v>
      </c>
      <c r="CI24" t="s">
        <v>130</v>
      </c>
      <c r="CM24">
        <v>8</v>
      </c>
      <c r="CN24" t="s">
        <v>291</v>
      </c>
      <c r="CV24" t="s">
        <v>130</v>
      </c>
      <c r="DF24">
        <v>2</v>
      </c>
      <c r="DG24" t="s">
        <v>292</v>
      </c>
    </row>
    <row r="25" spans="1:111" x14ac:dyDescent="0.2">
      <c r="A25" t="s">
        <v>111</v>
      </c>
      <c r="B25" t="b">
        <v>1</v>
      </c>
      <c r="C25" t="s">
        <v>130</v>
      </c>
      <c r="E25">
        <v>26</v>
      </c>
      <c r="F25" t="str">
        <f>HYPERLINK("https://portal.dnb.de/opac.htm?method=simpleSearch&amp;cqlMode=true&amp;query=idn%3D1066969590", "Portal")</f>
        <v>Portal</v>
      </c>
      <c r="G25" t="s">
        <v>143</v>
      </c>
      <c r="H25" t="s">
        <v>293</v>
      </c>
      <c r="I25" t="s">
        <v>294</v>
      </c>
      <c r="J25" t="s">
        <v>295</v>
      </c>
      <c r="K25" t="s">
        <v>295</v>
      </c>
      <c r="L25" t="s">
        <v>296</v>
      </c>
      <c r="N25" t="s">
        <v>297</v>
      </c>
      <c r="O25" t="s">
        <v>118</v>
      </c>
      <c r="P25" t="s">
        <v>119</v>
      </c>
      <c r="R25" t="s">
        <v>137</v>
      </c>
      <c r="S25" t="s">
        <v>216</v>
      </c>
      <c r="T25" t="s">
        <v>150</v>
      </c>
      <c r="U25" t="s">
        <v>186</v>
      </c>
      <c r="X25" t="s">
        <v>140</v>
      </c>
      <c r="Y25">
        <v>0</v>
      </c>
      <c r="AI25" t="s">
        <v>127</v>
      </c>
      <c r="AM25" t="s">
        <v>141</v>
      </c>
      <c r="AS25" t="s">
        <v>127</v>
      </c>
      <c r="BG25">
        <v>110</v>
      </c>
      <c r="BM25" t="s">
        <v>237</v>
      </c>
      <c r="BN25">
        <v>0.5</v>
      </c>
      <c r="CO25" t="s">
        <v>130</v>
      </c>
      <c r="DF25">
        <v>0.5</v>
      </c>
    </row>
    <row r="26" spans="1:111" x14ac:dyDescent="0.2">
      <c r="A26" t="s">
        <v>111</v>
      </c>
      <c r="B26" t="b">
        <v>1</v>
      </c>
      <c r="E26">
        <v>27</v>
      </c>
      <c r="F26" t="str">
        <f>HYPERLINK("https://portal.dnb.de/opac.htm?method=simpleSearch&amp;cqlMode=true&amp;query=idn%3D1066791759", "Portal")</f>
        <v>Portal</v>
      </c>
      <c r="G26" t="s">
        <v>112</v>
      </c>
      <c r="H26" t="s">
        <v>298</v>
      </c>
      <c r="I26" t="s">
        <v>299</v>
      </c>
      <c r="J26" t="s">
        <v>300</v>
      </c>
      <c r="K26" t="s">
        <v>300</v>
      </c>
      <c r="L26" t="s">
        <v>301</v>
      </c>
      <c r="N26" t="s">
        <v>302</v>
      </c>
      <c r="O26" t="s">
        <v>118</v>
      </c>
      <c r="P26" t="s">
        <v>119</v>
      </c>
      <c r="R26" t="s">
        <v>260</v>
      </c>
      <c r="S26" t="s">
        <v>216</v>
      </c>
      <c r="T26" t="s">
        <v>122</v>
      </c>
      <c r="U26" t="s">
        <v>151</v>
      </c>
      <c r="V26" t="s">
        <v>139</v>
      </c>
      <c r="W26" t="s">
        <v>67</v>
      </c>
      <c r="X26" t="s">
        <v>124</v>
      </c>
      <c r="Y26">
        <v>0</v>
      </c>
      <c r="AI26" t="s">
        <v>253</v>
      </c>
      <c r="AM26" t="s">
        <v>153</v>
      </c>
      <c r="AS26" t="s">
        <v>127</v>
      </c>
      <c r="BG26">
        <v>110</v>
      </c>
      <c r="BM26" t="s">
        <v>129</v>
      </c>
      <c r="BN26">
        <v>0</v>
      </c>
    </row>
    <row r="27" spans="1:111" x14ac:dyDescent="0.2">
      <c r="A27" t="s">
        <v>111</v>
      </c>
      <c r="B27" t="b">
        <v>1</v>
      </c>
      <c r="C27" t="s">
        <v>130</v>
      </c>
      <c r="E27">
        <v>28</v>
      </c>
      <c r="F27" t="str">
        <f>HYPERLINK("https://portal.dnb.de/opac.htm?method=simpleSearch&amp;cqlMode=true&amp;query=idn%3D1066965986", "Portal")</f>
        <v>Portal</v>
      </c>
      <c r="G27" t="s">
        <v>112</v>
      </c>
      <c r="H27" t="s">
        <v>303</v>
      </c>
      <c r="I27" t="s">
        <v>304</v>
      </c>
      <c r="J27" t="s">
        <v>305</v>
      </c>
      <c r="K27" t="s">
        <v>305</v>
      </c>
      <c r="L27" t="s">
        <v>306</v>
      </c>
      <c r="N27" t="s">
        <v>307</v>
      </c>
      <c r="O27" t="s">
        <v>118</v>
      </c>
      <c r="P27" t="s">
        <v>119</v>
      </c>
      <c r="R27" t="s">
        <v>308</v>
      </c>
      <c r="S27" t="s">
        <v>216</v>
      </c>
      <c r="T27" t="s">
        <v>122</v>
      </c>
      <c r="U27" t="s">
        <v>309</v>
      </c>
      <c r="V27" t="s">
        <v>139</v>
      </c>
      <c r="W27" t="s">
        <v>67</v>
      </c>
      <c r="X27" t="s">
        <v>124</v>
      </c>
      <c r="Y27">
        <v>3</v>
      </c>
      <c r="AA27" t="s">
        <v>310</v>
      </c>
      <c r="AI27" t="s">
        <v>253</v>
      </c>
      <c r="AM27" t="s">
        <v>153</v>
      </c>
      <c r="AS27" t="s">
        <v>127</v>
      </c>
      <c r="BG27">
        <v>60</v>
      </c>
      <c r="BM27" t="s">
        <v>237</v>
      </c>
      <c r="BN27">
        <v>8</v>
      </c>
      <c r="BP27" t="s">
        <v>263</v>
      </c>
      <c r="BU27" t="s">
        <v>130</v>
      </c>
      <c r="BV27" t="s">
        <v>311</v>
      </c>
      <c r="CD27" t="s">
        <v>290</v>
      </c>
      <c r="CE27">
        <v>2</v>
      </c>
      <c r="CJ27" t="s">
        <v>312</v>
      </c>
      <c r="CM27">
        <v>4</v>
      </c>
      <c r="CT27" t="s">
        <v>130</v>
      </c>
      <c r="CW27" t="s">
        <v>130</v>
      </c>
      <c r="CY27" t="s">
        <v>130</v>
      </c>
      <c r="DF27">
        <v>4</v>
      </c>
    </row>
    <row r="28" spans="1:111" x14ac:dyDescent="0.2">
      <c r="A28" t="s">
        <v>111</v>
      </c>
      <c r="B28" t="b">
        <v>1</v>
      </c>
      <c r="E28">
        <v>29</v>
      </c>
      <c r="F28" t="str">
        <f>HYPERLINK("https://portal.dnb.de/opac.htm?method=simpleSearch&amp;cqlMode=true&amp;query=idn%3D106696503X", "Portal")</f>
        <v>Portal</v>
      </c>
      <c r="G28" t="s">
        <v>143</v>
      </c>
      <c r="H28" t="s">
        <v>313</v>
      </c>
      <c r="I28" t="s">
        <v>314</v>
      </c>
      <c r="J28" t="s">
        <v>315</v>
      </c>
      <c r="K28" t="s">
        <v>315</v>
      </c>
      <c r="L28" t="s">
        <v>316</v>
      </c>
      <c r="N28" t="s">
        <v>317</v>
      </c>
      <c r="O28" t="s">
        <v>118</v>
      </c>
      <c r="P28" t="s">
        <v>119</v>
      </c>
      <c r="R28" t="s">
        <v>137</v>
      </c>
      <c r="S28" t="s">
        <v>216</v>
      </c>
      <c r="T28" t="s">
        <v>122</v>
      </c>
      <c r="U28" t="s">
        <v>159</v>
      </c>
      <c r="W28" t="s">
        <v>209</v>
      </c>
      <c r="X28" t="s">
        <v>217</v>
      </c>
      <c r="Y28">
        <v>0</v>
      </c>
      <c r="AI28" t="s">
        <v>127</v>
      </c>
      <c r="AM28" t="s">
        <v>141</v>
      </c>
      <c r="AS28" t="s">
        <v>127</v>
      </c>
      <c r="BG28">
        <v>110</v>
      </c>
      <c r="BM28" t="s">
        <v>129</v>
      </c>
      <c r="BN28">
        <v>0</v>
      </c>
    </row>
    <row r="29" spans="1:111" x14ac:dyDescent="0.2">
      <c r="A29" t="s">
        <v>111</v>
      </c>
      <c r="B29" t="b">
        <v>1</v>
      </c>
      <c r="E29">
        <v>30</v>
      </c>
      <c r="F29" t="str">
        <f>HYPERLINK("https://portal.dnb.de/opac.htm?method=simpleSearch&amp;cqlMode=true&amp;query=idn%3D1066973326", "Portal")</f>
        <v>Portal</v>
      </c>
      <c r="G29" t="s">
        <v>143</v>
      </c>
      <c r="H29" t="s">
        <v>318</v>
      </c>
      <c r="I29" t="s">
        <v>319</v>
      </c>
      <c r="J29" t="s">
        <v>320</v>
      </c>
      <c r="K29" t="s">
        <v>320</v>
      </c>
      <c r="L29" t="s">
        <v>321</v>
      </c>
      <c r="N29" t="s">
        <v>322</v>
      </c>
      <c r="O29" t="s">
        <v>118</v>
      </c>
      <c r="P29" t="s">
        <v>119</v>
      </c>
      <c r="R29" t="s">
        <v>165</v>
      </c>
      <c r="S29" t="s">
        <v>216</v>
      </c>
      <c r="T29" t="s">
        <v>122</v>
      </c>
      <c r="U29" t="s">
        <v>159</v>
      </c>
      <c r="X29" t="s">
        <v>140</v>
      </c>
      <c r="Y29">
        <v>0</v>
      </c>
      <c r="AI29" t="s">
        <v>166</v>
      </c>
      <c r="AM29" t="s">
        <v>141</v>
      </c>
      <c r="AS29" t="s">
        <v>127</v>
      </c>
      <c r="BG29">
        <v>110</v>
      </c>
      <c r="BM29" t="s">
        <v>129</v>
      </c>
      <c r="BN29">
        <v>0</v>
      </c>
    </row>
    <row r="30" spans="1:111" x14ac:dyDescent="0.2">
      <c r="A30" t="s">
        <v>111</v>
      </c>
      <c r="B30" t="b">
        <v>1</v>
      </c>
      <c r="E30">
        <v>31</v>
      </c>
      <c r="F30" t="str">
        <f>HYPERLINK("https://portal.dnb.de/opac.htm?method=simpleSearch&amp;cqlMode=true&amp;query=idn%3D1066970580", "Portal")</f>
        <v>Portal</v>
      </c>
      <c r="G30" t="s">
        <v>143</v>
      </c>
      <c r="H30" t="s">
        <v>323</v>
      </c>
      <c r="I30" t="s">
        <v>324</v>
      </c>
      <c r="J30" t="s">
        <v>325</v>
      </c>
      <c r="K30" t="s">
        <v>325</v>
      </c>
      <c r="L30" t="s">
        <v>326</v>
      </c>
      <c r="N30" t="s">
        <v>327</v>
      </c>
      <c r="O30" t="s">
        <v>118</v>
      </c>
      <c r="P30" t="s">
        <v>119</v>
      </c>
      <c r="R30" t="s">
        <v>260</v>
      </c>
      <c r="S30" t="s">
        <v>216</v>
      </c>
      <c r="T30" t="s">
        <v>122</v>
      </c>
      <c r="U30" t="s">
        <v>270</v>
      </c>
      <c r="V30" t="s">
        <v>139</v>
      </c>
      <c r="W30" t="s">
        <v>67</v>
      </c>
      <c r="X30" t="s">
        <v>328</v>
      </c>
      <c r="Y30">
        <v>0</v>
      </c>
      <c r="AI30" t="s">
        <v>253</v>
      </c>
      <c r="AM30" t="s">
        <v>153</v>
      </c>
      <c r="AS30" t="s">
        <v>127</v>
      </c>
      <c r="BG30">
        <v>110</v>
      </c>
      <c r="BM30" t="s">
        <v>129</v>
      </c>
      <c r="BN30">
        <v>0</v>
      </c>
      <c r="BP30" t="s">
        <v>263</v>
      </c>
      <c r="BV30" t="s">
        <v>329</v>
      </c>
    </row>
    <row r="31" spans="1:111" x14ac:dyDescent="0.2">
      <c r="A31" t="s">
        <v>111</v>
      </c>
      <c r="B31" t="b">
        <v>1</v>
      </c>
      <c r="E31">
        <v>32</v>
      </c>
      <c r="F31" t="str">
        <f>HYPERLINK("https://portal.dnb.de/opac.htm?method=simpleSearch&amp;cqlMode=true&amp;query=idn%3D1066967407", "Portal")</f>
        <v>Portal</v>
      </c>
      <c r="G31" t="s">
        <v>143</v>
      </c>
      <c r="H31" t="s">
        <v>330</v>
      </c>
      <c r="I31" t="s">
        <v>331</v>
      </c>
      <c r="J31" t="s">
        <v>332</v>
      </c>
      <c r="K31" t="s">
        <v>332</v>
      </c>
      <c r="L31" t="s">
        <v>333</v>
      </c>
      <c r="N31" t="s">
        <v>334</v>
      </c>
      <c r="O31" t="s">
        <v>118</v>
      </c>
      <c r="P31" t="s">
        <v>119</v>
      </c>
      <c r="R31" t="s">
        <v>260</v>
      </c>
      <c r="S31" t="s">
        <v>216</v>
      </c>
      <c r="T31" t="s">
        <v>122</v>
      </c>
      <c r="U31" t="s">
        <v>151</v>
      </c>
      <c r="V31" t="s">
        <v>139</v>
      </c>
      <c r="W31" t="s">
        <v>67</v>
      </c>
      <c r="X31" t="s">
        <v>124</v>
      </c>
      <c r="Y31">
        <v>0</v>
      </c>
      <c r="AI31" t="s">
        <v>253</v>
      </c>
      <c r="AM31" t="s">
        <v>153</v>
      </c>
      <c r="AS31" t="s">
        <v>127</v>
      </c>
      <c r="BE31">
        <v>0</v>
      </c>
      <c r="BF31" t="s">
        <v>130</v>
      </c>
      <c r="BG31">
        <v>60</v>
      </c>
      <c r="BM31" t="s">
        <v>129</v>
      </c>
      <c r="BN31">
        <v>0</v>
      </c>
      <c r="BP31" t="s">
        <v>263</v>
      </c>
      <c r="BV31" t="s">
        <v>329</v>
      </c>
    </row>
    <row r="32" spans="1:111" x14ac:dyDescent="0.2">
      <c r="A32" t="s">
        <v>111</v>
      </c>
      <c r="B32" t="b">
        <v>1</v>
      </c>
      <c r="E32">
        <v>33</v>
      </c>
      <c r="F32" t="str">
        <f>HYPERLINK("https://portal.dnb.de/opac.htm?method=simpleSearch&amp;cqlMode=true&amp;query=idn%3D1072234246", "Portal")</f>
        <v>Portal</v>
      </c>
      <c r="G32" t="s">
        <v>112</v>
      </c>
      <c r="H32" t="s">
        <v>335</v>
      </c>
      <c r="I32" t="s">
        <v>336</v>
      </c>
      <c r="J32" t="s">
        <v>337</v>
      </c>
      <c r="K32" t="s">
        <v>337</v>
      </c>
      <c r="L32" t="s">
        <v>338</v>
      </c>
      <c r="N32" t="s">
        <v>339</v>
      </c>
      <c r="O32" t="s">
        <v>118</v>
      </c>
      <c r="P32" t="s">
        <v>119</v>
      </c>
      <c r="R32" t="s">
        <v>232</v>
      </c>
      <c r="S32" t="s">
        <v>216</v>
      </c>
      <c r="T32" t="s">
        <v>122</v>
      </c>
      <c r="U32" t="s">
        <v>340</v>
      </c>
      <c r="W32" t="s">
        <v>123</v>
      </c>
      <c r="X32" t="s">
        <v>140</v>
      </c>
      <c r="Y32">
        <v>3</v>
      </c>
      <c r="AA32" t="s">
        <v>341</v>
      </c>
      <c r="AI32" t="s">
        <v>253</v>
      </c>
      <c r="AM32" t="s">
        <v>153</v>
      </c>
      <c r="AS32" t="s">
        <v>127</v>
      </c>
      <c r="BC32" t="s">
        <v>173</v>
      </c>
      <c r="BD32" t="s">
        <v>130</v>
      </c>
      <c r="BG32">
        <v>45</v>
      </c>
      <c r="BM32" t="s">
        <v>129</v>
      </c>
      <c r="BN32">
        <v>0</v>
      </c>
      <c r="BP32" t="s">
        <v>342</v>
      </c>
      <c r="BU32" t="s">
        <v>130</v>
      </c>
      <c r="BV32" t="s">
        <v>343</v>
      </c>
      <c r="CE32">
        <v>4</v>
      </c>
    </row>
    <row r="33" spans="1:74" x14ac:dyDescent="0.2">
      <c r="A33" t="s">
        <v>111</v>
      </c>
      <c r="B33" t="b">
        <v>1</v>
      </c>
      <c r="E33">
        <v>34</v>
      </c>
      <c r="F33" t="str">
        <f>HYPERLINK("https://portal.dnb.de/opac.htm?method=simpleSearch&amp;cqlMode=true&amp;query=idn%3D1066971714", "Portal")</f>
        <v>Portal</v>
      </c>
      <c r="G33" t="s">
        <v>143</v>
      </c>
      <c r="H33" t="s">
        <v>344</v>
      </c>
      <c r="I33" t="s">
        <v>345</v>
      </c>
      <c r="J33" t="s">
        <v>346</v>
      </c>
      <c r="K33" t="s">
        <v>346</v>
      </c>
      <c r="L33" t="s">
        <v>347</v>
      </c>
      <c r="N33" t="s">
        <v>348</v>
      </c>
      <c r="O33" t="s">
        <v>118</v>
      </c>
      <c r="P33" t="s">
        <v>119</v>
      </c>
      <c r="R33" t="s">
        <v>232</v>
      </c>
      <c r="S33" t="s">
        <v>216</v>
      </c>
      <c r="T33" t="s">
        <v>122</v>
      </c>
      <c r="U33" t="s">
        <v>186</v>
      </c>
      <c r="X33" t="s">
        <v>140</v>
      </c>
      <c r="Y33">
        <v>1</v>
      </c>
      <c r="AI33" t="s">
        <v>193</v>
      </c>
      <c r="AM33" t="s">
        <v>141</v>
      </c>
      <c r="AS33" t="s">
        <v>127</v>
      </c>
      <c r="BG33" t="s">
        <v>289</v>
      </c>
      <c r="BM33" t="s">
        <v>129</v>
      </c>
      <c r="BN33">
        <v>0</v>
      </c>
    </row>
    <row r="34" spans="1:74" x14ac:dyDescent="0.2">
      <c r="A34" t="s">
        <v>111</v>
      </c>
      <c r="B34" t="b">
        <v>1</v>
      </c>
      <c r="E34">
        <v>35</v>
      </c>
      <c r="F34" t="str">
        <f>HYPERLINK("https://portal.dnb.de/opac.htm?method=simpleSearch&amp;cqlMode=true&amp;query=idn%3D1066973253", "Portal")</f>
        <v>Portal</v>
      </c>
      <c r="G34" t="s">
        <v>143</v>
      </c>
      <c r="H34" t="s">
        <v>349</v>
      </c>
      <c r="I34" t="s">
        <v>350</v>
      </c>
      <c r="J34" t="s">
        <v>351</v>
      </c>
      <c r="K34" t="s">
        <v>351</v>
      </c>
      <c r="L34" t="s">
        <v>352</v>
      </c>
      <c r="N34" t="s">
        <v>348</v>
      </c>
      <c r="O34" t="s">
        <v>118</v>
      </c>
      <c r="P34" t="s">
        <v>119</v>
      </c>
      <c r="R34" t="s">
        <v>308</v>
      </c>
      <c r="S34" t="s">
        <v>216</v>
      </c>
      <c r="T34" t="s">
        <v>150</v>
      </c>
      <c r="U34" t="s">
        <v>186</v>
      </c>
      <c r="X34" t="s">
        <v>140</v>
      </c>
      <c r="Y34">
        <v>0</v>
      </c>
      <c r="AI34" t="s">
        <v>166</v>
      </c>
      <c r="AM34" t="s">
        <v>141</v>
      </c>
      <c r="AS34" t="s">
        <v>127</v>
      </c>
      <c r="BG34">
        <v>110</v>
      </c>
      <c r="BM34" t="s">
        <v>129</v>
      </c>
      <c r="BN34">
        <v>0</v>
      </c>
    </row>
    <row r="35" spans="1:74" x14ac:dyDescent="0.2">
      <c r="A35" t="s">
        <v>111</v>
      </c>
      <c r="B35" t="b">
        <v>1</v>
      </c>
      <c r="E35">
        <v>36</v>
      </c>
      <c r="F35" t="str">
        <f>HYPERLINK("https://portal.dnb.de/opac.htm?method=simpleSearch&amp;cqlMode=true&amp;query=idn%3D1066967121", "Portal")</f>
        <v>Portal</v>
      </c>
      <c r="G35" t="s">
        <v>143</v>
      </c>
      <c r="H35" t="s">
        <v>353</v>
      </c>
      <c r="I35" t="s">
        <v>354</v>
      </c>
      <c r="J35" t="s">
        <v>355</v>
      </c>
      <c r="K35" t="s">
        <v>355</v>
      </c>
      <c r="L35" t="s">
        <v>356</v>
      </c>
      <c r="N35" t="s">
        <v>357</v>
      </c>
      <c r="O35" t="s">
        <v>118</v>
      </c>
      <c r="P35" t="s">
        <v>119</v>
      </c>
      <c r="R35" t="s">
        <v>232</v>
      </c>
      <c r="S35" t="s">
        <v>121</v>
      </c>
      <c r="T35" t="s">
        <v>122</v>
      </c>
      <c r="U35" t="s">
        <v>358</v>
      </c>
      <c r="X35" t="s">
        <v>140</v>
      </c>
      <c r="Y35">
        <v>0</v>
      </c>
      <c r="AI35" t="s">
        <v>253</v>
      </c>
      <c r="AM35" t="s">
        <v>153</v>
      </c>
      <c r="AS35" t="s">
        <v>127</v>
      </c>
      <c r="BG35" t="s">
        <v>359</v>
      </c>
      <c r="BM35" t="s">
        <v>129</v>
      </c>
      <c r="BN35">
        <v>0</v>
      </c>
    </row>
    <row r="36" spans="1:74" x14ac:dyDescent="0.2">
      <c r="A36" t="s">
        <v>111</v>
      </c>
      <c r="B36" t="b">
        <v>1</v>
      </c>
      <c r="E36">
        <v>37</v>
      </c>
      <c r="F36" t="str">
        <f>HYPERLINK("https://portal.dnb.de/opac.htm?method=simpleSearch&amp;cqlMode=true&amp;query=idn%3D1066968098", "Portal")</f>
        <v>Portal</v>
      </c>
      <c r="G36" t="s">
        <v>143</v>
      </c>
      <c r="H36" t="s">
        <v>360</v>
      </c>
      <c r="I36" t="s">
        <v>361</v>
      </c>
      <c r="J36" t="s">
        <v>362</v>
      </c>
      <c r="K36" t="s">
        <v>362</v>
      </c>
      <c r="L36" t="s">
        <v>363</v>
      </c>
      <c r="N36" t="s">
        <v>364</v>
      </c>
      <c r="O36" t="s">
        <v>118</v>
      </c>
      <c r="P36" t="s">
        <v>119</v>
      </c>
      <c r="R36" t="s">
        <v>365</v>
      </c>
      <c r="S36" t="s">
        <v>121</v>
      </c>
      <c r="T36" t="s">
        <v>122</v>
      </c>
      <c r="U36" t="s">
        <v>366</v>
      </c>
      <c r="W36" t="s">
        <v>67</v>
      </c>
      <c r="X36" t="s">
        <v>124</v>
      </c>
      <c r="Y36">
        <v>0</v>
      </c>
      <c r="AI36" t="s">
        <v>193</v>
      </c>
      <c r="AM36" t="s">
        <v>141</v>
      </c>
      <c r="AS36" t="s">
        <v>127</v>
      </c>
      <c r="BG36">
        <v>110</v>
      </c>
      <c r="BM36" t="s">
        <v>129</v>
      </c>
      <c r="BN36">
        <v>0</v>
      </c>
      <c r="BP36" t="s">
        <v>263</v>
      </c>
      <c r="BV36" t="s">
        <v>367</v>
      </c>
    </row>
    <row r="37" spans="1:74" x14ac:dyDescent="0.2">
      <c r="A37" t="s">
        <v>111</v>
      </c>
      <c r="B37" t="b">
        <v>1</v>
      </c>
      <c r="E37">
        <v>38</v>
      </c>
      <c r="F37" t="str">
        <f>HYPERLINK("https://portal.dnb.de/opac.htm?method=simpleSearch&amp;cqlMode=true&amp;query=idn%3D1066968691", "Portal")</f>
        <v>Portal</v>
      </c>
      <c r="G37" t="s">
        <v>112</v>
      </c>
      <c r="H37" t="s">
        <v>368</v>
      </c>
      <c r="I37" t="s">
        <v>369</v>
      </c>
      <c r="J37" t="s">
        <v>370</v>
      </c>
      <c r="K37" t="s">
        <v>370</v>
      </c>
      <c r="L37" t="s">
        <v>371</v>
      </c>
      <c r="N37" t="s">
        <v>372</v>
      </c>
      <c r="O37" t="s">
        <v>118</v>
      </c>
      <c r="P37" t="s">
        <v>119</v>
      </c>
      <c r="R37" t="s">
        <v>308</v>
      </c>
      <c r="S37" t="s">
        <v>121</v>
      </c>
      <c r="T37" t="s">
        <v>122</v>
      </c>
      <c r="U37" t="s">
        <v>373</v>
      </c>
      <c r="W37" t="s">
        <v>67</v>
      </c>
      <c r="X37" t="s">
        <v>124</v>
      </c>
      <c r="Y37">
        <v>0</v>
      </c>
      <c r="AI37" t="s">
        <v>253</v>
      </c>
      <c r="AM37" t="s">
        <v>153</v>
      </c>
      <c r="AS37" t="s">
        <v>127</v>
      </c>
      <c r="BE37">
        <v>0</v>
      </c>
      <c r="BF37" t="s">
        <v>130</v>
      </c>
      <c r="BG37">
        <v>45</v>
      </c>
      <c r="BM37" t="s">
        <v>129</v>
      </c>
      <c r="BN37">
        <v>0</v>
      </c>
      <c r="BP37" t="s">
        <v>263</v>
      </c>
      <c r="BV37" t="s">
        <v>374</v>
      </c>
    </row>
    <row r="38" spans="1:74" x14ac:dyDescent="0.2">
      <c r="A38" t="s">
        <v>111</v>
      </c>
      <c r="B38" t="b">
        <v>1</v>
      </c>
      <c r="E38">
        <v>39</v>
      </c>
      <c r="F38" t="str">
        <f>HYPERLINK("https://portal.dnb.de/opac.htm?method=simpleSearch&amp;cqlMode=true&amp;query=idn%3D1072234556", "Portal")</f>
        <v>Portal</v>
      </c>
      <c r="G38" t="s">
        <v>112</v>
      </c>
      <c r="H38" t="s">
        <v>375</v>
      </c>
      <c r="I38" t="s">
        <v>376</v>
      </c>
      <c r="J38" t="s">
        <v>377</v>
      </c>
      <c r="K38" t="s">
        <v>377</v>
      </c>
      <c r="L38" t="s">
        <v>378</v>
      </c>
      <c r="N38" t="s">
        <v>379</v>
      </c>
      <c r="O38" t="s">
        <v>118</v>
      </c>
      <c r="P38" t="s">
        <v>119</v>
      </c>
      <c r="R38" t="s">
        <v>192</v>
      </c>
      <c r="S38" t="s">
        <v>121</v>
      </c>
      <c r="T38" t="s">
        <v>122</v>
      </c>
      <c r="U38" t="s">
        <v>186</v>
      </c>
      <c r="W38" t="s">
        <v>67</v>
      </c>
      <c r="X38" t="s">
        <v>124</v>
      </c>
      <c r="Y38">
        <v>0</v>
      </c>
      <c r="AI38" t="s">
        <v>380</v>
      </c>
      <c r="AM38" t="s">
        <v>141</v>
      </c>
      <c r="AS38" t="s">
        <v>127</v>
      </c>
      <c r="BG38" t="s">
        <v>289</v>
      </c>
      <c r="BM38" t="s">
        <v>129</v>
      </c>
      <c r="BN38">
        <v>0</v>
      </c>
      <c r="BP38" t="s">
        <v>263</v>
      </c>
      <c r="BV38" t="s">
        <v>329</v>
      </c>
    </row>
    <row r="39" spans="1:74" x14ac:dyDescent="0.2">
      <c r="A39" t="s">
        <v>111</v>
      </c>
      <c r="B39" t="b">
        <v>1</v>
      </c>
      <c r="E39">
        <v>40</v>
      </c>
      <c r="F39" t="str">
        <f>HYPERLINK("https://portal.dnb.de/opac.htm?method=simpleSearch&amp;cqlMode=true&amp;query=idn%3D1072234912", "Portal")</f>
        <v>Portal</v>
      </c>
      <c r="G39" t="s">
        <v>112</v>
      </c>
      <c r="H39" t="s">
        <v>381</v>
      </c>
      <c r="I39" t="s">
        <v>382</v>
      </c>
      <c r="J39" t="s">
        <v>383</v>
      </c>
      <c r="K39" t="s">
        <v>383</v>
      </c>
      <c r="L39" t="s">
        <v>384</v>
      </c>
      <c r="N39" t="s">
        <v>385</v>
      </c>
      <c r="O39" t="s">
        <v>118</v>
      </c>
      <c r="P39" t="s">
        <v>119</v>
      </c>
      <c r="R39" t="s">
        <v>232</v>
      </c>
      <c r="S39" t="s">
        <v>121</v>
      </c>
      <c r="T39" t="s">
        <v>150</v>
      </c>
      <c r="U39" t="s">
        <v>358</v>
      </c>
      <c r="X39" t="s">
        <v>140</v>
      </c>
      <c r="Y39">
        <v>1</v>
      </c>
      <c r="AI39" t="s">
        <v>235</v>
      </c>
      <c r="AM39" t="s">
        <v>236</v>
      </c>
      <c r="AS39" t="s">
        <v>127</v>
      </c>
      <c r="BG39">
        <v>60</v>
      </c>
      <c r="BM39" t="s">
        <v>129</v>
      </c>
      <c r="BN39">
        <v>0</v>
      </c>
    </row>
    <row r="40" spans="1:74" x14ac:dyDescent="0.2">
      <c r="A40" t="s">
        <v>111</v>
      </c>
      <c r="B40" t="b">
        <v>1</v>
      </c>
      <c r="E40">
        <v>41</v>
      </c>
      <c r="F40" t="str">
        <f>HYPERLINK("https://portal.dnb.de/opac.htm?method=simpleSearch&amp;cqlMode=true&amp;query=idn%3D1066972796", "Portal")</f>
        <v>Portal</v>
      </c>
      <c r="G40" t="s">
        <v>143</v>
      </c>
      <c r="H40" t="s">
        <v>386</v>
      </c>
      <c r="I40" t="s">
        <v>387</v>
      </c>
      <c r="J40" t="s">
        <v>388</v>
      </c>
      <c r="K40" t="s">
        <v>388</v>
      </c>
      <c r="L40" t="s">
        <v>389</v>
      </c>
      <c r="N40" t="s">
        <v>390</v>
      </c>
      <c r="O40" t="s">
        <v>118</v>
      </c>
      <c r="P40" t="s">
        <v>119</v>
      </c>
      <c r="R40" t="s">
        <v>137</v>
      </c>
      <c r="S40" t="s">
        <v>121</v>
      </c>
      <c r="T40" t="s">
        <v>150</v>
      </c>
      <c r="X40" t="s">
        <v>140</v>
      </c>
      <c r="Y40">
        <v>0</v>
      </c>
      <c r="AI40" t="s">
        <v>127</v>
      </c>
      <c r="AM40" t="s">
        <v>141</v>
      </c>
      <c r="AS40" t="s">
        <v>127</v>
      </c>
      <c r="BG40">
        <v>180</v>
      </c>
      <c r="BM40" t="s">
        <v>129</v>
      </c>
      <c r="BN40">
        <v>0</v>
      </c>
    </row>
    <row r="41" spans="1:74" x14ac:dyDescent="0.2">
      <c r="A41" t="s">
        <v>111</v>
      </c>
      <c r="B41" t="b">
        <v>1</v>
      </c>
      <c r="E41">
        <v>42</v>
      </c>
      <c r="F41" t="str">
        <f>HYPERLINK("https://portal.dnb.de/opac.htm?method=simpleSearch&amp;cqlMode=true&amp;query=idn%3D106697229X", "Portal")</f>
        <v>Portal</v>
      </c>
      <c r="G41" t="s">
        <v>143</v>
      </c>
      <c r="H41" t="s">
        <v>391</v>
      </c>
      <c r="I41" t="s">
        <v>392</v>
      </c>
      <c r="J41" t="s">
        <v>393</v>
      </c>
      <c r="K41" t="s">
        <v>393</v>
      </c>
      <c r="L41" t="s">
        <v>394</v>
      </c>
      <c r="N41" t="s">
        <v>395</v>
      </c>
      <c r="O41" t="s">
        <v>118</v>
      </c>
      <c r="P41" t="s">
        <v>119</v>
      </c>
      <c r="R41" t="s">
        <v>137</v>
      </c>
      <c r="S41" t="s">
        <v>121</v>
      </c>
      <c r="T41" t="s">
        <v>150</v>
      </c>
      <c r="Y41">
        <v>0</v>
      </c>
      <c r="AI41" t="s">
        <v>127</v>
      </c>
      <c r="AM41" t="s">
        <v>141</v>
      </c>
      <c r="AS41" t="s">
        <v>127</v>
      </c>
      <c r="BG41">
        <v>180</v>
      </c>
      <c r="BM41" t="s">
        <v>129</v>
      </c>
      <c r="BN41">
        <v>0</v>
      </c>
    </row>
    <row r="42" spans="1:74" x14ac:dyDescent="0.2">
      <c r="A42" t="s">
        <v>111</v>
      </c>
      <c r="B42" t="b">
        <v>1</v>
      </c>
      <c r="E42">
        <v>43</v>
      </c>
      <c r="F42" t="str">
        <f>HYPERLINK("https://portal.dnb.de/opac.htm?method=simpleSearch&amp;cqlMode=true&amp;query=idn%3D1072239671", "Portal")</f>
        <v>Portal</v>
      </c>
      <c r="G42" t="s">
        <v>112</v>
      </c>
      <c r="H42" t="s">
        <v>396</v>
      </c>
      <c r="I42" t="s">
        <v>397</v>
      </c>
      <c r="J42" t="s">
        <v>398</v>
      </c>
      <c r="K42" t="s">
        <v>398</v>
      </c>
      <c r="L42" t="s">
        <v>399</v>
      </c>
      <c r="N42" t="s">
        <v>400</v>
      </c>
      <c r="O42" t="s">
        <v>118</v>
      </c>
      <c r="P42" t="s">
        <v>119</v>
      </c>
      <c r="R42" t="s">
        <v>137</v>
      </c>
      <c r="S42" t="s">
        <v>121</v>
      </c>
      <c r="T42" t="s">
        <v>150</v>
      </c>
      <c r="U42" t="s">
        <v>186</v>
      </c>
      <c r="X42" t="s">
        <v>140</v>
      </c>
      <c r="Y42">
        <v>0</v>
      </c>
      <c r="AI42" t="s">
        <v>127</v>
      </c>
      <c r="AM42" t="s">
        <v>141</v>
      </c>
      <c r="AS42" t="s">
        <v>127</v>
      </c>
      <c r="BC42" t="s">
        <v>173</v>
      </c>
      <c r="BD42" t="s">
        <v>130</v>
      </c>
      <c r="BG42">
        <v>180</v>
      </c>
      <c r="BM42" t="s">
        <v>129</v>
      </c>
      <c r="BN42">
        <v>0</v>
      </c>
    </row>
    <row r="43" spans="1:74" x14ac:dyDescent="0.2">
      <c r="A43" t="s">
        <v>111</v>
      </c>
      <c r="B43" t="b">
        <v>1</v>
      </c>
      <c r="E43">
        <v>44</v>
      </c>
      <c r="F43" t="str">
        <f>HYPERLINK("https://portal.dnb.de/opac.htm?method=simpleSearch&amp;cqlMode=true&amp;query=idn%3D1066970564", "Portal")</f>
        <v>Portal</v>
      </c>
      <c r="G43" t="s">
        <v>143</v>
      </c>
      <c r="H43" t="s">
        <v>401</v>
      </c>
      <c r="I43" t="s">
        <v>402</v>
      </c>
      <c r="J43" t="s">
        <v>403</v>
      </c>
      <c r="K43" t="s">
        <v>403</v>
      </c>
      <c r="L43" t="s">
        <v>404</v>
      </c>
      <c r="N43" t="s">
        <v>405</v>
      </c>
      <c r="O43" t="s">
        <v>118</v>
      </c>
      <c r="P43" t="s">
        <v>119</v>
      </c>
      <c r="R43" t="s">
        <v>149</v>
      </c>
      <c r="S43" t="s">
        <v>121</v>
      </c>
      <c r="T43" t="s">
        <v>150</v>
      </c>
      <c r="X43" t="s">
        <v>140</v>
      </c>
      <c r="Y43">
        <v>1</v>
      </c>
      <c r="AI43" t="s">
        <v>152</v>
      </c>
      <c r="AM43" t="s">
        <v>153</v>
      </c>
      <c r="AS43" t="s">
        <v>127</v>
      </c>
      <c r="BC43" t="s">
        <v>173</v>
      </c>
      <c r="BD43" t="s">
        <v>130</v>
      </c>
      <c r="BG43">
        <v>110</v>
      </c>
      <c r="BM43" t="s">
        <v>129</v>
      </c>
      <c r="BN43">
        <v>0</v>
      </c>
    </row>
    <row r="44" spans="1:74" x14ac:dyDescent="0.2">
      <c r="A44" t="s">
        <v>111</v>
      </c>
      <c r="B44" t="b">
        <v>1</v>
      </c>
      <c r="E44">
        <v>46</v>
      </c>
      <c r="F44" t="str">
        <f>HYPERLINK("https://portal.dnb.de/opac.htm?method=simpleSearch&amp;cqlMode=true&amp;query=idn%3D1066967423", "Portal")</f>
        <v>Portal</v>
      </c>
      <c r="G44" t="s">
        <v>143</v>
      </c>
      <c r="H44" t="s">
        <v>406</v>
      </c>
      <c r="I44" t="s">
        <v>407</v>
      </c>
      <c r="J44" t="s">
        <v>408</v>
      </c>
      <c r="K44" t="s">
        <v>408</v>
      </c>
      <c r="L44" t="s">
        <v>409</v>
      </c>
      <c r="N44" t="s">
        <v>410</v>
      </c>
      <c r="O44" t="s">
        <v>118</v>
      </c>
      <c r="P44" t="s">
        <v>130</v>
      </c>
      <c r="R44" t="s">
        <v>137</v>
      </c>
      <c r="S44" t="s">
        <v>121</v>
      </c>
      <c r="T44" t="s">
        <v>150</v>
      </c>
      <c r="U44" t="s">
        <v>186</v>
      </c>
      <c r="X44" t="s">
        <v>140</v>
      </c>
      <c r="Y44">
        <v>0</v>
      </c>
      <c r="AI44" t="s">
        <v>127</v>
      </c>
      <c r="AM44" t="s">
        <v>141</v>
      </c>
      <c r="AS44" t="s">
        <v>127</v>
      </c>
      <c r="BG44">
        <v>180</v>
      </c>
      <c r="BM44" t="s">
        <v>129</v>
      </c>
      <c r="BN44">
        <v>0</v>
      </c>
    </row>
    <row r="45" spans="1:74" x14ac:dyDescent="0.2">
      <c r="A45" t="s">
        <v>111</v>
      </c>
      <c r="B45" t="b">
        <v>1</v>
      </c>
      <c r="E45">
        <v>47</v>
      </c>
      <c r="F45" t="str">
        <f>HYPERLINK("https://portal.dnb.de/opac.htm?method=simpleSearch&amp;cqlMode=true&amp;query=idn%3D1066971382", "Portal")</f>
        <v>Portal</v>
      </c>
      <c r="G45" t="s">
        <v>143</v>
      </c>
      <c r="H45" t="s">
        <v>411</v>
      </c>
      <c r="I45" t="s">
        <v>412</v>
      </c>
      <c r="J45" t="s">
        <v>413</v>
      </c>
      <c r="K45" t="s">
        <v>413</v>
      </c>
      <c r="L45" t="s">
        <v>414</v>
      </c>
      <c r="N45" t="s">
        <v>415</v>
      </c>
      <c r="O45" t="s">
        <v>118</v>
      </c>
      <c r="P45" t="s">
        <v>130</v>
      </c>
      <c r="R45" t="s">
        <v>137</v>
      </c>
      <c r="S45" t="s">
        <v>121</v>
      </c>
      <c r="T45" t="s">
        <v>150</v>
      </c>
      <c r="U45" t="s">
        <v>186</v>
      </c>
      <c r="X45" t="s">
        <v>140</v>
      </c>
      <c r="Y45">
        <v>0</v>
      </c>
      <c r="AI45" t="s">
        <v>127</v>
      </c>
      <c r="AM45" t="s">
        <v>141</v>
      </c>
      <c r="AS45" t="s">
        <v>127</v>
      </c>
      <c r="BC45" t="s">
        <v>173</v>
      </c>
      <c r="BD45" t="s">
        <v>130</v>
      </c>
      <c r="BG45">
        <v>180</v>
      </c>
      <c r="BM45" t="s">
        <v>129</v>
      </c>
      <c r="BN45">
        <v>0</v>
      </c>
    </row>
    <row r="46" spans="1:74" x14ac:dyDescent="0.2">
      <c r="A46" t="s">
        <v>111</v>
      </c>
      <c r="B46" t="b">
        <v>1</v>
      </c>
      <c r="E46">
        <v>48</v>
      </c>
      <c r="F46" t="str">
        <f>HYPERLINK("https://portal.dnb.de/opac.htm?method=simpleSearch&amp;cqlMode=true&amp;query=idn%3D1066965951", "Portal")</f>
        <v>Portal</v>
      </c>
      <c r="G46" t="s">
        <v>143</v>
      </c>
      <c r="H46" t="s">
        <v>416</v>
      </c>
      <c r="I46" t="s">
        <v>417</v>
      </c>
      <c r="J46" t="s">
        <v>418</v>
      </c>
      <c r="K46" t="s">
        <v>418</v>
      </c>
      <c r="L46" t="s">
        <v>419</v>
      </c>
      <c r="N46" t="s">
        <v>420</v>
      </c>
      <c r="O46" t="s">
        <v>118</v>
      </c>
      <c r="R46" t="s">
        <v>137</v>
      </c>
      <c r="S46" t="s">
        <v>121</v>
      </c>
      <c r="T46" t="s">
        <v>150</v>
      </c>
      <c r="U46" t="s">
        <v>138</v>
      </c>
      <c r="V46" t="s">
        <v>139</v>
      </c>
      <c r="W46" t="s">
        <v>209</v>
      </c>
      <c r="X46" t="s">
        <v>217</v>
      </c>
      <c r="Y46">
        <v>0</v>
      </c>
      <c r="AI46" t="s">
        <v>127</v>
      </c>
      <c r="AL46" t="s">
        <v>130</v>
      </c>
      <c r="AM46" t="s">
        <v>141</v>
      </c>
      <c r="AS46" t="s">
        <v>127</v>
      </c>
      <c r="BC46" t="s">
        <v>173</v>
      </c>
      <c r="BD46" t="s">
        <v>130</v>
      </c>
      <c r="BG46">
        <v>110</v>
      </c>
      <c r="BM46" t="s">
        <v>129</v>
      </c>
      <c r="BN46">
        <v>0</v>
      </c>
    </row>
    <row r="47" spans="1:74" x14ac:dyDescent="0.2">
      <c r="A47" t="s">
        <v>111</v>
      </c>
      <c r="B47" t="b">
        <v>1</v>
      </c>
      <c r="E47">
        <v>49</v>
      </c>
      <c r="F47" t="str">
        <f>HYPERLINK("https://portal.dnb.de/opac.htm?method=simpleSearch&amp;cqlMode=true&amp;query=idn%3D1066971331", "Portal")</f>
        <v>Portal</v>
      </c>
      <c r="G47" t="s">
        <v>143</v>
      </c>
      <c r="H47" t="s">
        <v>421</v>
      </c>
      <c r="I47" t="s">
        <v>422</v>
      </c>
      <c r="J47" t="s">
        <v>423</v>
      </c>
      <c r="K47" t="s">
        <v>423</v>
      </c>
      <c r="L47" t="s">
        <v>424</v>
      </c>
      <c r="N47" t="s">
        <v>425</v>
      </c>
      <c r="O47" t="s">
        <v>118</v>
      </c>
      <c r="P47" t="s">
        <v>130</v>
      </c>
      <c r="R47" t="s">
        <v>165</v>
      </c>
      <c r="S47" t="s">
        <v>216</v>
      </c>
      <c r="T47" t="s">
        <v>122</v>
      </c>
      <c r="U47" t="s">
        <v>186</v>
      </c>
      <c r="Y47">
        <v>0</v>
      </c>
      <c r="AI47" t="s">
        <v>166</v>
      </c>
      <c r="AM47" t="s">
        <v>141</v>
      </c>
      <c r="AS47" t="s">
        <v>127</v>
      </c>
      <c r="BG47">
        <v>110</v>
      </c>
      <c r="BM47" t="s">
        <v>129</v>
      </c>
      <c r="BN47">
        <v>0</v>
      </c>
    </row>
    <row r="48" spans="1:74" x14ac:dyDescent="0.2">
      <c r="A48" t="s">
        <v>111</v>
      </c>
      <c r="B48" t="b">
        <v>1</v>
      </c>
      <c r="E48">
        <v>50</v>
      </c>
      <c r="F48" t="str">
        <f>HYPERLINK("https://portal.dnb.de/opac.htm?method=simpleSearch&amp;cqlMode=true&amp;query=idn%3D107224005X", "Portal")</f>
        <v>Portal</v>
      </c>
      <c r="G48" t="s">
        <v>112</v>
      </c>
      <c r="H48" t="s">
        <v>426</v>
      </c>
      <c r="I48" t="s">
        <v>427</v>
      </c>
      <c r="J48" t="s">
        <v>428</v>
      </c>
      <c r="K48" t="s">
        <v>428</v>
      </c>
      <c r="L48" t="s">
        <v>429</v>
      </c>
      <c r="N48" t="s">
        <v>430</v>
      </c>
      <c r="O48" t="s">
        <v>118</v>
      </c>
      <c r="P48" t="s">
        <v>130</v>
      </c>
      <c r="R48" t="s">
        <v>165</v>
      </c>
      <c r="S48" t="s">
        <v>216</v>
      </c>
      <c r="T48" t="s">
        <v>122</v>
      </c>
      <c r="U48" t="s">
        <v>186</v>
      </c>
      <c r="Y48">
        <v>0</v>
      </c>
      <c r="AI48" t="s">
        <v>166</v>
      </c>
      <c r="AM48" t="s">
        <v>141</v>
      </c>
      <c r="AS48" t="s">
        <v>127</v>
      </c>
      <c r="BG48">
        <v>110</v>
      </c>
      <c r="BM48" t="s">
        <v>129</v>
      </c>
      <c r="BN48">
        <v>0</v>
      </c>
    </row>
    <row r="49" spans="1:111" x14ac:dyDescent="0.2">
      <c r="A49" t="s">
        <v>111</v>
      </c>
      <c r="B49" t="b">
        <v>1</v>
      </c>
      <c r="E49">
        <v>51</v>
      </c>
      <c r="F49" t="str">
        <f>HYPERLINK("https://portal.dnb.de/opac.htm?method=simpleSearch&amp;cqlMode=true&amp;query=idn%3D1066972737", "Portal")</f>
        <v>Portal</v>
      </c>
      <c r="G49" t="s">
        <v>143</v>
      </c>
      <c r="H49" t="s">
        <v>431</v>
      </c>
      <c r="I49" t="s">
        <v>432</v>
      </c>
      <c r="J49" t="s">
        <v>433</v>
      </c>
      <c r="K49" t="s">
        <v>433</v>
      </c>
      <c r="L49" t="s">
        <v>434</v>
      </c>
      <c r="N49" t="s">
        <v>435</v>
      </c>
      <c r="O49" t="s">
        <v>118</v>
      </c>
      <c r="P49" t="s">
        <v>130</v>
      </c>
      <c r="R49" t="s">
        <v>260</v>
      </c>
      <c r="S49" t="s">
        <v>216</v>
      </c>
      <c r="T49" t="s">
        <v>436</v>
      </c>
      <c r="U49" t="s">
        <v>151</v>
      </c>
      <c r="V49" t="s">
        <v>139</v>
      </c>
      <c r="W49" t="s">
        <v>67</v>
      </c>
      <c r="X49" t="s">
        <v>124</v>
      </c>
      <c r="Y49">
        <v>0</v>
      </c>
      <c r="AI49" t="s">
        <v>253</v>
      </c>
      <c r="AM49" t="s">
        <v>153</v>
      </c>
      <c r="AS49" t="s">
        <v>127</v>
      </c>
      <c r="BG49">
        <v>110</v>
      </c>
      <c r="BM49" t="s">
        <v>129</v>
      </c>
      <c r="BN49">
        <v>0</v>
      </c>
      <c r="BP49" t="s">
        <v>263</v>
      </c>
      <c r="BV49" t="s">
        <v>437</v>
      </c>
    </row>
    <row r="50" spans="1:111" x14ac:dyDescent="0.2">
      <c r="A50" t="s">
        <v>111</v>
      </c>
      <c r="B50" t="b">
        <v>1</v>
      </c>
      <c r="E50">
        <v>52</v>
      </c>
      <c r="F50" t="str">
        <f>HYPERLINK("https://portal.dnb.de/opac.htm?method=simpleSearch&amp;cqlMode=true&amp;query=idn%3D1066966834", "Portal")</f>
        <v>Portal</v>
      </c>
      <c r="G50" t="s">
        <v>112</v>
      </c>
      <c r="H50" t="s">
        <v>438</v>
      </c>
      <c r="I50" t="s">
        <v>439</v>
      </c>
      <c r="J50" t="s">
        <v>440</v>
      </c>
      <c r="K50" t="s">
        <v>440</v>
      </c>
      <c r="L50" t="s">
        <v>441</v>
      </c>
      <c r="N50" t="s">
        <v>442</v>
      </c>
      <c r="O50" t="s">
        <v>118</v>
      </c>
      <c r="P50" t="s">
        <v>119</v>
      </c>
      <c r="R50" t="s">
        <v>137</v>
      </c>
      <c r="S50" t="s">
        <v>216</v>
      </c>
      <c r="T50" t="s">
        <v>150</v>
      </c>
      <c r="U50" t="s">
        <v>443</v>
      </c>
      <c r="V50" t="s">
        <v>139</v>
      </c>
      <c r="Y50">
        <v>1</v>
      </c>
      <c r="AA50" t="s">
        <v>444</v>
      </c>
      <c r="AI50" t="s">
        <v>166</v>
      </c>
      <c r="AM50" t="s">
        <v>141</v>
      </c>
      <c r="AS50" t="s">
        <v>127</v>
      </c>
      <c r="BC50" t="s">
        <v>173</v>
      </c>
      <c r="BD50" t="s">
        <v>130</v>
      </c>
      <c r="BG50" t="s">
        <v>445</v>
      </c>
      <c r="BM50" t="s">
        <v>129</v>
      </c>
      <c r="BN50">
        <v>0</v>
      </c>
    </row>
    <row r="51" spans="1:111" x14ac:dyDescent="0.2">
      <c r="A51" t="s">
        <v>111</v>
      </c>
      <c r="B51" t="b">
        <v>1</v>
      </c>
      <c r="E51">
        <v>53</v>
      </c>
      <c r="F51" t="str">
        <f>HYPERLINK("https://portal.dnb.de/opac.htm?method=simpleSearch&amp;cqlMode=true&amp;query=idn%3D1066972273", "Portal")</f>
        <v>Portal</v>
      </c>
      <c r="G51" t="s">
        <v>143</v>
      </c>
      <c r="H51" t="s">
        <v>446</v>
      </c>
      <c r="I51" t="s">
        <v>447</v>
      </c>
      <c r="J51" t="s">
        <v>448</v>
      </c>
      <c r="K51" t="s">
        <v>448</v>
      </c>
      <c r="L51" t="s">
        <v>449</v>
      </c>
      <c r="N51" t="s">
        <v>450</v>
      </c>
      <c r="O51" t="s">
        <v>118</v>
      </c>
      <c r="P51" t="s">
        <v>119</v>
      </c>
      <c r="R51" t="s">
        <v>260</v>
      </c>
      <c r="S51" t="s">
        <v>216</v>
      </c>
      <c r="T51" t="s">
        <v>436</v>
      </c>
      <c r="U51" t="s">
        <v>151</v>
      </c>
      <c r="V51" t="s">
        <v>139</v>
      </c>
      <c r="W51" t="s">
        <v>67</v>
      </c>
      <c r="X51" t="s">
        <v>124</v>
      </c>
      <c r="Y51">
        <v>0</v>
      </c>
      <c r="AI51" t="s">
        <v>253</v>
      </c>
      <c r="AM51" t="s">
        <v>153</v>
      </c>
      <c r="AS51" t="s">
        <v>127</v>
      </c>
      <c r="BG51">
        <v>110</v>
      </c>
      <c r="BM51" t="s">
        <v>129</v>
      </c>
      <c r="BN51">
        <v>0</v>
      </c>
      <c r="BP51" t="s">
        <v>263</v>
      </c>
      <c r="BV51" t="s">
        <v>367</v>
      </c>
    </row>
    <row r="52" spans="1:111" x14ac:dyDescent="0.2">
      <c r="A52" t="s">
        <v>111</v>
      </c>
      <c r="B52" t="b">
        <v>1</v>
      </c>
      <c r="E52">
        <v>54</v>
      </c>
      <c r="F52" t="str">
        <f>HYPERLINK("https://portal.dnb.de/opac.htm?method=simpleSearch&amp;cqlMode=true&amp;query=idn%3D1066971498", "Portal")</f>
        <v>Portal</v>
      </c>
      <c r="G52" t="s">
        <v>112</v>
      </c>
      <c r="H52" t="s">
        <v>451</v>
      </c>
      <c r="I52" t="s">
        <v>452</v>
      </c>
      <c r="J52" t="s">
        <v>453</v>
      </c>
      <c r="K52" t="s">
        <v>453</v>
      </c>
      <c r="L52" t="s">
        <v>454</v>
      </c>
      <c r="N52" t="s">
        <v>455</v>
      </c>
      <c r="O52" t="s">
        <v>118</v>
      </c>
      <c r="R52" t="s">
        <v>260</v>
      </c>
      <c r="S52" t="s">
        <v>216</v>
      </c>
      <c r="T52" t="s">
        <v>436</v>
      </c>
      <c r="U52" t="s">
        <v>270</v>
      </c>
      <c r="V52" t="s">
        <v>139</v>
      </c>
      <c r="X52" t="s">
        <v>140</v>
      </c>
      <c r="Y52">
        <v>0</v>
      </c>
      <c r="AI52" t="s">
        <v>253</v>
      </c>
      <c r="AM52" t="s">
        <v>153</v>
      </c>
      <c r="AS52" t="s">
        <v>127</v>
      </c>
      <c r="BG52" t="s">
        <v>359</v>
      </c>
      <c r="BM52" t="s">
        <v>129</v>
      </c>
      <c r="BN52">
        <v>0</v>
      </c>
    </row>
    <row r="53" spans="1:111" x14ac:dyDescent="0.2">
      <c r="A53" t="s">
        <v>111</v>
      </c>
      <c r="B53" t="b">
        <v>1</v>
      </c>
      <c r="C53" t="s">
        <v>130</v>
      </c>
      <c r="E53">
        <v>55</v>
      </c>
      <c r="F53" t="str">
        <f>HYPERLINK("https://portal.dnb.de/opac.htm?method=simpleSearch&amp;cqlMode=true&amp;query=idn%3D1066971498", "Portal")</f>
        <v>Portal</v>
      </c>
      <c r="G53" t="s">
        <v>112</v>
      </c>
      <c r="H53" t="s">
        <v>456</v>
      </c>
      <c r="I53" t="s">
        <v>452</v>
      </c>
      <c r="J53" t="s">
        <v>457</v>
      </c>
      <c r="K53" t="s">
        <v>457</v>
      </c>
      <c r="L53" t="s">
        <v>458</v>
      </c>
      <c r="N53" t="s">
        <v>455</v>
      </c>
      <c r="O53" t="s">
        <v>118</v>
      </c>
      <c r="P53" t="s">
        <v>130</v>
      </c>
      <c r="R53" t="s">
        <v>260</v>
      </c>
      <c r="S53" t="s">
        <v>216</v>
      </c>
      <c r="T53" t="s">
        <v>122</v>
      </c>
      <c r="U53" t="s">
        <v>459</v>
      </c>
      <c r="V53" t="s">
        <v>139</v>
      </c>
      <c r="Y53">
        <v>3</v>
      </c>
      <c r="AI53" t="s">
        <v>253</v>
      </c>
      <c r="AM53" t="s">
        <v>153</v>
      </c>
      <c r="AS53" t="s">
        <v>127</v>
      </c>
      <c r="BC53" t="s">
        <v>173</v>
      </c>
      <c r="BD53" t="s">
        <v>130</v>
      </c>
      <c r="BG53">
        <v>110</v>
      </c>
      <c r="BM53" t="s">
        <v>237</v>
      </c>
      <c r="BN53">
        <v>2</v>
      </c>
      <c r="CB53" t="s">
        <v>130</v>
      </c>
      <c r="CM53">
        <v>0.5</v>
      </c>
      <c r="CT53" t="s">
        <v>130</v>
      </c>
      <c r="CX53" t="s">
        <v>130</v>
      </c>
      <c r="DF53">
        <v>1.5</v>
      </c>
    </row>
    <row r="54" spans="1:111" x14ac:dyDescent="0.2">
      <c r="A54" t="s">
        <v>111</v>
      </c>
      <c r="B54" t="b">
        <v>1</v>
      </c>
      <c r="E54">
        <v>57</v>
      </c>
      <c r="F54" t="str">
        <f>HYPERLINK("https://portal.dnb.de/opac.htm?method=simpleSearch&amp;cqlMode=true&amp;query=idn%3D1066957290", "Portal")</f>
        <v>Portal</v>
      </c>
      <c r="G54" t="s">
        <v>143</v>
      </c>
      <c r="H54" t="s">
        <v>460</v>
      </c>
      <c r="I54" t="s">
        <v>461</v>
      </c>
      <c r="J54" t="s">
        <v>462</v>
      </c>
      <c r="K54" t="s">
        <v>462</v>
      </c>
      <c r="L54" t="s">
        <v>463</v>
      </c>
      <c r="N54" t="s">
        <v>464</v>
      </c>
      <c r="O54" t="s">
        <v>118</v>
      </c>
      <c r="P54" t="s">
        <v>119</v>
      </c>
      <c r="Q54" t="s">
        <v>465</v>
      </c>
      <c r="R54" t="s">
        <v>232</v>
      </c>
      <c r="S54" t="s">
        <v>286</v>
      </c>
      <c r="T54" t="s">
        <v>122</v>
      </c>
      <c r="U54" t="s">
        <v>466</v>
      </c>
      <c r="V54" t="s">
        <v>139</v>
      </c>
      <c r="Y54">
        <v>3</v>
      </c>
      <c r="AI54" t="s">
        <v>235</v>
      </c>
      <c r="AM54" t="s">
        <v>467</v>
      </c>
      <c r="AS54" t="s">
        <v>127</v>
      </c>
      <c r="BC54" t="s">
        <v>468</v>
      </c>
      <c r="BD54" t="s">
        <v>469</v>
      </c>
      <c r="BG54">
        <v>110</v>
      </c>
      <c r="BM54" t="s">
        <v>129</v>
      </c>
      <c r="BN54">
        <v>0</v>
      </c>
    </row>
    <row r="55" spans="1:111" x14ac:dyDescent="0.2">
      <c r="A55" t="s">
        <v>111</v>
      </c>
      <c r="B55" t="b">
        <v>1</v>
      </c>
      <c r="F55" t="str">
        <f>HYPERLINK("https://portal.dnb.de/opac.htm?method=simpleSearch&amp;cqlMode=true&amp;query=idn%3D1269212222", "Portal")</f>
        <v>Portal</v>
      </c>
      <c r="G55" t="s">
        <v>470</v>
      </c>
      <c r="H55" t="s">
        <v>471</v>
      </c>
      <c r="I55" t="s">
        <v>472</v>
      </c>
      <c r="J55" t="s">
        <v>473</v>
      </c>
      <c r="K55" t="s">
        <v>474</v>
      </c>
      <c r="L55" t="s">
        <v>474</v>
      </c>
      <c r="N55" t="s">
        <v>475</v>
      </c>
      <c r="O55" t="s">
        <v>476</v>
      </c>
      <c r="P55" t="s">
        <v>119</v>
      </c>
      <c r="R55" t="s">
        <v>260</v>
      </c>
      <c r="S55" t="s">
        <v>252</v>
      </c>
      <c r="T55" t="s">
        <v>122</v>
      </c>
      <c r="U55" t="s">
        <v>151</v>
      </c>
      <c r="V55" t="s">
        <v>139</v>
      </c>
      <c r="W55" t="s">
        <v>67</v>
      </c>
      <c r="X55" t="s">
        <v>124</v>
      </c>
      <c r="Y55">
        <v>0</v>
      </c>
      <c r="AI55" t="s">
        <v>253</v>
      </c>
      <c r="AL55" t="s">
        <v>130</v>
      </c>
      <c r="AM55" t="s">
        <v>153</v>
      </c>
      <c r="AS55" t="s">
        <v>127</v>
      </c>
      <c r="BC55" t="s">
        <v>173</v>
      </c>
      <c r="BD55" t="s">
        <v>477</v>
      </c>
      <c r="BG55">
        <v>110</v>
      </c>
      <c r="BM55" t="s">
        <v>129</v>
      </c>
      <c r="BN55">
        <v>0</v>
      </c>
      <c r="BP55" t="s">
        <v>263</v>
      </c>
    </row>
    <row r="56" spans="1:111" x14ac:dyDescent="0.2">
      <c r="A56" t="s">
        <v>111</v>
      </c>
      <c r="B56" t="b">
        <v>1</v>
      </c>
      <c r="F56" t="str">
        <f>HYPERLINK("https://portal.dnb.de/opac.htm?method=simpleSearch&amp;cqlMode=true&amp;query=idn%3D1269214047", "Portal")</f>
        <v>Portal</v>
      </c>
      <c r="G56" t="s">
        <v>470</v>
      </c>
      <c r="H56" t="s">
        <v>478</v>
      </c>
      <c r="I56" t="s">
        <v>479</v>
      </c>
      <c r="J56" t="s">
        <v>480</v>
      </c>
      <c r="K56" t="s">
        <v>481</v>
      </c>
      <c r="L56" t="s">
        <v>481</v>
      </c>
      <c r="N56" t="s">
        <v>475</v>
      </c>
      <c r="O56" t="s">
        <v>482</v>
      </c>
      <c r="P56" t="s">
        <v>119</v>
      </c>
      <c r="R56" t="s">
        <v>260</v>
      </c>
      <c r="S56" t="s">
        <v>252</v>
      </c>
      <c r="T56" t="s">
        <v>122</v>
      </c>
      <c r="U56" t="s">
        <v>483</v>
      </c>
      <c r="V56" t="s">
        <v>139</v>
      </c>
      <c r="W56" t="s">
        <v>68</v>
      </c>
      <c r="X56" t="s">
        <v>124</v>
      </c>
      <c r="Y56">
        <v>0</v>
      </c>
      <c r="AI56" t="s">
        <v>253</v>
      </c>
      <c r="AL56" t="s">
        <v>130</v>
      </c>
      <c r="AM56" t="s">
        <v>153</v>
      </c>
      <c r="AS56" t="s">
        <v>127</v>
      </c>
      <c r="BC56" t="s">
        <v>173</v>
      </c>
      <c r="BD56" t="s">
        <v>130</v>
      </c>
      <c r="BG56">
        <v>110</v>
      </c>
      <c r="BK56" t="s">
        <v>130</v>
      </c>
      <c r="BM56" t="s">
        <v>129</v>
      </c>
      <c r="BN56">
        <v>0</v>
      </c>
      <c r="BQ56" t="s">
        <v>130</v>
      </c>
    </row>
    <row r="57" spans="1:111" x14ac:dyDescent="0.2">
      <c r="A57" t="s">
        <v>111</v>
      </c>
      <c r="B57" t="b">
        <v>1</v>
      </c>
      <c r="C57" t="s">
        <v>130</v>
      </c>
      <c r="E57">
        <v>59</v>
      </c>
      <c r="F57" t="str">
        <f>HYPERLINK("https://portal.dnb.de/opac.htm?method=simpleSearch&amp;cqlMode=true&amp;query=idn%3D1072240653", "Portal")</f>
        <v>Portal</v>
      </c>
      <c r="G57" t="s">
        <v>112</v>
      </c>
      <c r="H57" t="s">
        <v>484</v>
      </c>
      <c r="I57" t="s">
        <v>485</v>
      </c>
      <c r="J57" t="s">
        <v>486</v>
      </c>
      <c r="K57" t="s">
        <v>486</v>
      </c>
      <c r="L57" t="s">
        <v>487</v>
      </c>
      <c r="N57" t="s">
        <v>488</v>
      </c>
      <c r="O57" t="s">
        <v>118</v>
      </c>
      <c r="P57" t="s">
        <v>119</v>
      </c>
      <c r="R57" t="s">
        <v>137</v>
      </c>
      <c r="S57" t="s">
        <v>252</v>
      </c>
      <c r="T57" t="s">
        <v>122</v>
      </c>
      <c r="U57" t="s">
        <v>489</v>
      </c>
      <c r="X57" t="s">
        <v>140</v>
      </c>
      <c r="Y57">
        <v>1</v>
      </c>
      <c r="AI57" t="s">
        <v>166</v>
      </c>
      <c r="AM57" t="s">
        <v>467</v>
      </c>
      <c r="AS57" t="s">
        <v>127</v>
      </c>
      <c r="BG57">
        <v>110</v>
      </c>
      <c r="BM57" t="s">
        <v>237</v>
      </c>
      <c r="BN57">
        <v>3</v>
      </c>
      <c r="CO57" t="s">
        <v>130</v>
      </c>
      <c r="CZ57" t="s">
        <v>130</v>
      </c>
      <c r="DF57">
        <v>3</v>
      </c>
      <c r="DG57" t="s">
        <v>490</v>
      </c>
    </row>
    <row r="58" spans="1:111" x14ac:dyDescent="0.2">
      <c r="A58" t="s">
        <v>111</v>
      </c>
      <c r="B58" t="b">
        <v>1</v>
      </c>
      <c r="E58">
        <v>60</v>
      </c>
      <c r="F58" t="str">
        <f>HYPERLINK("https://portal.dnb.de/opac.htm?method=simpleSearch&amp;cqlMode=true&amp;query=idn%3D1066968004", "Portal")</f>
        <v>Portal</v>
      </c>
      <c r="G58" t="s">
        <v>491</v>
      </c>
      <c r="H58" t="s">
        <v>492</v>
      </c>
      <c r="I58" t="s">
        <v>493</v>
      </c>
      <c r="J58" t="s">
        <v>494</v>
      </c>
      <c r="K58" t="s">
        <v>494</v>
      </c>
      <c r="L58" t="s">
        <v>495</v>
      </c>
      <c r="N58" t="s">
        <v>496</v>
      </c>
      <c r="O58" t="s">
        <v>118</v>
      </c>
      <c r="R58" t="s">
        <v>232</v>
      </c>
      <c r="S58" t="s">
        <v>252</v>
      </c>
      <c r="T58" t="s">
        <v>122</v>
      </c>
      <c r="U58" t="s">
        <v>261</v>
      </c>
      <c r="V58" t="s">
        <v>139</v>
      </c>
      <c r="X58" t="s">
        <v>140</v>
      </c>
      <c r="Y58">
        <v>1</v>
      </c>
      <c r="AI58" t="s">
        <v>253</v>
      </c>
      <c r="AM58" t="s">
        <v>153</v>
      </c>
      <c r="AS58" t="s">
        <v>127</v>
      </c>
      <c r="BC58" t="s">
        <v>173</v>
      </c>
      <c r="BD58" t="s">
        <v>130</v>
      </c>
      <c r="BG58">
        <v>45</v>
      </c>
      <c r="BM58" t="s">
        <v>129</v>
      </c>
      <c r="BN58">
        <v>0</v>
      </c>
    </row>
    <row r="59" spans="1:111" x14ac:dyDescent="0.2">
      <c r="A59" t="s">
        <v>111</v>
      </c>
      <c r="B59" t="b">
        <v>1</v>
      </c>
      <c r="F59" t="str">
        <f>HYPERLINK("https://portal.dnb.de/opac.htm?method=simpleSearch&amp;cqlMode=true&amp;query=idn%3D1272539504", "Portal")</f>
        <v>Portal</v>
      </c>
      <c r="G59" t="s">
        <v>497</v>
      </c>
      <c r="H59" t="s">
        <v>498</v>
      </c>
      <c r="I59" t="s">
        <v>499</v>
      </c>
      <c r="J59" t="s">
        <v>500</v>
      </c>
      <c r="K59" t="s">
        <v>500</v>
      </c>
      <c r="L59" t="s">
        <v>500</v>
      </c>
      <c r="N59" t="s">
        <v>501</v>
      </c>
      <c r="O59" t="s">
        <v>502</v>
      </c>
    </row>
    <row r="60" spans="1:111" x14ac:dyDescent="0.2">
      <c r="A60" t="s">
        <v>111</v>
      </c>
      <c r="B60" t="b">
        <v>1</v>
      </c>
      <c r="C60" t="s">
        <v>130</v>
      </c>
      <c r="F60" t="str">
        <f>HYPERLINK("https://portal.dnb.de/opac.htm?method=simpleSearch&amp;cqlMode=true&amp;query=idn%3D1272539555", "Portal")</f>
        <v>Portal</v>
      </c>
      <c r="G60" t="s">
        <v>497</v>
      </c>
      <c r="H60" t="s">
        <v>503</v>
      </c>
      <c r="I60" t="s">
        <v>504</v>
      </c>
      <c r="J60" t="s">
        <v>505</v>
      </c>
      <c r="K60" t="s">
        <v>505</v>
      </c>
      <c r="L60" t="s">
        <v>505</v>
      </c>
      <c r="N60" t="s">
        <v>501</v>
      </c>
      <c r="O60" t="s">
        <v>506</v>
      </c>
      <c r="P60" t="s">
        <v>119</v>
      </c>
      <c r="R60" t="s">
        <v>232</v>
      </c>
      <c r="S60" t="s">
        <v>252</v>
      </c>
      <c r="T60" t="s">
        <v>122</v>
      </c>
      <c r="U60" t="s">
        <v>151</v>
      </c>
      <c r="V60" t="s">
        <v>139</v>
      </c>
      <c r="X60" t="s">
        <v>140</v>
      </c>
      <c r="Y60">
        <v>0</v>
      </c>
      <c r="AI60" t="s">
        <v>253</v>
      </c>
      <c r="AM60" t="s">
        <v>153</v>
      </c>
      <c r="AS60" t="s">
        <v>127</v>
      </c>
      <c r="BC60" t="s">
        <v>173</v>
      </c>
      <c r="BD60" t="s">
        <v>469</v>
      </c>
      <c r="BG60" t="s">
        <v>262</v>
      </c>
      <c r="BM60" t="s">
        <v>237</v>
      </c>
      <c r="BN60">
        <v>1</v>
      </c>
      <c r="CB60" t="s">
        <v>130</v>
      </c>
      <c r="CM60">
        <v>0.5</v>
      </c>
      <c r="CT60" t="s">
        <v>130</v>
      </c>
      <c r="DF60">
        <v>0.5</v>
      </c>
    </row>
    <row r="61" spans="1:111" x14ac:dyDescent="0.2">
      <c r="A61" t="s">
        <v>111</v>
      </c>
      <c r="B61" t="b">
        <v>1</v>
      </c>
      <c r="E61">
        <v>61</v>
      </c>
      <c r="F61" t="str">
        <f>HYPERLINK("https://portal.dnb.de/opac.htm?method=simpleSearch&amp;cqlMode=true&amp;query=idn%3D1066971641", "Portal")</f>
        <v>Portal</v>
      </c>
      <c r="G61" t="s">
        <v>143</v>
      </c>
      <c r="H61" t="s">
        <v>507</v>
      </c>
      <c r="I61" t="s">
        <v>508</v>
      </c>
      <c r="J61" t="s">
        <v>509</v>
      </c>
      <c r="K61" t="s">
        <v>509</v>
      </c>
      <c r="L61" t="s">
        <v>510</v>
      </c>
      <c r="N61" t="s">
        <v>511</v>
      </c>
      <c r="O61" t="s">
        <v>118</v>
      </c>
      <c r="P61" t="s">
        <v>119</v>
      </c>
      <c r="R61" t="s">
        <v>137</v>
      </c>
      <c r="S61" t="s">
        <v>252</v>
      </c>
      <c r="T61" t="s">
        <v>122</v>
      </c>
      <c r="X61" t="s">
        <v>140</v>
      </c>
      <c r="Y61">
        <v>1</v>
      </c>
      <c r="AI61" t="s">
        <v>166</v>
      </c>
      <c r="AM61" t="s">
        <v>467</v>
      </c>
      <c r="AS61" t="s">
        <v>127</v>
      </c>
      <c r="BG61">
        <v>110</v>
      </c>
      <c r="BM61" t="s">
        <v>129</v>
      </c>
      <c r="BN61">
        <v>0</v>
      </c>
    </row>
    <row r="62" spans="1:111" x14ac:dyDescent="0.2">
      <c r="A62" t="s">
        <v>111</v>
      </c>
      <c r="B62" t="b">
        <v>1</v>
      </c>
      <c r="E62">
        <v>62</v>
      </c>
      <c r="F62" t="str">
        <f>HYPERLINK("https://portal.dnb.de/opac.htm?method=simpleSearch&amp;cqlMode=true&amp;query=idn%3D1066968578", "Portal")</f>
        <v>Portal</v>
      </c>
      <c r="G62" t="s">
        <v>112</v>
      </c>
      <c r="H62" t="s">
        <v>512</v>
      </c>
      <c r="I62" t="s">
        <v>513</v>
      </c>
      <c r="J62" t="s">
        <v>514</v>
      </c>
      <c r="K62" t="s">
        <v>514</v>
      </c>
      <c r="L62" t="s">
        <v>515</v>
      </c>
      <c r="N62" t="s">
        <v>516</v>
      </c>
      <c r="O62" t="s">
        <v>118</v>
      </c>
      <c r="R62" t="s">
        <v>260</v>
      </c>
      <c r="S62" t="s">
        <v>252</v>
      </c>
      <c r="T62" t="s">
        <v>436</v>
      </c>
      <c r="U62" t="s">
        <v>517</v>
      </c>
      <c r="V62" t="s">
        <v>139</v>
      </c>
      <c r="W62" t="s">
        <v>67</v>
      </c>
      <c r="X62" t="s">
        <v>124</v>
      </c>
      <c r="Y62">
        <v>1</v>
      </c>
      <c r="AI62" t="s">
        <v>253</v>
      </c>
      <c r="AL62" t="s">
        <v>130</v>
      </c>
      <c r="AM62" t="s">
        <v>153</v>
      </c>
      <c r="AS62" t="s">
        <v>127</v>
      </c>
      <c r="BG62">
        <v>110</v>
      </c>
      <c r="BM62" t="s">
        <v>129</v>
      </c>
      <c r="BN62">
        <v>0</v>
      </c>
      <c r="BP62" t="s">
        <v>263</v>
      </c>
    </row>
    <row r="63" spans="1:111" x14ac:dyDescent="0.2">
      <c r="A63" t="s">
        <v>111</v>
      </c>
      <c r="B63" t="b">
        <v>1</v>
      </c>
      <c r="E63">
        <v>63</v>
      </c>
      <c r="F63" t="str">
        <f>HYPERLINK("https://portal.dnb.de/opac.htm?method=simpleSearch&amp;cqlMode=true&amp;query=idn%3D1066971692", "Portal")</f>
        <v>Portal</v>
      </c>
      <c r="G63" t="s">
        <v>143</v>
      </c>
      <c r="H63" t="s">
        <v>518</v>
      </c>
      <c r="I63" t="s">
        <v>519</v>
      </c>
      <c r="J63" t="s">
        <v>520</v>
      </c>
      <c r="K63" t="s">
        <v>520</v>
      </c>
      <c r="L63" t="s">
        <v>521</v>
      </c>
      <c r="N63" t="s">
        <v>522</v>
      </c>
      <c r="O63" t="s">
        <v>118</v>
      </c>
      <c r="P63" t="s">
        <v>119</v>
      </c>
      <c r="R63" t="s">
        <v>260</v>
      </c>
      <c r="S63" t="s">
        <v>252</v>
      </c>
      <c r="T63" t="s">
        <v>436</v>
      </c>
      <c r="W63" t="s">
        <v>67</v>
      </c>
      <c r="X63" t="s">
        <v>124</v>
      </c>
      <c r="Y63">
        <v>0</v>
      </c>
      <c r="AI63" t="s">
        <v>253</v>
      </c>
      <c r="AL63" t="s">
        <v>130</v>
      </c>
      <c r="AM63" t="s">
        <v>153</v>
      </c>
      <c r="AS63" t="s">
        <v>127</v>
      </c>
      <c r="AX63" t="s">
        <v>130</v>
      </c>
      <c r="BG63">
        <v>110</v>
      </c>
      <c r="BM63" t="s">
        <v>129</v>
      </c>
      <c r="BN63">
        <v>0</v>
      </c>
      <c r="BP63" t="s">
        <v>263</v>
      </c>
      <c r="BW63" t="s">
        <v>523</v>
      </c>
    </row>
    <row r="64" spans="1:111" x14ac:dyDescent="0.2">
      <c r="A64" t="s">
        <v>111</v>
      </c>
      <c r="B64" t="b">
        <v>1</v>
      </c>
      <c r="C64" t="s">
        <v>130</v>
      </c>
      <c r="E64">
        <v>64</v>
      </c>
      <c r="F64" t="str">
        <f>HYPERLINK("https://portal.dnb.de/opac.htm?method=simpleSearch&amp;cqlMode=true&amp;query=idn%3D1066969434", "Portal")</f>
        <v>Portal</v>
      </c>
      <c r="G64" t="s">
        <v>143</v>
      </c>
      <c r="H64" t="s">
        <v>524</v>
      </c>
      <c r="I64" t="s">
        <v>525</v>
      </c>
      <c r="J64" t="s">
        <v>526</v>
      </c>
      <c r="K64" t="s">
        <v>526</v>
      </c>
      <c r="L64" t="s">
        <v>527</v>
      </c>
      <c r="N64" t="s">
        <v>528</v>
      </c>
      <c r="O64" t="s">
        <v>118</v>
      </c>
      <c r="P64" t="s">
        <v>119</v>
      </c>
      <c r="R64" t="s">
        <v>308</v>
      </c>
      <c r="S64" t="s">
        <v>216</v>
      </c>
      <c r="T64" t="s">
        <v>122</v>
      </c>
      <c r="U64" t="s">
        <v>529</v>
      </c>
      <c r="V64" t="s">
        <v>139</v>
      </c>
      <c r="X64" t="s">
        <v>140</v>
      </c>
      <c r="Y64">
        <v>2</v>
      </c>
      <c r="AI64" t="s">
        <v>530</v>
      </c>
      <c r="AM64" t="s">
        <v>153</v>
      </c>
      <c r="AS64" t="s">
        <v>127</v>
      </c>
      <c r="BG64">
        <v>80</v>
      </c>
      <c r="BM64" t="s">
        <v>237</v>
      </c>
      <c r="BN64">
        <v>1</v>
      </c>
      <c r="BV64" t="s">
        <v>531</v>
      </c>
      <c r="CB64" t="s">
        <v>130</v>
      </c>
      <c r="CM64">
        <v>1</v>
      </c>
      <c r="CP64" t="s">
        <v>130</v>
      </c>
    </row>
    <row r="65" spans="1:92" x14ac:dyDescent="0.2">
      <c r="A65" t="s">
        <v>111</v>
      </c>
      <c r="B65" t="b">
        <v>1</v>
      </c>
      <c r="E65">
        <v>65</v>
      </c>
      <c r="F65" t="str">
        <f>HYPERLINK("https://portal.dnb.de/opac.htm?method=simpleSearch&amp;cqlMode=true&amp;query=idn%3D1066968365", "Portal")</f>
        <v>Portal</v>
      </c>
      <c r="G65" t="s">
        <v>143</v>
      </c>
      <c r="H65" t="s">
        <v>532</v>
      </c>
      <c r="I65" t="s">
        <v>533</v>
      </c>
      <c r="J65" t="s">
        <v>534</v>
      </c>
      <c r="K65" t="s">
        <v>534</v>
      </c>
      <c r="L65" t="s">
        <v>535</v>
      </c>
      <c r="N65" t="s">
        <v>536</v>
      </c>
      <c r="O65" t="s">
        <v>118</v>
      </c>
      <c r="P65" t="s">
        <v>130</v>
      </c>
      <c r="R65" t="s">
        <v>232</v>
      </c>
      <c r="S65" t="s">
        <v>121</v>
      </c>
      <c r="T65" t="s">
        <v>122</v>
      </c>
      <c r="U65" t="s">
        <v>270</v>
      </c>
      <c r="V65" t="s">
        <v>139</v>
      </c>
      <c r="X65" t="s">
        <v>140</v>
      </c>
      <c r="Y65">
        <v>0</v>
      </c>
      <c r="AI65" t="s">
        <v>235</v>
      </c>
      <c r="AM65" t="s">
        <v>236</v>
      </c>
      <c r="AS65" t="s">
        <v>127</v>
      </c>
      <c r="BC65" t="s">
        <v>173</v>
      </c>
      <c r="BD65" t="s">
        <v>130</v>
      </c>
      <c r="BG65">
        <v>110</v>
      </c>
      <c r="BM65" t="s">
        <v>129</v>
      </c>
      <c r="BN65">
        <v>0</v>
      </c>
    </row>
    <row r="66" spans="1:92" x14ac:dyDescent="0.2">
      <c r="A66" t="s">
        <v>111</v>
      </c>
      <c r="B66" t="b">
        <v>1</v>
      </c>
      <c r="E66">
        <v>66</v>
      </c>
      <c r="F66" t="str">
        <f>HYPERLINK("https://portal.dnb.de/opac.htm?method=simpleSearch&amp;cqlMode=true&amp;query=idn%3D1052249787", "Portal")</f>
        <v>Portal</v>
      </c>
      <c r="G66" t="s">
        <v>537</v>
      </c>
      <c r="H66" t="s">
        <v>538</v>
      </c>
      <c r="I66" t="s">
        <v>539</v>
      </c>
      <c r="J66" t="s">
        <v>540</v>
      </c>
      <c r="K66" t="s">
        <v>540</v>
      </c>
      <c r="L66" t="s">
        <v>541</v>
      </c>
      <c r="N66" t="s">
        <v>542</v>
      </c>
      <c r="O66" t="s">
        <v>118</v>
      </c>
      <c r="R66" t="s">
        <v>260</v>
      </c>
      <c r="S66" t="s">
        <v>216</v>
      </c>
      <c r="T66" t="s">
        <v>122</v>
      </c>
      <c r="U66" t="s">
        <v>151</v>
      </c>
      <c r="V66" t="s">
        <v>139</v>
      </c>
      <c r="W66" t="s">
        <v>67</v>
      </c>
      <c r="X66" t="s">
        <v>124</v>
      </c>
      <c r="Y66">
        <v>0</v>
      </c>
      <c r="AI66" t="s">
        <v>253</v>
      </c>
      <c r="AL66" t="s">
        <v>130</v>
      </c>
      <c r="AM66" t="s">
        <v>153</v>
      </c>
      <c r="AS66" t="s">
        <v>127</v>
      </c>
      <c r="BC66" t="s">
        <v>543</v>
      </c>
      <c r="BD66" t="s">
        <v>469</v>
      </c>
      <c r="BG66">
        <v>110</v>
      </c>
      <c r="BM66" t="s">
        <v>129</v>
      </c>
      <c r="BN66">
        <v>0</v>
      </c>
      <c r="BP66" t="s">
        <v>263</v>
      </c>
    </row>
    <row r="67" spans="1:92" x14ac:dyDescent="0.2">
      <c r="A67" t="s">
        <v>111</v>
      </c>
      <c r="B67" t="b">
        <v>1</v>
      </c>
      <c r="E67">
        <v>67</v>
      </c>
      <c r="F67" t="str">
        <f>HYPERLINK("https://portal.dnb.de/opac.htm?method=simpleSearch&amp;cqlMode=true&amp;query=idn%3D1066965579", "Portal")</f>
        <v>Portal</v>
      </c>
      <c r="G67" t="s">
        <v>143</v>
      </c>
      <c r="H67" t="s">
        <v>544</v>
      </c>
      <c r="I67" t="s">
        <v>545</v>
      </c>
      <c r="J67" t="s">
        <v>546</v>
      </c>
      <c r="K67" t="s">
        <v>546</v>
      </c>
      <c r="L67" t="s">
        <v>547</v>
      </c>
      <c r="N67" t="s">
        <v>548</v>
      </c>
      <c r="O67" t="s">
        <v>118</v>
      </c>
      <c r="P67" t="s">
        <v>119</v>
      </c>
      <c r="R67" t="s">
        <v>137</v>
      </c>
      <c r="S67" t="s">
        <v>216</v>
      </c>
      <c r="T67" t="s">
        <v>150</v>
      </c>
      <c r="U67" t="s">
        <v>151</v>
      </c>
      <c r="V67" t="s">
        <v>139</v>
      </c>
      <c r="X67" t="s">
        <v>140</v>
      </c>
      <c r="Y67">
        <v>1</v>
      </c>
      <c r="AI67" t="s">
        <v>166</v>
      </c>
      <c r="AM67" t="s">
        <v>141</v>
      </c>
      <c r="AS67" t="s">
        <v>127</v>
      </c>
      <c r="BC67" t="s">
        <v>226</v>
      </c>
      <c r="BD67" t="s">
        <v>130</v>
      </c>
      <c r="BG67">
        <v>110</v>
      </c>
      <c r="BM67" t="s">
        <v>129</v>
      </c>
      <c r="BN67">
        <v>0</v>
      </c>
    </row>
    <row r="68" spans="1:92" x14ac:dyDescent="0.2">
      <c r="A68" t="s">
        <v>111</v>
      </c>
      <c r="B68" t="b">
        <v>1</v>
      </c>
      <c r="E68">
        <v>68</v>
      </c>
      <c r="F68" t="str">
        <f>HYPERLINK("https://portal.dnb.de/opac.htm?method=simpleSearch&amp;cqlMode=true&amp;query=idn%3D1066970556", "Portal")</f>
        <v>Portal</v>
      </c>
      <c r="G68" t="s">
        <v>143</v>
      </c>
      <c r="H68" t="s">
        <v>549</v>
      </c>
      <c r="I68" t="s">
        <v>550</v>
      </c>
      <c r="J68" t="s">
        <v>551</v>
      </c>
      <c r="K68" t="s">
        <v>551</v>
      </c>
      <c r="L68" t="s">
        <v>552</v>
      </c>
      <c r="N68" t="s">
        <v>553</v>
      </c>
      <c r="O68" t="s">
        <v>118</v>
      </c>
      <c r="R68" t="s">
        <v>137</v>
      </c>
      <c r="S68" t="s">
        <v>216</v>
      </c>
      <c r="T68" t="s">
        <v>122</v>
      </c>
      <c r="U68" t="s">
        <v>138</v>
      </c>
      <c r="V68" t="s">
        <v>139</v>
      </c>
      <c r="Y68">
        <v>2</v>
      </c>
      <c r="AI68" t="s">
        <v>127</v>
      </c>
      <c r="AM68" t="s">
        <v>467</v>
      </c>
      <c r="AS68" t="s">
        <v>127</v>
      </c>
      <c r="BC68" t="s">
        <v>173</v>
      </c>
      <c r="BD68" t="s">
        <v>130</v>
      </c>
      <c r="BG68" t="s">
        <v>128</v>
      </c>
      <c r="BM68" t="s">
        <v>129</v>
      </c>
      <c r="BN68">
        <v>0</v>
      </c>
    </row>
    <row r="69" spans="1:92" x14ac:dyDescent="0.2">
      <c r="A69" t="s">
        <v>111</v>
      </c>
      <c r="B69" t="b">
        <v>1</v>
      </c>
      <c r="E69">
        <v>69</v>
      </c>
      <c r="F69" t="str">
        <f>HYPERLINK("https://portal.dnb.de/opac.htm?method=simpleSearch&amp;cqlMode=true&amp;query=idn%3D1066970998", "Portal")</f>
        <v>Portal</v>
      </c>
      <c r="G69" t="s">
        <v>112</v>
      </c>
      <c r="H69" t="s">
        <v>554</v>
      </c>
      <c r="I69" t="s">
        <v>555</v>
      </c>
      <c r="J69" t="s">
        <v>556</v>
      </c>
      <c r="K69" t="s">
        <v>556</v>
      </c>
      <c r="L69" t="s">
        <v>557</v>
      </c>
      <c r="N69" t="s">
        <v>558</v>
      </c>
      <c r="O69" t="s">
        <v>118</v>
      </c>
      <c r="P69" t="s">
        <v>119</v>
      </c>
      <c r="R69" t="s">
        <v>192</v>
      </c>
      <c r="S69" t="s">
        <v>216</v>
      </c>
      <c r="T69" t="s">
        <v>436</v>
      </c>
      <c r="U69" t="s">
        <v>261</v>
      </c>
      <c r="V69" t="s">
        <v>139</v>
      </c>
      <c r="X69" t="s">
        <v>140</v>
      </c>
      <c r="Y69">
        <v>2</v>
      </c>
      <c r="AA69" t="s">
        <v>288</v>
      </c>
      <c r="AI69" t="s">
        <v>253</v>
      </c>
      <c r="AM69" t="s">
        <v>153</v>
      </c>
      <c r="AS69" t="s">
        <v>127</v>
      </c>
      <c r="BC69" t="s">
        <v>559</v>
      </c>
      <c r="BD69" t="s">
        <v>130</v>
      </c>
      <c r="BG69">
        <v>45</v>
      </c>
      <c r="BM69" t="s">
        <v>129</v>
      </c>
      <c r="BN69">
        <v>0</v>
      </c>
    </row>
    <row r="70" spans="1:92" x14ac:dyDescent="0.2">
      <c r="A70" t="s">
        <v>111</v>
      </c>
      <c r="B70" t="b">
        <v>1</v>
      </c>
      <c r="E70">
        <v>70</v>
      </c>
      <c r="F70" t="str">
        <f>HYPERLINK("https://portal.dnb.de/opac.htm?method=simpleSearch&amp;cqlMode=true&amp;query=idn%3D1066971595", "Portal")</f>
        <v>Portal</v>
      </c>
      <c r="G70" t="s">
        <v>143</v>
      </c>
      <c r="H70" t="s">
        <v>560</v>
      </c>
      <c r="I70" t="s">
        <v>561</v>
      </c>
      <c r="J70" t="s">
        <v>562</v>
      </c>
      <c r="K70" t="s">
        <v>562</v>
      </c>
      <c r="L70" t="s">
        <v>563</v>
      </c>
      <c r="N70" t="s">
        <v>564</v>
      </c>
      <c r="O70" t="s">
        <v>118</v>
      </c>
      <c r="P70" t="s">
        <v>130</v>
      </c>
      <c r="R70" t="s">
        <v>232</v>
      </c>
      <c r="S70" t="s">
        <v>121</v>
      </c>
      <c r="T70" t="s">
        <v>122</v>
      </c>
      <c r="U70" t="s">
        <v>358</v>
      </c>
      <c r="X70" t="s">
        <v>217</v>
      </c>
      <c r="Y70">
        <v>0</v>
      </c>
      <c r="AI70" t="s">
        <v>193</v>
      </c>
      <c r="AM70" t="s">
        <v>141</v>
      </c>
      <c r="AS70" t="s">
        <v>127</v>
      </c>
      <c r="AX70" t="s">
        <v>130</v>
      </c>
      <c r="BG70">
        <v>110</v>
      </c>
      <c r="BM70" t="s">
        <v>129</v>
      </c>
      <c r="BN70">
        <v>0</v>
      </c>
      <c r="BW70" t="s">
        <v>523</v>
      </c>
    </row>
    <row r="71" spans="1:92" x14ac:dyDescent="0.2">
      <c r="A71" t="s">
        <v>111</v>
      </c>
      <c r="B71" t="b">
        <v>1</v>
      </c>
      <c r="C71" t="s">
        <v>130</v>
      </c>
      <c r="E71">
        <v>71</v>
      </c>
      <c r="F71" t="str">
        <f>HYPERLINK("https://portal.dnb.de/opac.htm?method=simpleSearch&amp;cqlMode=true&amp;query=idn%3D1066971056", "Portal")</f>
        <v>Portal</v>
      </c>
      <c r="G71" t="s">
        <v>143</v>
      </c>
      <c r="H71" t="s">
        <v>565</v>
      </c>
      <c r="I71" t="s">
        <v>566</v>
      </c>
      <c r="J71" t="s">
        <v>567</v>
      </c>
      <c r="K71" t="s">
        <v>567</v>
      </c>
      <c r="L71" t="s">
        <v>568</v>
      </c>
      <c r="N71" t="s">
        <v>569</v>
      </c>
      <c r="O71" t="s">
        <v>118</v>
      </c>
      <c r="R71" t="s">
        <v>232</v>
      </c>
      <c r="S71" t="s">
        <v>121</v>
      </c>
      <c r="T71" t="s">
        <v>436</v>
      </c>
      <c r="U71" t="s">
        <v>570</v>
      </c>
      <c r="V71" t="s">
        <v>139</v>
      </c>
      <c r="X71" t="s">
        <v>217</v>
      </c>
      <c r="Y71">
        <v>3</v>
      </c>
      <c r="AI71" t="s">
        <v>235</v>
      </c>
      <c r="AM71" t="s">
        <v>236</v>
      </c>
      <c r="AO71" t="s">
        <v>130</v>
      </c>
      <c r="AS71" t="s">
        <v>127</v>
      </c>
      <c r="BC71" t="s">
        <v>173</v>
      </c>
      <c r="BD71" t="s">
        <v>130</v>
      </c>
      <c r="BG71">
        <v>45</v>
      </c>
      <c r="BM71" t="s">
        <v>237</v>
      </c>
      <c r="BN71">
        <v>2</v>
      </c>
      <c r="BU71" t="s">
        <v>571</v>
      </c>
      <c r="BW71" t="s">
        <v>572</v>
      </c>
      <c r="BY71" t="s">
        <v>573</v>
      </c>
      <c r="CA71" t="s">
        <v>130</v>
      </c>
      <c r="CB71" t="s">
        <v>130</v>
      </c>
      <c r="CC71" t="s">
        <v>130</v>
      </c>
      <c r="CM71">
        <v>2</v>
      </c>
      <c r="CN71" t="s">
        <v>574</v>
      </c>
    </row>
    <row r="72" spans="1:92" x14ac:dyDescent="0.2">
      <c r="A72" t="s">
        <v>111</v>
      </c>
      <c r="B72" t="b">
        <v>1</v>
      </c>
      <c r="E72">
        <v>72</v>
      </c>
      <c r="F72" t="str">
        <f>HYPERLINK("https://portal.dnb.de/opac.htm?method=simpleSearch&amp;cqlMode=true&amp;query=idn%3D1066971277", "Portal")</f>
        <v>Portal</v>
      </c>
      <c r="G72" t="s">
        <v>143</v>
      </c>
      <c r="H72" t="s">
        <v>575</v>
      </c>
      <c r="I72" t="s">
        <v>576</v>
      </c>
      <c r="J72" t="s">
        <v>577</v>
      </c>
      <c r="K72" t="s">
        <v>577</v>
      </c>
      <c r="L72" t="s">
        <v>578</v>
      </c>
      <c r="N72" t="s">
        <v>579</v>
      </c>
      <c r="O72" t="s">
        <v>118</v>
      </c>
      <c r="P72" t="s">
        <v>119</v>
      </c>
      <c r="R72" t="s">
        <v>308</v>
      </c>
      <c r="S72" t="s">
        <v>216</v>
      </c>
      <c r="T72" t="s">
        <v>150</v>
      </c>
      <c r="U72" t="s">
        <v>138</v>
      </c>
      <c r="X72" t="s">
        <v>140</v>
      </c>
      <c r="Y72">
        <v>0</v>
      </c>
      <c r="AI72" t="s">
        <v>530</v>
      </c>
      <c r="AM72" t="s">
        <v>467</v>
      </c>
      <c r="AS72" t="s">
        <v>127</v>
      </c>
      <c r="BC72" t="s">
        <v>173</v>
      </c>
      <c r="BD72" t="s">
        <v>130</v>
      </c>
      <c r="BG72">
        <v>45</v>
      </c>
      <c r="BM72" t="s">
        <v>129</v>
      </c>
      <c r="BN72">
        <v>0</v>
      </c>
    </row>
    <row r="73" spans="1:92" x14ac:dyDescent="0.2">
      <c r="A73" t="s">
        <v>111</v>
      </c>
      <c r="B73" t="b">
        <v>1</v>
      </c>
      <c r="E73">
        <v>73</v>
      </c>
      <c r="F73" t="str">
        <f>HYPERLINK("https://portal.dnb.de/opac.htm?method=simpleSearch&amp;cqlMode=true&amp;query=idn%3D1066968160", "Portal")</f>
        <v>Portal</v>
      </c>
      <c r="G73" t="s">
        <v>143</v>
      </c>
      <c r="H73" t="s">
        <v>580</v>
      </c>
      <c r="I73" t="s">
        <v>581</v>
      </c>
      <c r="J73" t="s">
        <v>582</v>
      </c>
      <c r="K73" t="s">
        <v>582</v>
      </c>
      <c r="L73" t="s">
        <v>583</v>
      </c>
      <c r="N73" t="s">
        <v>584</v>
      </c>
      <c r="O73" t="s">
        <v>118</v>
      </c>
      <c r="P73" t="s">
        <v>119</v>
      </c>
      <c r="R73" t="s">
        <v>232</v>
      </c>
      <c r="S73" t="s">
        <v>121</v>
      </c>
      <c r="T73" t="s">
        <v>122</v>
      </c>
      <c r="U73" t="s">
        <v>172</v>
      </c>
      <c r="V73" t="s">
        <v>139</v>
      </c>
      <c r="X73" t="s">
        <v>140</v>
      </c>
      <c r="Y73">
        <v>2</v>
      </c>
      <c r="AI73" t="s">
        <v>253</v>
      </c>
      <c r="AM73" t="s">
        <v>153</v>
      </c>
      <c r="AS73" t="s">
        <v>127</v>
      </c>
      <c r="BC73" t="s">
        <v>173</v>
      </c>
      <c r="BD73" t="s">
        <v>130</v>
      </c>
      <c r="BE73">
        <v>2</v>
      </c>
      <c r="BG73" t="s">
        <v>128</v>
      </c>
      <c r="BM73" t="s">
        <v>129</v>
      </c>
      <c r="BN73">
        <v>0</v>
      </c>
    </row>
    <row r="74" spans="1:92" x14ac:dyDescent="0.2">
      <c r="A74" t="s">
        <v>111</v>
      </c>
      <c r="B74" t="b">
        <v>1</v>
      </c>
      <c r="E74">
        <v>74</v>
      </c>
      <c r="F74" t="str">
        <f>HYPERLINK("https://portal.dnb.de/opac.htm?method=simpleSearch&amp;cqlMode=true&amp;query=idn%3D1072241498", "Portal")</f>
        <v>Portal</v>
      </c>
      <c r="G74" t="s">
        <v>112</v>
      </c>
      <c r="H74" t="s">
        <v>585</v>
      </c>
      <c r="I74" t="s">
        <v>586</v>
      </c>
      <c r="J74" t="s">
        <v>587</v>
      </c>
      <c r="K74" t="s">
        <v>587</v>
      </c>
      <c r="L74" t="s">
        <v>588</v>
      </c>
      <c r="N74" t="s">
        <v>589</v>
      </c>
      <c r="O74" t="s">
        <v>118</v>
      </c>
      <c r="P74" t="s">
        <v>119</v>
      </c>
      <c r="R74" t="s">
        <v>137</v>
      </c>
      <c r="S74" t="s">
        <v>121</v>
      </c>
      <c r="T74" t="s">
        <v>150</v>
      </c>
      <c r="U74" t="s">
        <v>186</v>
      </c>
      <c r="X74" t="s">
        <v>140</v>
      </c>
      <c r="Y74">
        <v>0</v>
      </c>
      <c r="AI74" t="s">
        <v>127</v>
      </c>
      <c r="AM74" t="s">
        <v>467</v>
      </c>
      <c r="AS74" t="s">
        <v>127</v>
      </c>
      <c r="BG74">
        <v>180</v>
      </c>
      <c r="BM74" t="s">
        <v>129</v>
      </c>
      <c r="BN74">
        <v>0</v>
      </c>
    </row>
    <row r="75" spans="1:92" x14ac:dyDescent="0.2">
      <c r="A75" t="s">
        <v>111</v>
      </c>
      <c r="B75" t="b">
        <v>1</v>
      </c>
      <c r="C75" t="s">
        <v>130</v>
      </c>
      <c r="F75" t="str">
        <f>HYPERLINK("https://portal.dnb.de/opac.htm?method=simpleSearch&amp;cqlMode=true&amp;query=idn%3D1066973334", "Portal")</f>
        <v>Portal</v>
      </c>
      <c r="G75" t="s">
        <v>112</v>
      </c>
      <c r="H75" t="s">
        <v>590</v>
      </c>
      <c r="I75" t="s">
        <v>591</v>
      </c>
      <c r="J75" t="s">
        <v>592</v>
      </c>
      <c r="K75" t="s">
        <v>592</v>
      </c>
      <c r="L75" t="s">
        <v>592</v>
      </c>
      <c r="N75" t="s">
        <v>593</v>
      </c>
      <c r="O75" t="s">
        <v>118</v>
      </c>
      <c r="P75" t="s">
        <v>119</v>
      </c>
      <c r="R75" t="s">
        <v>308</v>
      </c>
      <c r="S75" t="s">
        <v>121</v>
      </c>
      <c r="T75" t="s">
        <v>150</v>
      </c>
      <c r="X75" t="s">
        <v>140</v>
      </c>
      <c r="Y75">
        <v>0</v>
      </c>
      <c r="AI75" t="s">
        <v>530</v>
      </c>
      <c r="AM75" t="s">
        <v>153</v>
      </c>
      <c r="AS75" t="s">
        <v>127</v>
      </c>
      <c r="BG75">
        <v>60</v>
      </c>
      <c r="BM75" t="s">
        <v>237</v>
      </c>
      <c r="BN75">
        <v>1</v>
      </c>
      <c r="CA75" t="s">
        <v>130</v>
      </c>
      <c r="CB75" t="s">
        <v>130</v>
      </c>
      <c r="CC75" t="s">
        <v>130</v>
      </c>
      <c r="CM75">
        <v>1</v>
      </c>
    </row>
    <row r="76" spans="1:92" x14ac:dyDescent="0.2">
      <c r="A76" t="s">
        <v>111</v>
      </c>
      <c r="B76" t="b">
        <v>1</v>
      </c>
      <c r="E76">
        <v>76</v>
      </c>
      <c r="F76" t="str">
        <f>HYPERLINK("https://portal.dnb.de/opac.htm?method=simpleSearch&amp;cqlMode=true&amp;query=idn%3D1066972745", "Portal")</f>
        <v>Portal</v>
      </c>
      <c r="G76" t="s">
        <v>143</v>
      </c>
      <c r="H76" t="s">
        <v>594</v>
      </c>
      <c r="I76" t="s">
        <v>595</v>
      </c>
      <c r="J76" t="s">
        <v>596</v>
      </c>
      <c r="K76" t="s">
        <v>596</v>
      </c>
      <c r="L76" t="s">
        <v>597</v>
      </c>
      <c r="N76" t="s">
        <v>598</v>
      </c>
      <c r="O76" t="s">
        <v>118</v>
      </c>
      <c r="R76" t="s">
        <v>192</v>
      </c>
      <c r="S76" t="s">
        <v>121</v>
      </c>
      <c r="T76" t="s">
        <v>122</v>
      </c>
      <c r="U76" t="s">
        <v>599</v>
      </c>
      <c r="X76" t="s">
        <v>140</v>
      </c>
      <c r="Y76">
        <v>0</v>
      </c>
      <c r="AI76" t="s">
        <v>193</v>
      </c>
      <c r="AJ76" t="s">
        <v>600</v>
      </c>
      <c r="AM76" t="s">
        <v>141</v>
      </c>
      <c r="AS76" t="s">
        <v>127</v>
      </c>
      <c r="BG76">
        <v>45</v>
      </c>
      <c r="BM76" t="s">
        <v>129</v>
      </c>
      <c r="BN76">
        <v>0</v>
      </c>
    </row>
    <row r="77" spans="1:92" x14ac:dyDescent="0.2">
      <c r="A77" t="s">
        <v>111</v>
      </c>
      <c r="B77" t="b">
        <v>1</v>
      </c>
      <c r="E77">
        <v>77</v>
      </c>
      <c r="F77" t="str">
        <f>HYPERLINK("https://portal.dnb.de/opac.htm?method=simpleSearch&amp;cqlMode=true&amp;query=idn%3D1072494159", "Portal")</f>
        <v>Portal</v>
      </c>
      <c r="G77" t="s">
        <v>470</v>
      </c>
      <c r="H77" t="s">
        <v>601</v>
      </c>
      <c r="I77" t="s">
        <v>602</v>
      </c>
      <c r="J77" t="s">
        <v>603</v>
      </c>
      <c r="K77" t="s">
        <v>603</v>
      </c>
      <c r="L77" t="s">
        <v>604</v>
      </c>
      <c r="N77" t="s">
        <v>605</v>
      </c>
      <c r="O77" t="s">
        <v>606</v>
      </c>
      <c r="P77" t="s">
        <v>119</v>
      </c>
      <c r="R77" t="s">
        <v>260</v>
      </c>
      <c r="S77" t="s">
        <v>216</v>
      </c>
      <c r="T77" t="s">
        <v>436</v>
      </c>
      <c r="U77" t="s">
        <v>607</v>
      </c>
      <c r="V77" t="s">
        <v>139</v>
      </c>
      <c r="W77" t="s">
        <v>67</v>
      </c>
      <c r="X77" t="s">
        <v>124</v>
      </c>
      <c r="Y77">
        <v>0</v>
      </c>
      <c r="AI77" t="s">
        <v>253</v>
      </c>
      <c r="AL77" t="s">
        <v>130</v>
      </c>
      <c r="AM77" t="s">
        <v>153</v>
      </c>
      <c r="AS77" t="s">
        <v>127</v>
      </c>
      <c r="AW77" t="s">
        <v>130</v>
      </c>
      <c r="BC77" t="s">
        <v>173</v>
      </c>
      <c r="BD77" t="s">
        <v>130</v>
      </c>
      <c r="BG77">
        <v>45</v>
      </c>
      <c r="BK77" t="s">
        <v>130</v>
      </c>
      <c r="BM77" t="s">
        <v>129</v>
      </c>
      <c r="BN77">
        <v>0</v>
      </c>
      <c r="BP77" t="s">
        <v>263</v>
      </c>
      <c r="BW77" t="s">
        <v>572</v>
      </c>
    </row>
    <row r="78" spans="1:92" x14ac:dyDescent="0.2">
      <c r="A78" t="s">
        <v>111</v>
      </c>
      <c r="B78" t="b">
        <v>1</v>
      </c>
      <c r="E78">
        <v>78</v>
      </c>
      <c r="F78" t="str">
        <f>HYPERLINK("https://portal.dnb.de/opac.htm?method=simpleSearch&amp;cqlMode=true&amp;query=idn%3D1066968101", "Portal")</f>
        <v>Portal</v>
      </c>
      <c r="G78" t="s">
        <v>143</v>
      </c>
      <c r="H78" t="s">
        <v>608</v>
      </c>
      <c r="I78" t="s">
        <v>609</v>
      </c>
      <c r="J78" t="s">
        <v>610</v>
      </c>
      <c r="K78" t="s">
        <v>610</v>
      </c>
      <c r="L78" t="s">
        <v>611</v>
      </c>
      <c r="N78" t="s">
        <v>612</v>
      </c>
      <c r="O78" t="s">
        <v>118</v>
      </c>
      <c r="P78" t="s">
        <v>119</v>
      </c>
      <c r="R78" t="s">
        <v>232</v>
      </c>
      <c r="S78" t="s">
        <v>216</v>
      </c>
      <c r="T78" t="s">
        <v>122</v>
      </c>
      <c r="U78" t="s">
        <v>309</v>
      </c>
      <c r="V78" t="s">
        <v>139</v>
      </c>
      <c r="X78" t="s">
        <v>140</v>
      </c>
      <c r="Y78">
        <v>1</v>
      </c>
      <c r="AI78" t="s">
        <v>530</v>
      </c>
      <c r="AM78" t="s">
        <v>236</v>
      </c>
      <c r="AS78" t="s">
        <v>127</v>
      </c>
      <c r="AU78" t="s">
        <v>130</v>
      </c>
      <c r="BC78" t="s">
        <v>173</v>
      </c>
      <c r="BD78" t="s">
        <v>130</v>
      </c>
      <c r="BG78">
        <v>45</v>
      </c>
      <c r="BM78" t="s">
        <v>129</v>
      </c>
      <c r="BN78">
        <v>0</v>
      </c>
    </row>
    <row r="79" spans="1:92" x14ac:dyDescent="0.2">
      <c r="A79" t="s">
        <v>111</v>
      </c>
      <c r="B79" t="b">
        <v>1</v>
      </c>
      <c r="C79" t="s">
        <v>130</v>
      </c>
      <c r="E79">
        <v>79</v>
      </c>
      <c r="F79" t="str">
        <f>HYPERLINK("https://portal.dnb.de/opac.htm?method=simpleSearch&amp;cqlMode=true&amp;query=idn%3D1072254964", "Portal")</f>
        <v>Portal</v>
      </c>
      <c r="G79" t="s">
        <v>112</v>
      </c>
      <c r="H79" t="s">
        <v>613</v>
      </c>
      <c r="I79" t="s">
        <v>614</v>
      </c>
      <c r="J79" t="s">
        <v>615</v>
      </c>
      <c r="K79" t="s">
        <v>615</v>
      </c>
      <c r="L79" t="s">
        <v>616</v>
      </c>
      <c r="N79" t="s">
        <v>617</v>
      </c>
      <c r="O79" t="s">
        <v>118</v>
      </c>
      <c r="P79" t="s">
        <v>119</v>
      </c>
      <c r="R79" t="s">
        <v>232</v>
      </c>
      <c r="S79" t="s">
        <v>216</v>
      </c>
      <c r="T79" t="s">
        <v>122</v>
      </c>
      <c r="U79" t="s">
        <v>358</v>
      </c>
      <c r="W79" t="s">
        <v>67</v>
      </c>
      <c r="X79" t="s">
        <v>124</v>
      </c>
      <c r="Y79">
        <v>0</v>
      </c>
      <c r="AI79" t="s">
        <v>235</v>
      </c>
      <c r="AL79" t="s">
        <v>130</v>
      </c>
      <c r="AM79" t="s">
        <v>467</v>
      </c>
      <c r="AS79" t="s">
        <v>127</v>
      </c>
      <c r="BG79">
        <v>110</v>
      </c>
      <c r="BM79" t="s">
        <v>237</v>
      </c>
      <c r="BN79">
        <v>0.5</v>
      </c>
      <c r="CB79" t="s">
        <v>130</v>
      </c>
      <c r="CM79">
        <v>0.5</v>
      </c>
    </row>
    <row r="80" spans="1:92" x14ac:dyDescent="0.2">
      <c r="A80" t="s">
        <v>111</v>
      </c>
      <c r="B80" t="b">
        <v>1</v>
      </c>
      <c r="E80">
        <v>80</v>
      </c>
      <c r="F80" t="str">
        <f>HYPERLINK("https://portal.dnb.de/opac.htm?method=simpleSearch&amp;cqlMode=true&amp;query=idn%3D1066971757", "Portal")</f>
        <v>Portal</v>
      </c>
      <c r="G80" t="s">
        <v>143</v>
      </c>
      <c r="H80" t="s">
        <v>618</v>
      </c>
      <c r="I80" t="s">
        <v>619</v>
      </c>
      <c r="J80" t="s">
        <v>620</v>
      </c>
      <c r="K80" t="s">
        <v>620</v>
      </c>
      <c r="L80" t="s">
        <v>621</v>
      </c>
      <c r="N80" t="s">
        <v>348</v>
      </c>
      <c r="O80" t="s">
        <v>118</v>
      </c>
      <c r="P80" t="s">
        <v>119</v>
      </c>
      <c r="R80" t="s">
        <v>192</v>
      </c>
      <c r="S80" t="s">
        <v>216</v>
      </c>
      <c r="T80" t="s">
        <v>122</v>
      </c>
      <c r="U80" t="s">
        <v>622</v>
      </c>
      <c r="X80" t="s">
        <v>140</v>
      </c>
      <c r="Y80">
        <v>0</v>
      </c>
      <c r="AI80" t="s">
        <v>193</v>
      </c>
      <c r="AM80" t="s">
        <v>467</v>
      </c>
      <c r="AS80" t="s">
        <v>127</v>
      </c>
      <c r="AX80" t="s">
        <v>130</v>
      </c>
      <c r="BE80">
        <v>0</v>
      </c>
      <c r="BF80" t="s">
        <v>130</v>
      </c>
      <c r="BG80">
        <v>110</v>
      </c>
      <c r="BM80" t="s">
        <v>129</v>
      </c>
      <c r="BN80">
        <v>0</v>
      </c>
      <c r="BU80" t="s">
        <v>623</v>
      </c>
      <c r="BV80" t="s">
        <v>624</v>
      </c>
    </row>
    <row r="81" spans="1:111" x14ac:dyDescent="0.2">
      <c r="A81" t="s">
        <v>111</v>
      </c>
      <c r="B81" t="b">
        <v>1</v>
      </c>
      <c r="E81">
        <v>81</v>
      </c>
      <c r="F81" t="str">
        <f>HYPERLINK("https://portal.dnb.de/opac.htm?method=simpleSearch&amp;cqlMode=true&amp;query=idn%3D1066968942", "Portal")</f>
        <v>Portal</v>
      </c>
      <c r="G81" t="s">
        <v>143</v>
      </c>
      <c r="H81" t="s">
        <v>625</v>
      </c>
      <c r="I81" t="s">
        <v>626</v>
      </c>
      <c r="J81" t="s">
        <v>627</v>
      </c>
      <c r="K81" t="s">
        <v>627</v>
      </c>
      <c r="L81" t="s">
        <v>628</v>
      </c>
      <c r="N81" t="s">
        <v>629</v>
      </c>
      <c r="O81" t="s">
        <v>118</v>
      </c>
      <c r="P81" t="s">
        <v>119</v>
      </c>
      <c r="R81" t="s">
        <v>165</v>
      </c>
      <c r="S81" t="s">
        <v>121</v>
      </c>
      <c r="T81" t="s">
        <v>122</v>
      </c>
      <c r="U81" t="s">
        <v>186</v>
      </c>
      <c r="X81" t="s">
        <v>140</v>
      </c>
      <c r="Y81">
        <v>0</v>
      </c>
      <c r="AH81" t="s">
        <v>130</v>
      </c>
      <c r="AI81" t="s">
        <v>166</v>
      </c>
      <c r="AM81" t="s">
        <v>467</v>
      </c>
      <c r="AS81" t="s">
        <v>127</v>
      </c>
      <c r="BG81">
        <v>110</v>
      </c>
      <c r="BM81" t="s">
        <v>129</v>
      </c>
      <c r="BN81">
        <v>0</v>
      </c>
    </row>
    <row r="82" spans="1:111" x14ac:dyDescent="0.2">
      <c r="A82" t="s">
        <v>111</v>
      </c>
      <c r="B82" t="b">
        <v>1</v>
      </c>
      <c r="E82">
        <v>82</v>
      </c>
      <c r="F82" t="str">
        <f>HYPERLINK("https://portal.dnb.de/opac.htm?method=simpleSearch&amp;cqlMode=true&amp;query=idn%3D1066972397", "Portal")</f>
        <v>Portal</v>
      </c>
      <c r="G82" t="s">
        <v>143</v>
      </c>
      <c r="H82" t="s">
        <v>630</v>
      </c>
      <c r="I82" t="s">
        <v>631</v>
      </c>
      <c r="J82" t="s">
        <v>632</v>
      </c>
      <c r="K82" t="s">
        <v>632</v>
      </c>
      <c r="L82" t="s">
        <v>633</v>
      </c>
      <c r="N82" t="s">
        <v>634</v>
      </c>
      <c r="O82" t="s">
        <v>118</v>
      </c>
      <c r="P82" t="s">
        <v>119</v>
      </c>
      <c r="R82" t="s">
        <v>137</v>
      </c>
      <c r="S82" t="s">
        <v>121</v>
      </c>
      <c r="T82" t="s">
        <v>122</v>
      </c>
      <c r="U82" t="s">
        <v>138</v>
      </c>
      <c r="V82" t="s">
        <v>139</v>
      </c>
      <c r="X82" t="s">
        <v>140</v>
      </c>
      <c r="Y82">
        <v>0</v>
      </c>
      <c r="AH82" t="s">
        <v>130</v>
      </c>
      <c r="AI82" t="s">
        <v>166</v>
      </c>
      <c r="AM82" t="s">
        <v>467</v>
      </c>
      <c r="AS82" t="s">
        <v>127</v>
      </c>
      <c r="BC82" t="s">
        <v>173</v>
      </c>
      <c r="BD82" t="s">
        <v>130</v>
      </c>
      <c r="BG82">
        <v>110</v>
      </c>
      <c r="BM82" t="s">
        <v>129</v>
      </c>
      <c r="BN82">
        <v>0</v>
      </c>
    </row>
    <row r="83" spans="1:111" x14ac:dyDescent="0.2">
      <c r="A83" t="s">
        <v>111</v>
      </c>
      <c r="B83" t="b">
        <v>1</v>
      </c>
      <c r="E83">
        <v>83</v>
      </c>
      <c r="F83" t="str">
        <f>HYPERLINK("https://portal.dnb.de/opac.htm?method=simpleSearch&amp;cqlMode=true&amp;query=idn%3D106696615X", "Portal")</f>
        <v>Portal</v>
      </c>
      <c r="G83" t="s">
        <v>143</v>
      </c>
      <c r="H83" t="s">
        <v>635</v>
      </c>
      <c r="I83" t="s">
        <v>636</v>
      </c>
      <c r="J83" t="s">
        <v>637</v>
      </c>
      <c r="K83" t="s">
        <v>637</v>
      </c>
      <c r="L83" t="s">
        <v>638</v>
      </c>
      <c r="N83" t="s">
        <v>639</v>
      </c>
      <c r="O83" t="s">
        <v>118</v>
      </c>
      <c r="P83" t="s">
        <v>119</v>
      </c>
      <c r="R83" t="s">
        <v>232</v>
      </c>
      <c r="S83" t="s">
        <v>121</v>
      </c>
      <c r="T83" t="s">
        <v>122</v>
      </c>
      <c r="U83" t="s">
        <v>270</v>
      </c>
      <c r="X83" t="s">
        <v>140</v>
      </c>
      <c r="Y83">
        <v>0</v>
      </c>
      <c r="AH83" t="s">
        <v>130</v>
      </c>
      <c r="AI83" t="s">
        <v>253</v>
      </c>
      <c r="AM83" t="s">
        <v>153</v>
      </c>
      <c r="AS83" t="s">
        <v>127</v>
      </c>
      <c r="BC83" t="s">
        <v>173</v>
      </c>
      <c r="BD83" t="s">
        <v>130</v>
      </c>
      <c r="BE83">
        <v>4</v>
      </c>
      <c r="BG83" t="s">
        <v>262</v>
      </c>
      <c r="BM83" t="s">
        <v>129</v>
      </c>
      <c r="BN83">
        <v>0</v>
      </c>
    </row>
    <row r="84" spans="1:111" x14ac:dyDescent="0.2">
      <c r="A84" t="s">
        <v>111</v>
      </c>
      <c r="B84" t="b">
        <v>1</v>
      </c>
      <c r="E84">
        <v>84</v>
      </c>
      <c r="F84" t="str">
        <f>HYPERLINK("https://portal.dnb.de/opac.htm?method=simpleSearch&amp;cqlMode=true&amp;query=idn%3D106696663X", "Portal")</f>
        <v>Portal</v>
      </c>
      <c r="G84" t="s">
        <v>143</v>
      </c>
      <c r="H84" t="s">
        <v>640</v>
      </c>
      <c r="I84" t="s">
        <v>641</v>
      </c>
      <c r="J84" t="s">
        <v>642</v>
      </c>
      <c r="K84" t="s">
        <v>642</v>
      </c>
      <c r="L84" t="s">
        <v>643</v>
      </c>
      <c r="N84" t="s">
        <v>644</v>
      </c>
      <c r="O84" t="s">
        <v>118</v>
      </c>
      <c r="P84" t="s">
        <v>119</v>
      </c>
      <c r="R84" t="s">
        <v>232</v>
      </c>
      <c r="S84" t="s">
        <v>121</v>
      </c>
      <c r="T84" t="s">
        <v>122</v>
      </c>
      <c r="U84" t="s">
        <v>645</v>
      </c>
      <c r="V84" t="s">
        <v>139</v>
      </c>
      <c r="X84" t="s">
        <v>140</v>
      </c>
      <c r="Y84">
        <v>1</v>
      </c>
      <c r="AI84" t="s">
        <v>253</v>
      </c>
      <c r="AM84" t="s">
        <v>153</v>
      </c>
      <c r="AS84" t="s">
        <v>127</v>
      </c>
      <c r="AU84" t="s">
        <v>130</v>
      </c>
      <c r="AX84" t="s">
        <v>130</v>
      </c>
      <c r="BC84" t="s">
        <v>226</v>
      </c>
      <c r="BD84" t="s">
        <v>130</v>
      </c>
      <c r="BE84">
        <v>0</v>
      </c>
      <c r="BF84" t="s">
        <v>130</v>
      </c>
      <c r="BG84">
        <v>80</v>
      </c>
      <c r="BM84" t="s">
        <v>129</v>
      </c>
      <c r="BN84">
        <v>0</v>
      </c>
      <c r="BV84" t="s">
        <v>646</v>
      </c>
    </row>
    <row r="85" spans="1:111" x14ac:dyDescent="0.2">
      <c r="A85" t="s">
        <v>111</v>
      </c>
      <c r="B85" t="b">
        <v>1</v>
      </c>
      <c r="E85">
        <v>85</v>
      </c>
      <c r="F85" t="str">
        <f>HYPERLINK("https://portal.dnb.de/opac.htm?method=simpleSearch&amp;cqlMode=true&amp;query=idn%3D1072260050", "Portal")</f>
        <v>Portal</v>
      </c>
      <c r="G85" t="s">
        <v>112</v>
      </c>
      <c r="H85" t="s">
        <v>647</v>
      </c>
      <c r="I85" t="s">
        <v>648</v>
      </c>
      <c r="J85" t="s">
        <v>649</v>
      </c>
      <c r="K85" t="s">
        <v>649</v>
      </c>
      <c r="L85" t="s">
        <v>650</v>
      </c>
      <c r="N85" t="s">
        <v>651</v>
      </c>
      <c r="O85" t="s">
        <v>118</v>
      </c>
      <c r="P85" t="s">
        <v>119</v>
      </c>
      <c r="R85" t="s">
        <v>137</v>
      </c>
      <c r="S85" t="s">
        <v>121</v>
      </c>
      <c r="T85" t="s">
        <v>122</v>
      </c>
      <c r="U85" t="s">
        <v>489</v>
      </c>
      <c r="X85" t="s">
        <v>140</v>
      </c>
      <c r="Y85">
        <v>0</v>
      </c>
      <c r="AH85" t="s">
        <v>130</v>
      </c>
      <c r="AI85" t="s">
        <v>127</v>
      </c>
      <c r="AM85" t="s">
        <v>467</v>
      </c>
      <c r="AS85" t="s">
        <v>127</v>
      </c>
      <c r="BG85">
        <v>110</v>
      </c>
      <c r="BM85" t="s">
        <v>129</v>
      </c>
      <c r="BN85">
        <v>0</v>
      </c>
    </row>
    <row r="86" spans="1:111" x14ac:dyDescent="0.2">
      <c r="A86" t="s">
        <v>111</v>
      </c>
      <c r="B86" t="b">
        <v>1</v>
      </c>
      <c r="C86" t="s">
        <v>130</v>
      </c>
      <c r="E86">
        <v>86</v>
      </c>
      <c r="F86" t="str">
        <f>HYPERLINK("https://portal.dnb.de/opac.htm?method=simpleSearch&amp;cqlMode=true&amp;query=idn%3D1072051486", "Portal")</f>
        <v>Portal</v>
      </c>
      <c r="G86" t="s">
        <v>112</v>
      </c>
      <c r="H86" t="s">
        <v>652</v>
      </c>
      <c r="I86" t="s">
        <v>653</v>
      </c>
      <c r="J86" t="s">
        <v>654</v>
      </c>
      <c r="K86" t="s">
        <v>654</v>
      </c>
      <c r="L86" t="s">
        <v>655</v>
      </c>
      <c r="N86" t="s">
        <v>656</v>
      </c>
      <c r="O86" t="s">
        <v>118</v>
      </c>
      <c r="R86" t="s">
        <v>137</v>
      </c>
      <c r="S86" t="s">
        <v>121</v>
      </c>
      <c r="T86" t="s">
        <v>122</v>
      </c>
      <c r="U86" t="s">
        <v>657</v>
      </c>
      <c r="V86" t="s">
        <v>139</v>
      </c>
      <c r="W86" t="s">
        <v>67</v>
      </c>
      <c r="X86" t="s">
        <v>328</v>
      </c>
      <c r="Y86">
        <v>0</v>
      </c>
      <c r="AA86" t="s">
        <v>224</v>
      </c>
      <c r="AH86" t="s">
        <v>130</v>
      </c>
      <c r="AI86" t="s">
        <v>380</v>
      </c>
      <c r="AM86" t="s">
        <v>153</v>
      </c>
      <c r="AS86" t="s">
        <v>127</v>
      </c>
      <c r="BC86" t="s">
        <v>173</v>
      </c>
      <c r="BD86" t="s">
        <v>130</v>
      </c>
      <c r="BG86">
        <v>110</v>
      </c>
      <c r="BM86" t="s">
        <v>237</v>
      </c>
      <c r="BN86">
        <v>0.5</v>
      </c>
      <c r="BP86" t="s">
        <v>263</v>
      </c>
      <c r="CB86" t="s">
        <v>130</v>
      </c>
      <c r="CM86">
        <v>0.5</v>
      </c>
    </row>
    <row r="87" spans="1:111" x14ac:dyDescent="0.2">
      <c r="A87" t="s">
        <v>111</v>
      </c>
      <c r="B87" t="b">
        <v>1</v>
      </c>
      <c r="E87">
        <v>87</v>
      </c>
      <c r="F87" t="str">
        <f>HYPERLINK("https://portal.dnb.de/opac.htm?method=simpleSearch&amp;cqlMode=true&amp;query=idn%3D1066967733", "Portal")</f>
        <v>Portal</v>
      </c>
      <c r="G87" t="s">
        <v>143</v>
      </c>
      <c r="H87" t="s">
        <v>658</v>
      </c>
      <c r="I87" t="s">
        <v>659</v>
      </c>
      <c r="J87" t="s">
        <v>660</v>
      </c>
      <c r="K87" t="s">
        <v>660</v>
      </c>
      <c r="L87" t="s">
        <v>661</v>
      </c>
      <c r="N87" t="s">
        <v>662</v>
      </c>
      <c r="O87" t="s">
        <v>118</v>
      </c>
      <c r="P87" t="s">
        <v>119</v>
      </c>
      <c r="R87" t="s">
        <v>192</v>
      </c>
      <c r="S87" t="s">
        <v>121</v>
      </c>
      <c r="T87" t="s">
        <v>122</v>
      </c>
      <c r="U87" t="s">
        <v>151</v>
      </c>
      <c r="W87" t="s">
        <v>67</v>
      </c>
      <c r="X87" t="s">
        <v>124</v>
      </c>
      <c r="Y87">
        <v>1</v>
      </c>
      <c r="AH87" t="s">
        <v>130</v>
      </c>
      <c r="AI87" t="s">
        <v>193</v>
      </c>
      <c r="AJ87" t="s">
        <v>663</v>
      </c>
      <c r="AM87" t="s">
        <v>141</v>
      </c>
      <c r="AS87" t="s">
        <v>127</v>
      </c>
      <c r="BC87" t="s">
        <v>173</v>
      </c>
      <c r="BD87" t="s">
        <v>130</v>
      </c>
      <c r="BG87">
        <v>110</v>
      </c>
      <c r="BM87" t="s">
        <v>129</v>
      </c>
      <c r="BN87">
        <v>0</v>
      </c>
      <c r="BP87" t="s">
        <v>263</v>
      </c>
      <c r="BV87" t="s">
        <v>664</v>
      </c>
    </row>
    <row r="88" spans="1:111" x14ac:dyDescent="0.2">
      <c r="A88" t="s">
        <v>111</v>
      </c>
      <c r="B88" t="b">
        <v>1</v>
      </c>
      <c r="C88" t="s">
        <v>130</v>
      </c>
      <c r="E88">
        <v>88</v>
      </c>
      <c r="F88" t="str">
        <f>HYPERLINK("https://portal.dnb.de/opac.htm?method=simpleSearch&amp;cqlMode=true&amp;query=idn%3D1066966494", "Portal")</f>
        <v>Portal</v>
      </c>
      <c r="G88" t="s">
        <v>112</v>
      </c>
      <c r="H88" t="s">
        <v>665</v>
      </c>
      <c r="I88" t="s">
        <v>666</v>
      </c>
      <c r="J88" t="s">
        <v>667</v>
      </c>
      <c r="K88" t="s">
        <v>667</v>
      </c>
      <c r="L88" t="s">
        <v>668</v>
      </c>
      <c r="N88" t="s">
        <v>644</v>
      </c>
      <c r="O88" t="s">
        <v>118</v>
      </c>
      <c r="P88" t="s">
        <v>119</v>
      </c>
      <c r="R88" t="s">
        <v>232</v>
      </c>
      <c r="S88" t="s">
        <v>216</v>
      </c>
      <c r="U88" t="s">
        <v>309</v>
      </c>
      <c r="V88" t="s">
        <v>139</v>
      </c>
      <c r="X88" t="s">
        <v>140</v>
      </c>
      <c r="Y88">
        <v>1</v>
      </c>
      <c r="AI88" t="s">
        <v>253</v>
      </c>
      <c r="AM88" t="s">
        <v>153</v>
      </c>
      <c r="AS88" t="s">
        <v>127</v>
      </c>
      <c r="BC88" t="s">
        <v>226</v>
      </c>
      <c r="BD88" t="s">
        <v>130</v>
      </c>
      <c r="BG88" t="s">
        <v>289</v>
      </c>
      <c r="BM88" t="s">
        <v>237</v>
      </c>
      <c r="BN88">
        <v>1</v>
      </c>
      <c r="CB88" t="s">
        <v>130</v>
      </c>
      <c r="CM88">
        <v>0.5</v>
      </c>
      <c r="CW88" t="s">
        <v>130</v>
      </c>
      <c r="DF88">
        <v>0.5</v>
      </c>
    </row>
    <row r="89" spans="1:111" x14ac:dyDescent="0.2">
      <c r="A89" t="s">
        <v>111</v>
      </c>
      <c r="B89" t="b">
        <v>1</v>
      </c>
      <c r="E89">
        <v>89</v>
      </c>
      <c r="F89" t="str">
        <f>HYPERLINK("https://portal.dnb.de/opac.htm?method=simpleSearch&amp;cqlMode=true&amp;query=idn%3D1066965285", "Portal")</f>
        <v>Portal</v>
      </c>
      <c r="G89" t="s">
        <v>112</v>
      </c>
      <c r="H89" t="s">
        <v>669</v>
      </c>
      <c r="I89" t="s">
        <v>670</v>
      </c>
      <c r="J89" t="s">
        <v>671</v>
      </c>
      <c r="K89" t="s">
        <v>671</v>
      </c>
      <c r="L89" t="s">
        <v>672</v>
      </c>
      <c r="N89" t="s">
        <v>673</v>
      </c>
      <c r="O89" t="s">
        <v>118</v>
      </c>
      <c r="P89" t="s">
        <v>119</v>
      </c>
      <c r="R89" t="s">
        <v>149</v>
      </c>
      <c r="S89" t="s">
        <v>121</v>
      </c>
      <c r="T89" t="s">
        <v>122</v>
      </c>
      <c r="U89" t="s">
        <v>138</v>
      </c>
      <c r="X89" t="s">
        <v>140</v>
      </c>
      <c r="Y89">
        <v>0</v>
      </c>
      <c r="AI89" t="s">
        <v>152</v>
      </c>
      <c r="AM89" t="s">
        <v>467</v>
      </c>
      <c r="AS89" t="s">
        <v>127</v>
      </c>
      <c r="BC89" t="s">
        <v>173</v>
      </c>
      <c r="BD89" t="s">
        <v>130</v>
      </c>
      <c r="BG89" t="s">
        <v>262</v>
      </c>
      <c r="BM89" t="s">
        <v>129</v>
      </c>
      <c r="BN89">
        <v>0</v>
      </c>
    </row>
    <row r="90" spans="1:111" x14ac:dyDescent="0.2">
      <c r="A90" t="s">
        <v>111</v>
      </c>
      <c r="B90" t="b">
        <v>1</v>
      </c>
      <c r="E90">
        <v>90</v>
      </c>
      <c r="F90" t="str">
        <f>HYPERLINK("https://portal.dnb.de/opac.htm?method=simpleSearch&amp;cqlMode=true&amp;query=idn%3D1066968284", "Portal")</f>
        <v>Portal</v>
      </c>
      <c r="G90" t="s">
        <v>143</v>
      </c>
      <c r="H90" t="s">
        <v>674</v>
      </c>
      <c r="I90" t="s">
        <v>675</v>
      </c>
      <c r="J90" t="s">
        <v>676</v>
      </c>
      <c r="K90" t="s">
        <v>676</v>
      </c>
      <c r="L90" t="s">
        <v>677</v>
      </c>
      <c r="N90" t="s">
        <v>678</v>
      </c>
      <c r="O90" t="s">
        <v>118</v>
      </c>
      <c r="P90" t="s">
        <v>119</v>
      </c>
      <c r="R90" t="s">
        <v>165</v>
      </c>
      <c r="S90" t="s">
        <v>216</v>
      </c>
      <c r="T90" t="s">
        <v>122</v>
      </c>
      <c r="U90" t="s">
        <v>186</v>
      </c>
      <c r="X90" t="s">
        <v>140</v>
      </c>
      <c r="Y90">
        <v>0</v>
      </c>
      <c r="AI90" t="s">
        <v>166</v>
      </c>
      <c r="AM90" t="s">
        <v>467</v>
      </c>
      <c r="AS90" t="s">
        <v>127</v>
      </c>
      <c r="BG90">
        <v>110</v>
      </c>
      <c r="BM90" t="s">
        <v>129</v>
      </c>
      <c r="BN90">
        <v>0</v>
      </c>
    </row>
    <row r="91" spans="1:111" x14ac:dyDescent="0.2">
      <c r="A91" t="s">
        <v>111</v>
      </c>
      <c r="B91" t="b">
        <v>1</v>
      </c>
      <c r="C91" t="s">
        <v>130</v>
      </c>
      <c r="E91">
        <v>91</v>
      </c>
      <c r="F91" t="str">
        <f>HYPERLINK("https://portal.dnb.de/opac.htm?method=simpleSearch&amp;cqlMode=true&amp;query=idn%3D1066971234", "Portal")</f>
        <v>Portal</v>
      </c>
      <c r="G91" t="s">
        <v>143</v>
      </c>
      <c r="H91" t="s">
        <v>679</v>
      </c>
      <c r="I91" t="s">
        <v>680</v>
      </c>
      <c r="J91" t="s">
        <v>681</v>
      </c>
      <c r="K91" t="s">
        <v>681</v>
      </c>
      <c r="L91" t="s">
        <v>682</v>
      </c>
      <c r="N91" t="s">
        <v>683</v>
      </c>
      <c r="O91" t="s">
        <v>118</v>
      </c>
      <c r="R91" t="s">
        <v>260</v>
      </c>
      <c r="S91" t="s">
        <v>216</v>
      </c>
      <c r="T91" t="s">
        <v>122</v>
      </c>
      <c r="U91" t="s">
        <v>684</v>
      </c>
      <c r="V91" t="s">
        <v>139</v>
      </c>
      <c r="X91" t="s">
        <v>140</v>
      </c>
      <c r="Y91">
        <v>1</v>
      </c>
      <c r="AI91" t="s">
        <v>253</v>
      </c>
      <c r="AM91" t="s">
        <v>153</v>
      </c>
      <c r="AS91" t="s">
        <v>127</v>
      </c>
      <c r="AU91" t="s">
        <v>130</v>
      </c>
      <c r="BC91" t="s">
        <v>173</v>
      </c>
      <c r="BD91" t="s">
        <v>130</v>
      </c>
      <c r="BG91">
        <v>45</v>
      </c>
      <c r="BM91" t="s">
        <v>237</v>
      </c>
      <c r="BN91">
        <v>4</v>
      </c>
      <c r="CB91" t="s">
        <v>130</v>
      </c>
      <c r="CM91">
        <v>1</v>
      </c>
      <c r="CN91" t="s">
        <v>685</v>
      </c>
      <c r="CS91" t="s">
        <v>130</v>
      </c>
      <c r="CV91" t="s">
        <v>130</v>
      </c>
      <c r="DF91">
        <v>3</v>
      </c>
      <c r="DG91" t="s">
        <v>686</v>
      </c>
    </row>
    <row r="92" spans="1:111" x14ac:dyDescent="0.2">
      <c r="A92" t="s">
        <v>111</v>
      </c>
      <c r="B92" t="b">
        <v>1</v>
      </c>
      <c r="E92">
        <v>92</v>
      </c>
      <c r="F92" t="str">
        <f>HYPERLINK("https://portal.dnb.de/opac.htm?method=simpleSearch&amp;cqlMode=true&amp;query=idn%3D1066968624", "Portal")</f>
        <v>Portal</v>
      </c>
      <c r="G92" t="s">
        <v>143</v>
      </c>
      <c r="H92" t="s">
        <v>687</v>
      </c>
      <c r="I92" t="s">
        <v>688</v>
      </c>
      <c r="J92" t="s">
        <v>689</v>
      </c>
      <c r="K92" t="s">
        <v>689</v>
      </c>
      <c r="L92" t="s">
        <v>690</v>
      </c>
      <c r="N92" t="s">
        <v>691</v>
      </c>
      <c r="O92" t="s">
        <v>118</v>
      </c>
      <c r="P92" t="s">
        <v>119</v>
      </c>
      <c r="R92" t="s">
        <v>260</v>
      </c>
      <c r="S92" t="s">
        <v>216</v>
      </c>
      <c r="T92" t="s">
        <v>122</v>
      </c>
      <c r="U92" t="s">
        <v>151</v>
      </c>
      <c r="W92" t="s">
        <v>67</v>
      </c>
      <c r="X92" t="s">
        <v>124</v>
      </c>
      <c r="Y92">
        <v>0</v>
      </c>
      <c r="AI92" t="s">
        <v>253</v>
      </c>
      <c r="AL92" t="s">
        <v>130</v>
      </c>
      <c r="AM92" t="s">
        <v>153</v>
      </c>
      <c r="AS92" t="s">
        <v>127</v>
      </c>
      <c r="BC92" t="s">
        <v>173</v>
      </c>
      <c r="BD92" t="s">
        <v>130</v>
      </c>
      <c r="BG92">
        <v>110</v>
      </c>
      <c r="BM92" t="s">
        <v>129</v>
      </c>
      <c r="BN92">
        <v>0</v>
      </c>
      <c r="BP92" t="s">
        <v>263</v>
      </c>
    </row>
    <row r="93" spans="1:111" x14ac:dyDescent="0.2">
      <c r="A93" t="s">
        <v>111</v>
      </c>
      <c r="B93" t="b">
        <v>1</v>
      </c>
      <c r="E93">
        <v>93</v>
      </c>
      <c r="F93" t="str">
        <f>HYPERLINK("https://portal.dnb.de/opac.htm?method=simpleSearch&amp;cqlMode=true&amp;query=idn%3D1048164535", "Portal")</f>
        <v>Portal</v>
      </c>
      <c r="G93" t="s">
        <v>112</v>
      </c>
      <c r="H93" t="s">
        <v>692</v>
      </c>
      <c r="I93" t="s">
        <v>693</v>
      </c>
      <c r="J93" t="s">
        <v>694</v>
      </c>
      <c r="K93" t="s">
        <v>694</v>
      </c>
      <c r="L93" t="s">
        <v>695</v>
      </c>
      <c r="N93" t="s">
        <v>696</v>
      </c>
      <c r="O93" t="s">
        <v>118</v>
      </c>
      <c r="Q93" t="s">
        <v>697</v>
      </c>
      <c r="R93" t="s">
        <v>260</v>
      </c>
      <c r="S93" t="s">
        <v>252</v>
      </c>
      <c r="T93" t="s">
        <v>122</v>
      </c>
      <c r="U93" t="s">
        <v>151</v>
      </c>
      <c r="V93" t="s">
        <v>139</v>
      </c>
      <c r="W93" t="s">
        <v>67</v>
      </c>
      <c r="X93" t="s">
        <v>124</v>
      </c>
      <c r="Y93">
        <v>0</v>
      </c>
      <c r="AI93" t="s">
        <v>253</v>
      </c>
      <c r="AL93" t="s">
        <v>130</v>
      </c>
      <c r="AM93" t="s">
        <v>153</v>
      </c>
      <c r="AS93" t="s">
        <v>127</v>
      </c>
      <c r="BC93" t="s">
        <v>468</v>
      </c>
      <c r="BD93" t="s">
        <v>469</v>
      </c>
      <c r="BG93">
        <v>110</v>
      </c>
      <c r="BM93" t="s">
        <v>129</v>
      </c>
      <c r="BN93">
        <v>0</v>
      </c>
      <c r="BP93" t="s">
        <v>263</v>
      </c>
    </row>
    <row r="94" spans="1:111" x14ac:dyDescent="0.2">
      <c r="A94" t="s">
        <v>111</v>
      </c>
      <c r="B94" t="b">
        <v>0</v>
      </c>
      <c r="F94" t="str">
        <f>HYPERLINK("https://portal.dnb.de/opac.htm?method=simpleSearch&amp;cqlMode=true&amp;query=idn%3D", "Portal")</f>
        <v>Portal</v>
      </c>
      <c r="L94" t="s">
        <v>698</v>
      </c>
      <c r="P94" t="s">
        <v>119</v>
      </c>
      <c r="R94" t="s">
        <v>260</v>
      </c>
      <c r="S94" t="s">
        <v>252</v>
      </c>
      <c r="T94" t="s">
        <v>122</v>
      </c>
      <c r="U94" t="s">
        <v>180</v>
      </c>
      <c r="V94" t="s">
        <v>139</v>
      </c>
      <c r="W94" t="s">
        <v>67</v>
      </c>
      <c r="X94" t="s">
        <v>124</v>
      </c>
      <c r="Y94">
        <v>0</v>
      </c>
      <c r="AI94" t="s">
        <v>253</v>
      </c>
      <c r="AL94" t="s">
        <v>130</v>
      </c>
      <c r="AM94" t="s">
        <v>153</v>
      </c>
      <c r="AS94" t="s">
        <v>127</v>
      </c>
      <c r="AX94" t="s">
        <v>130</v>
      </c>
      <c r="BC94" t="s">
        <v>468</v>
      </c>
      <c r="BD94" t="s">
        <v>469</v>
      </c>
      <c r="BG94">
        <v>110</v>
      </c>
      <c r="BK94" t="s">
        <v>130</v>
      </c>
      <c r="BM94" t="s">
        <v>129</v>
      </c>
      <c r="BN94">
        <v>0</v>
      </c>
      <c r="BP94" t="s">
        <v>263</v>
      </c>
    </row>
    <row r="95" spans="1:111" x14ac:dyDescent="0.2">
      <c r="A95" t="s">
        <v>111</v>
      </c>
      <c r="B95" t="b">
        <v>1</v>
      </c>
      <c r="E95">
        <v>94</v>
      </c>
      <c r="F95" t="str">
        <f>HYPERLINK("https://portal.dnb.de/opac.htm?method=simpleSearch&amp;cqlMode=true&amp;query=idn%3D1066970432", "Portal")</f>
        <v>Portal</v>
      </c>
      <c r="G95" t="s">
        <v>112</v>
      </c>
      <c r="H95" t="s">
        <v>699</v>
      </c>
      <c r="I95" t="s">
        <v>700</v>
      </c>
      <c r="J95" t="s">
        <v>701</v>
      </c>
      <c r="K95" t="s">
        <v>701</v>
      </c>
      <c r="L95" t="s">
        <v>702</v>
      </c>
      <c r="N95" t="s">
        <v>703</v>
      </c>
      <c r="O95" t="s">
        <v>118</v>
      </c>
      <c r="P95" t="s">
        <v>119</v>
      </c>
      <c r="R95" t="s">
        <v>165</v>
      </c>
      <c r="S95" t="s">
        <v>216</v>
      </c>
      <c r="T95" t="s">
        <v>122</v>
      </c>
      <c r="U95" t="s">
        <v>138</v>
      </c>
      <c r="V95" t="s">
        <v>139</v>
      </c>
      <c r="W95" t="s">
        <v>209</v>
      </c>
      <c r="X95" t="s">
        <v>217</v>
      </c>
      <c r="Y95">
        <v>0</v>
      </c>
      <c r="AI95" t="s">
        <v>166</v>
      </c>
      <c r="AL95" t="s">
        <v>130</v>
      </c>
      <c r="AM95" t="s">
        <v>467</v>
      </c>
      <c r="AS95" t="s">
        <v>127</v>
      </c>
      <c r="AX95" t="s">
        <v>130</v>
      </c>
      <c r="BC95" t="s">
        <v>468</v>
      </c>
      <c r="BD95" t="s">
        <v>130</v>
      </c>
      <c r="BG95">
        <v>110</v>
      </c>
      <c r="BM95" t="s">
        <v>129</v>
      </c>
      <c r="BN95">
        <v>0</v>
      </c>
    </row>
    <row r="96" spans="1:111" x14ac:dyDescent="0.2">
      <c r="A96" t="s">
        <v>111</v>
      </c>
      <c r="B96" t="b">
        <v>1</v>
      </c>
      <c r="E96">
        <v>95</v>
      </c>
      <c r="F96" t="str">
        <f>HYPERLINK("https://portal.dnb.de/opac.htm?method=simpleSearch&amp;cqlMode=true&amp;query=idn%3D1066966370", "Portal")</f>
        <v>Portal</v>
      </c>
      <c r="G96" t="s">
        <v>143</v>
      </c>
      <c r="H96" t="s">
        <v>704</v>
      </c>
      <c r="I96" t="s">
        <v>705</v>
      </c>
      <c r="J96" t="s">
        <v>706</v>
      </c>
      <c r="K96" t="s">
        <v>706</v>
      </c>
      <c r="L96" t="s">
        <v>706</v>
      </c>
      <c r="M96" t="s">
        <v>707</v>
      </c>
      <c r="N96" t="s">
        <v>708</v>
      </c>
      <c r="O96" t="s">
        <v>118</v>
      </c>
      <c r="BN96">
        <v>0</v>
      </c>
    </row>
    <row r="97" spans="1:66" x14ac:dyDescent="0.2">
      <c r="A97" t="s">
        <v>111</v>
      </c>
      <c r="B97" t="b">
        <v>1</v>
      </c>
      <c r="E97">
        <v>96</v>
      </c>
      <c r="F97" t="str">
        <f>HYPERLINK("https://portal.dnb.de/opac.htm?method=simpleSearch&amp;cqlMode=true&amp;query=idn%3D1066964653", "Portal")</f>
        <v>Portal</v>
      </c>
      <c r="G97" t="s">
        <v>143</v>
      </c>
      <c r="H97" t="s">
        <v>709</v>
      </c>
      <c r="I97" t="s">
        <v>710</v>
      </c>
      <c r="J97" t="s">
        <v>711</v>
      </c>
      <c r="K97" t="s">
        <v>711</v>
      </c>
      <c r="L97" t="s">
        <v>711</v>
      </c>
      <c r="N97" t="s">
        <v>673</v>
      </c>
      <c r="O97" t="s">
        <v>118</v>
      </c>
      <c r="BN97">
        <v>0</v>
      </c>
    </row>
    <row r="98" spans="1:66" x14ac:dyDescent="0.2">
      <c r="A98" t="s">
        <v>111</v>
      </c>
      <c r="B98" t="b">
        <v>0</v>
      </c>
      <c r="E98">
        <v>97</v>
      </c>
      <c r="F98" t="str">
        <f>HYPERLINK("https://portal.dnb.de/opac.htm?method=simpleSearch&amp;cqlMode=true&amp;query=idn%3D1066966613", "Portal")</f>
        <v>Portal</v>
      </c>
      <c r="G98" t="s">
        <v>112</v>
      </c>
      <c r="H98" t="s">
        <v>712</v>
      </c>
      <c r="I98" t="s">
        <v>713</v>
      </c>
      <c r="J98" t="s">
        <v>714</v>
      </c>
      <c r="L98" t="s">
        <v>714</v>
      </c>
      <c r="BN98">
        <v>0</v>
      </c>
    </row>
    <row r="99" spans="1:66" x14ac:dyDescent="0.2">
      <c r="A99" t="s">
        <v>111</v>
      </c>
      <c r="B99" t="b">
        <v>1</v>
      </c>
      <c r="E99">
        <v>98</v>
      </c>
      <c r="F99" t="str">
        <f>HYPERLINK("https://portal.dnb.de/opac.htm?method=simpleSearch&amp;cqlMode=true&amp;query=idn%3D106696971X", "Portal")</f>
        <v>Portal</v>
      </c>
      <c r="G99" t="s">
        <v>143</v>
      </c>
      <c r="H99" t="s">
        <v>715</v>
      </c>
      <c r="I99" t="s">
        <v>716</v>
      </c>
      <c r="J99" t="s">
        <v>717</v>
      </c>
      <c r="K99" t="s">
        <v>717</v>
      </c>
      <c r="L99" t="s">
        <v>717</v>
      </c>
      <c r="N99" t="s">
        <v>718</v>
      </c>
      <c r="O99" t="s">
        <v>118</v>
      </c>
      <c r="BN99">
        <v>0</v>
      </c>
    </row>
    <row r="100" spans="1:66" x14ac:dyDescent="0.2">
      <c r="A100" t="s">
        <v>111</v>
      </c>
      <c r="B100" t="b">
        <v>1</v>
      </c>
      <c r="E100">
        <v>99</v>
      </c>
      <c r="F100" t="str">
        <f>HYPERLINK("https://portal.dnb.de/opac.htm?method=simpleSearch&amp;cqlMode=true&amp;query=idn%3D1066972419", "Portal")</f>
        <v>Portal</v>
      </c>
      <c r="G100" t="s">
        <v>112</v>
      </c>
      <c r="H100" t="s">
        <v>719</v>
      </c>
      <c r="I100" t="s">
        <v>720</v>
      </c>
      <c r="J100" t="s">
        <v>721</v>
      </c>
      <c r="K100" t="s">
        <v>721</v>
      </c>
      <c r="L100" t="s">
        <v>721</v>
      </c>
      <c r="N100" t="s">
        <v>722</v>
      </c>
      <c r="O100" t="s">
        <v>118</v>
      </c>
      <c r="BN100">
        <v>0</v>
      </c>
    </row>
    <row r="101" spans="1:66" x14ac:dyDescent="0.2">
      <c r="A101" t="s">
        <v>111</v>
      </c>
      <c r="B101" t="b">
        <v>1</v>
      </c>
      <c r="E101">
        <v>100</v>
      </c>
      <c r="F101" t="str">
        <f>HYPERLINK("https://portal.dnb.de/opac.htm?method=simpleSearch&amp;cqlMode=true&amp;query=idn%3D1066969698", "Portal")</f>
        <v>Portal</v>
      </c>
      <c r="G101" t="s">
        <v>112</v>
      </c>
      <c r="H101" t="s">
        <v>723</v>
      </c>
      <c r="I101" t="s">
        <v>724</v>
      </c>
      <c r="J101" t="s">
        <v>725</v>
      </c>
      <c r="K101" t="s">
        <v>725</v>
      </c>
      <c r="L101" t="s">
        <v>725</v>
      </c>
      <c r="N101" t="s">
        <v>726</v>
      </c>
      <c r="O101" t="s">
        <v>118</v>
      </c>
      <c r="BN101">
        <v>0</v>
      </c>
    </row>
    <row r="102" spans="1:66" x14ac:dyDescent="0.2">
      <c r="A102" t="s">
        <v>111</v>
      </c>
      <c r="B102" t="b">
        <v>1</v>
      </c>
      <c r="E102">
        <v>101</v>
      </c>
      <c r="F102" t="str">
        <f>HYPERLINK("https://portal.dnb.de/opac.htm?method=simpleSearch&amp;cqlMode=true&amp;query=idn%3D1066969140", "Portal")</f>
        <v>Portal</v>
      </c>
      <c r="G102" t="s">
        <v>112</v>
      </c>
      <c r="H102" t="s">
        <v>727</v>
      </c>
      <c r="I102" t="s">
        <v>728</v>
      </c>
      <c r="J102" t="s">
        <v>729</v>
      </c>
      <c r="K102" t="s">
        <v>729</v>
      </c>
      <c r="L102" t="s">
        <v>729</v>
      </c>
      <c r="N102" t="s">
        <v>730</v>
      </c>
      <c r="O102" t="s">
        <v>118</v>
      </c>
      <c r="BN102">
        <v>0</v>
      </c>
    </row>
    <row r="103" spans="1:66" x14ac:dyDescent="0.2">
      <c r="A103" t="s">
        <v>111</v>
      </c>
      <c r="B103" t="b">
        <v>1</v>
      </c>
      <c r="E103">
        <v>102</v>
      </c>
      <c r="F103" t="str">
        <f>HYPERLINK("https://portal.dnb.de/opac.htm?method=simpleSearch&amp;cqlMode=true&amp;query=idn%3D1066966567", "Portal")</f>
        <v>Portal</v>
      </c>
      <c r="G103" t="s">
        <v>112</v>
      </c>
      <c r="H103" t="s">
        <v>731</v>
      </c>
      <c r="I103" t="s">
        <v>732</v>
      </c>
      <c r="J103" t="s">
        <v>733</v>
      </c>
      <c r="K103" t="s">
        <v>733</v>
      </c>
      <c r="L103" t="s">
        <v>733</v>
      </c>
      <c r="N103" t="s">
        <v>644</v>
      </c>
      <c r="O103" t="s">
        <v>118</v>
      </c>
      <c r="BN103">
        <v>0</v>
      </c>
    </row>
    <row r="104" spans="1:66" x14ac:dyDescent="0.2">
      <c r="A104" t="s">
        <v>111</v>
      </c>
      <c r="B104" t="b">
        <v>1</v>
      </c>
      <c r="E104">
        <v>103</v>
      </c>
      <c r="F104" t="str">
        <f>HYPERLINK("https://portal.dnb.de/opac.htm?method=simpleSearch&amp;cqlMode=true&amp;query=idn%3D1066971269", "Portal")</f>
        <v>Portal</v>
      </c>
      <c r="G104" t="s">
        <v>112</v>
      </c>
      <c r="H104" t="s">
        <v>734</v>
      </c>
      <c r="I104" t="s">
        <v>735</v>
      </c>
      <c r="J104" t="s">
        <v>736</v>
      </c>
      <c r="K104" t="s">
        <v>736</v>
      </c>
      <c r="L104" t="s">
        <v>736</v>
      </c>
      <c r="N104" t="s">
        <v>737</v>
      </c>
      <c r="O104" t="s">
        <v>118</v>
      </c>
      <c r="BN104">
        <v>0</v>
      </c>
    </row>
    <row r="105" spans="1:66" x14ac:dyDescent="0.2">
      <c r="A105" t="s">
        <v>111</v>
      </c>
      <c r="B105" t="b">
        <v>1</v>
      </c>
      <c r="E105">
        <v>104</v>
      </c>
      <c r="F105" t="str">
        <f>HYPERLINK("https://portal.dnb.de/opac.htm?method=simpleSearch&amp;cqlMode=true&amp;query=idn%3D106697120X", "Portal")</f>
        <v>Portal</v>
      </c>
      <c r="G105" t="s">
        <v>143</v>
      </c>
      <c r="H105" t="s">
        <v>738</v>
      </c>
      <c r="I105" t="s">
        <v>739</v>
      </c>
      <c r="J105" t="s">
        <v>740</v>
      </c>
      <c r="K105" t="s">
        <v>740</v>
      </c>
      <c r="L105" t="s">
        <v>740</v>
      </c>
      <c r="N105" t="s">
        <v>741</v>
      </c>
      <c r="O105" t="s">
        <v>118</v>
      </c>
      <c r="BN105">
        <v>0</v>
      </c>
    </row>
    <row r="106" spans="1:66" x14ac:dyDescent="0.2">
      <c r="A106" t="s">
        <v>111</v>
      </c>
      <c r="B106" t="b">
        <v>1</v>
      </c>
      <c r="E106">
        <v>105</v>
      </c>
      <c r="F106" t="str">
        <f>HYPERLINK("https://portal.dnb.de/opac.htm?method=simpleSearch&amp;cqlMode=true&amp;query=idn%3D1066971609", "Portal")</f>
        <v>Portal</v>
      </c>
      <c r="G106" t="s">
        <v>143</v>
      </c>
      <c r="H106" t="s">
        <v>742</v>
      </c>
      <c r="I106" t="s">
        <v>743</v>
      </c>
      <c r="J106" t="s">
        <v>744</v>
      </c>
      <c r="K106" t="s">
        <v>744</v>
      </c>
      <c r="L106" t="s">
        <v>744</v>
      </c>
      <c r="N106" t="s">
        <v>745</v>
      </c>
      <c r="O106" t="s">
        <v>118</v>
      </c>
      <c r="BN106">
        <v>0</v>
      </c>
    </row>
    <row r="107" spans="1:66" x14ac:dyDescent="0.2">
      <c r="A107" t="s">
        <v>111</v>
      </c>
      <c r="B107" t="b">
        <v>1</v>
      </c>
      <c r="E107">
        <v>106</v>
      </c>
      <c r="F107" t="str">
        <f>HYPERLINK("https://portal.dnb.de/opac.htm?method=simpleSearch&amp;cqlMode=true&amp;query=idn%3D1066965382", "Portal")</f>
        <v>Portal</v>
      </c>
      <c r="G107" t="s">
        <v>112</v>
      </c>
      <c r="H107" t="s">
        <v>746</v>
      </c>
      <c r="I107" t="s">
        <v>747</v>
      </c>
      <c r="J107" t="s">
        <v>748</v>
      </c>
      <c r="K107" t="s">
        <v>748</v>
      </c>
      <c r="L107" t="s">
        <v>748</v>
      </c>
      <c r="N107" t="s">
        <v>749</v>
      </c>
      <c r="O107" t="s">
        <v>118</v>
      </c>
      <c r="BN107">
        <v>0</v>
      </c>
    </row>
    <row r="108" spans="1:66" x14ac:dyDescent="0.2">
      <c r="A108" t="s">
        <v>111</v>
      </c>
      <c r="B108" t="b">
        <v>1</v>
      </c>
      <c r="E108">
        <v>107</v>
      </c>
      <c r="F108" t="str">
        <f>HYPERLINK("https://portal.dnb.de/opac.htm?method=simpleSearch&amp;cqlMode=true&amp;query=idn%3D1066969302", "Portal")</f>
        <v>Portal</v>
      </c>
      <c r="G108" t="s">
        <v>143</v>
      </c>
      <c r="H108" t="s">
        <v>750</v>
      </c>
      <c r="I108" t="s">
        <v>751</v>
      </c>
      <c r="J108" t="s">
        <v>752</v>
      </c>
      <c r="K108" t="s">
        <v>752</v>
      </c>
      <c r="L108" t="s">
        <v>752</v>
      </c>
      <c r="N108" t="s">
        <v>753</v>
      </c>
      <c r="O108" t="s">
        <v>118</v>
      </c>
      <c r="BN108">
        <v>0</v>
      </c>
    </row>
    <row r="109" spans="1:66" x14ac:dyDescent="0.2">
      <c r="A109" t="s">
        <v>111</v>
      </c>
      <c r="B109" t="b">
        <v>1</v>
      </c>
      <c r="E109">
        <v>108</v>
      </c>
      <c r="F109" t="str">
        <f>HYPERLINK("https://portal.dnb.de/opac.htm?method=simpleSearch&amp;cqlMode=true&amp;query=idn%3D1066971048", "Portal")</f>
        <v>Portal</v>
      </c>
      <c r="G109" t="s">
        <v>143</v>
      </c>
      <c r="H109" t="s">
        <v>754</v>
      </c>
      <c r="I109" t="s">
        <v>755</v>
      </c>
      <c r="J109" t="s">
        <v>756</v>
      </c>
      <c r="K109" t="s">
        <v>756</v>
      </c>
      <c r="L109" t="s">
        <v>756</v>
      </c>
      <c r="N109" t="s">
        <v>569</v>
      </c>
      <c r="O109" t="s">
        <v>118</v>
      </c>
      <c r="BN109">
        <v>0</v>
      </c>
    </row>
    <row r="110" spans="1:66" x14ac:dyDescent="0.2">
      <c r="A110" t="s">
        <v>111</v>
      </c>
      <c r="B110" t="b">
        <v>1</v>
      </c>
      <c r="E110">
        <v>109</v>
      </c>
      <c r="F110" t="str">
        <f>HYPERLINK("https://portal.dnb.de/opac.htm?method=simpleSearch&amp;cqlMode=true&amp;query=idn%3D1066972605", "Portal")</f>
        <v>Portal</v>
      </c>
      <c r="G110" t="s">
        <v>143</v>
      </c>
      <c r="H110" t="s">
        <v>757</v>
      </c>
      <c r="I110" t="s">
        <v>758</v>
      </c>
      <c r="J110" t="s">
        <v>759</v>
      </c>
      <c r="K110" t="s">
        <v>759</v>
      </c>
      <c r="L110" t="s">
        <v>759</v>
      </c>
      <c r="N110" t="s">
        <v>760</v>
      </c>
      <c r="O110" t="s">
        <v>118</v>
      </c>
      <c r="BN110">
        <v>0</v>
      </c>
    </row>
    <row r="111" spans="1:66" x14ac:dyDescent="0.2">
      <c r="A111" t="s">
        <v>111</v>
      </c>
      <c r="B111" t="b">
        <v>1</v>
      </c>
      <c r="E111">
        <v>110</v>
      </c>
      <c r="F111" t="str">
        <f>HYPERLINK("https://portal.dnb.de/opac.htm?method=simpleSearch&amp;cqlMode=true&amp;query=idn%3D1072261766", "Portal")</f>
        <v>Portal</v>
      </c>
      <c r="G111" t="s">
        <v>112</v>
      </c>
      <c r="H111" t="s">
        <v>761</v>
      </c>
      <c r="I111" t="s">
        <v>762</v>
      </c>
      <c r="J111" t="s">
        <v>763</v>
      </c>
      <c r="K111" t="s">
        <v>763</v>
      </c>
      <c r="L111" t="s">
        <v>763</v>
      </c>
      <c r="N111" t="s">
        <v>764</v>
      </c>
      <c r="O111" t="s">
        <v>118</v>
      </c>
      <c r="BN111">
        <v>0</v>
      </c>
    </row>
    <row r="112" spans="1:66" x14ac:dyDescent="0.2">
      <c r="A112" t="s">
        <v>111</v>
      </c>
      <c r="B112" t="b">
        <v>1</v>
      </c>
      <c r="E112">
        <v>111</v>
      </c>
      <c r="F112" t="str">
        <f>HYPERLINK("https://portal.dnb.de/opac.htm?method=simpleSearch&amp;cqlMode=true&amp;query=idn%3D1066969817", "Portal")</f>
        <v>Portal</v>
      </c>
      <c r="G112" t="s">
        <v>143</v>
      </c>
      <c r="H112" t="s">
        <v>765</v>
      </c>
      <c r="I112" t="s">
        <v>766</v>
      </c>
      <c r="J112" t="s">
        <v>767</v>
      </c>
      <c r="K112" t="s">
        <v>767</v>
      </c>
      <c r="L112" t="s">
        <v>767</v>
      </c>
      <c r="N112" t="s">
        <v>768</v>
      </c>
      <c r="O112" t="s">
        <v>118</v>
      </c>
      <c r="BN112">
        <v>0</v>
      </c>
    </row>
    <row r="113" spans="1:66" x14ac:dyDescent="0.2">
      <c r="A113" t="s">
        <v>111</v>
      </c>
      <c r="B113" t="b">
        <v>1</v>
      </c>
      <c r="E113">
        <v>112</v>
      </c>
      <c r="F113" t="str">
        <f>HYPERLINK("https://portal.dnb.de/opac.htm?method=simpleSearch&amp;cqlMode=true&amp;query=idn%3D1066966206", "Portal")</f>
        <v>Portal</v>
      </c>
      <c r="G113" t="s">
        <v>143</v>
      </c>
      <c r="H113" t="s">
        <v>769</v>
      </c>
      <c r="I113" t="s">
        <v>770</v>
      </c>
      <c r="J113" t="s">
        <v>771</v>
      </c>
      <c r="K113" t="s">
        <v>771</v>
      </c>
      <c r="L113" t="s">
        <v>771</v>
      </c>
      <c r="N113" t="s">
        <v>772</v>
      </c>
      <c r="O113" t="s">
        <v>118</v>
      </c>
      <c r="BN113">
        <v>0</v>
      </c>
    </row>
    <row r="114" spans="1:66" x14ac:dyDescent="0.2">
      <c r="A114" t="s">
        <v>111</v>
      </c>
      <c r="B114" t="b">
        <v>1</v>
      </c>
      <c r="E114">
        <v>113</v>
      </c>
      <c r="F114" t="str">
        <f>HYPERLINK("https://portal.dnb.de/opac.htm?method=simpleSearch&amp;cqlMode=true&amp;query=idn%3D1066971838", "Portal")</f>
        <v>Portal</v>
      </c>
      <c r="G114" t="s">
        <v>112</v>
      </c>
      <c r="H114" t="s">
        <v>773</v>
      </c>
      <c r="I114" t="s">
        <v>774</v>
      </c>
      <c r="J114" t="s">
        <v>775</v>
      </c>
      <c r="K114" t="s">
        <v>775</v>
      </c>
      <c r="L114" t="s">
        <v>775</v>
      </c>
      <c r="N114" t="s">
        <v>776</v>
      </c>
      <c r="O114" t="s">
        <v>118</v>
      </c>
      <c r="BN114">
        <v>0</v>
      </c>
    </row>
    <row r="115" spans="1:66" x14ac:dyDescent="0.2">
      <c r="A115" t="s">
        <v>111</v>
      </c>
      <c r="B115" t="b">
        <v>1</v>
      </c>
      <c r="E115">
        <v>114</v>
      </c>
      <c r="F115" t="str">
        <f>HYPERLINK("https://portal.dnb.de/opac.htm?method=simpleSearch&amp;cqlMode=true&amp;query=idn%3D1066967946", "Portal")</f>
        <v>Portal</v>
      </c>
      <c r="G115" t="s">
        <v>143</v>
      </c>
      <c r="H115" t="s">
        <v>777</v>
      </c>
      <c r="I115" t="s">
        <v>778</v>
      </c>
      <c r="J115" t="s">
        <v>779</v>
      </c>
      <c r="K115" t="s">
        <v>779</v>
      </c>
      <c r="L115" t="s">
        <v>779</v>
      </c>
      <c r="N115" t="s">
        <v>780</v>
      </c>
      <c r="O115" t="s">
        <v>118</v>
      </c>
      <c r="BN115">
        <v>0</v>
      </c>
    </row>
    <row r="116" spans="1:66" x14ac:dyDescent="0.2">
      <c r="A116" t="s">
        <v>111</v>
      </c>
      <c r="B116" t="b">
        <v>1</v>
      </c>
      <c r="E116">
        <v>115</v>
      </c>
      <c r="F116" t="str">
        <f>HYPERLINK("https://portal.dnb.de/opac.htm?method=simpleSearch&amp;cqlMode=true&amp;query=idn%3D1066971579", "Portal")</f>
        <v>Portal</v>
      </c>
      <c r="G116" t="s">
        <v>112</v>
      </c>
      <c r="H116" t="s">
        <v>781</v>
      </c>
      <c r="I116" t="s">
        <v>782</v>
      </c>
      <c r="J116" t="s">
        <v>783</v>
      </c>
      <c r="K116" t="s">
        <v>783</v>
      </c>
      <c r="L116" t="s">
        <v>783</v>
      </c>
      <c r="N116" t="s">
        <v>784</v>
      </c>
      <c r="O116" t="s">
        <v>118</v>
      </c>
      <c r="BN116">
        <v>0</v>
      </c>
    </row>
    <row r="117" spans="1:66" x14ac:dyDescent="0.2">
      <c r="A117" t="s">
        <v>111</v>
      </c>
      <c r="B117" t="b">
        <v>1</v>
      </c>
      <c r="E117">
        <v>116</v>
      </c>
      <c r="F117" t="str">
        <f>HYPERLINK("https://portal.dnb.de/opac.htm?method=simpleSearch&amp;cqlMode=true&amp;query=idn%3D1066967687", "Portal")</f>
        <v>Portal</v>
      </c>
      <c r="G117" t="s">
        <v>143</v>
      </c>
      <c r="H117" t="s">
        <v>785</v>
      </c>
      <c r="I117" t="s">
        <v>786</v>
      </c>
      <c r="J117" t="s">
        <v>787</v>
      </c>
      <c r="K117" t="s">
        <v>787</v>
      </c>
      <c r="L117" t="s">
        <v>787</v>
      </c>
      <c r="N117" t="s">
        <v>788</v>
      </c>
      <c r="O117" t="s">
        <v>118</v>
      </c>
      <c r="BN117">
        <v>0</v>
      </c>
    </row>
    <row r="118" spans="1:66" x14ac:dyDescent="0.2">
      <c r="A118" t="s">
        <v>111</v>
      </c>
      <c r="B118" t="b">
        <v>1</v>
      </c>
      <c r="E118">
        <v>117</v>
      </c>
      <c r="F118" t="str">
        <f>HYPERLINK("https://portal.dnb.de/opac.htm?method=simpleSearch&amp;cqlMode=true&amp;query=idn%3D1066970483", "Portal")</f>
        <v>Portal</v>
      </c>
      <c r="G118" t="s">
        <v>143</v>
      </c>
      <c r="H118" t="s">
        <v>789</v>
      </c>
      <c r="I118" t="s">
        <v>790</v>
      </c>
      <c r="J118" t="s">
        <v>791</v>
      </c>
      <c r="K118" t="s">
        <v>791</v>
      </c>
      <c r="L118" t="s">
        <v>791</v>
      </c>
      <c r="N118" t="s">
        <v>792</v>
      </c>
      <c r="O118" t="s">
        <v>118</v>
      </c>
      <c r="BN118">
        <v>0</v>
      </c>
    </row>
    <row r="119" spans="1:66" x14ac:dyDescent="0.2">
      <c r="A119" t="s">
        <v>111</v>
      </c>
      <c r="B119" t="b">
        <v>1</v>
      </c>
      <c r="E119">
        <v>118</v>
      </c>
      <c r="F119" t="str">
        <f>HYPERLINK("https://portal.dnb.de/opac.htm?method=simpleSearch&amp;cqlMode=true&amp;query=idn%3D106697215X", "Portal")</f>
        <v>Portal</v>
      </c>
      <c r="G119" t="s">
        <v>143</v>
      </c>
      <c r="H119" t="s">
        <v>793</v>
      </c>
      <c r="I119" t="s">
        <v>794</v>
      </c>
      <c r="J119" t="s">
        <v>795</v>
      </c>
      <c r="K119" t="s">
        <v>795</v>
      </c>
      <c r="L119" t="s">
        <v>795</v>
      </c>
      <c r="N119" t="s">
        <v>796</v>
      </c>
      <c r="O119" t="s">
        <v>118</v>
      </c>
      <c r="BN119">
        <v>0</v>
      </c>
    </row>
    <row r="120" spans="1:66" x14ac:dyDescent="0.2">
      <c r="A120" t="s">
        <v>111</v>
      </c>
      <c r="B120" t="b">
        <v>1</v>
      </c>
      <c r="E120">
        <v>119</v>
      </c>
      <c r="F120" t="str">
        <f>HYPERLINK("https://portal.dnb.de/opac.htm?method=simpleSearch&amp;cqlMode=true&amp;query=idn%3D1072262169", "Portal")</f>
        <v>Portal</v>
      </c>
      <c r="G120" t="s">
        <v>112</v>
      </c>
      <c r="H120" t="s">
        <v>797</v>
      </c>
      <c r="I120" t="s">
        <v>798</v>
      </c>
      <c r="J120" t="s">
        <v>799</v>
      </c>
      <c r="K120" t="s">
        <v>799</v>
      </c>
      <c r="L120" t="s">
        <v>799</v>
      </c>
      <c r="N120" t="s">
        <v>800</v>
      </c>
      <c r="O120" t="s">
        <v>118</v>
      </c>
      <c r="BN120">
        <v>0</v>
      </c>
    </row>
    <row r="121" spans="1:66" x14ac:dyDescent="0.2">
      <c r="A121" t="s">
        <v>111</v>
      </c>
      <c r="B121" t="b">
        <v>0</v>
      </c>
      <c r="E121">
        <v>120</v>
      </c>
      <c r="F121" t="str">
        <f>HYPERLINK("https://portal.dnb.de/opac.htm?method=simpleSearch&amp;cqlMode=true&amp;query=idn%3D1066965390", "Portal")</f>
        <v>Portal</v>
      </c>
      <c r="G121" t="s">
        <v>112</v>
      </c>
      <c r="H121" t="s">
        <v>801</v>
      </c>
      <c r="I121" t="s">
        <v>802</v>
      </c>
      <c r="J121" t="s">
        <v>803</v>
      </c>
      <c r="L121" t="s">
        <v>803</v>
      </c>
      <c r="BN121">
        <v>0</v>
      </c>
    </row>
    <row r="122" spans="1:66" x14ac:dyDescent="0.2">
      <c r="A122" t="s">
        <v>111</v>
      </c>
      <c r="B122" t="b">
        <v>1</v>
      </c>
      <c r="E122">
        <v>121</v>
      </c>
      <c r="F122" t="str">
        <f>HYPERLINK("https://portal.dnb.de/opac.htm?method=simpleSearch&amp;cqlMode=true&amp;query=idn%3D1066969221", "Portal")</f>
        <v>Portal</v>
      </c>
      <c r="G122" t="s">
        <v>143</v>
      </c>
      <c r="H122" t="s">
        <v>804</v>
      </c>
      <c r="I122" t="s">
        <v>805</v>
      </c>
      <c r="J122" t="s">
        <v>806</v>
      </c>
      <c r="K122" t="s">
        <v>806</v>
      </c>
      <c r="L122" t="s">
        <v>806</v>
      </c>
      <c r="N122" t="s">
        <v>807</v>
      </c>
      <c r="O122" t="s">
        <v>118</v>
      </c>
      <c r="BN122">
        <v>0</v>
      </c>
    </row>
    <row r="123" spans="1:66" x14ac:dyDescent="0.2">
      <c r="A123" t="s">
        <v>111</v>
      </c>
      <c r="B123" t="b">
        <v>1</v>
      </c>
      <c r="E123">
        <v>122</v>
      </c>
      <c r="F123" t="str">
        <f>HYPERLINK("https://portal.dnb.de/opac.htm?method=simpleSearch&amp;cqlMode=true&amp;query=idn%3D1066968489", "Portal")</f>
        <v>Portal</v>
      </c>
      <c r="G123" t="s">
        <v>112</v>
      </c>
      <c r="H123" t="s">
        <v>808</v>
      </c>
      <c r="I123" t="s">
        <v>809</v>
      </c>
      <c r="J123" t="s">
        <v>810</v>
      </c>
      <c r="K123" t="s">
        <v>810</v>
      </c>
      <c r="L123" t="s">
        <v>810</v>
      </c>
      <c r="N123" t="s">
        <v>348</v>
      </c>
      <c r="O123" t="s">
        <v>118</v>
      </c>
      <c r="BN123">
        <v>0</v>
      </c>
    </row>
    <row r="124" spans="1:66" x14ac:dyDescent="0.2">
      <c r="A124" t="s">
        <v>111</v>
      </c>
      <c r="B124" t="b">
        <v>1</v>
      </c>
      <c r="E124">
        <v>123</v>
      </c>
      <c r="F124" t="str">
        <f>HYPERLINK("https://portal.dnb.de/opac.htm?method=simpleSearch&amp;cqlMode=true&amp;query=idn%3D1066970289", "Portal")</f>
        <v>Portal</v>
      </c>
      <c r="G124" t="s">
        <v>143</v>
      </c>
      <c r="H124" t="s">
        <v>811</v>
      </c>
      <c r="I124" t="s">
        <v>812</v>
      </c>
      <c r="J124" t="s">
        <v>813</v>
      </c>
      <c r="K124" t="s">
        <v>813</v>
      </c>
      <c r="L124" t="s">
        <v>813</v>
      </c>
      <c r="N124" t="s">
        <v>814</v>
      </c>
      <c r="O124" t="s">
        <v>118</v>
      </c>
      <c r="BN124">
        <v>0</v>
      </c>
    </row>
    <row r="125" spans="1:66" x14ac:dyDescent="0.2">
      <c r="A125" t="s">
        <v>111</v>
      </c>
      <c r="B125" t="b">
        <v>1</v>
      </c>
      <c r="E125">
        <v>124</v>
      </c>
      <c r="F125" t="str">
        <f>HYPERLINK("https://portal.dnb.de/opac.htm?method=simpleSearch&amp;cqlMode=true&amp;query=idn%3D1066964645", "Portal")</f>
        <v>Portal</v>
      </c>
      <c r="G125" t="s">
        <v>143</v>
      </c>
      <c r="H125" t="s">
        <v>815</v>
      </c>
      <c r="I125" t="s">
        <v>816</v>
      </c>
      <c r="J125" t="s">
        <v>817</v>
      </c>
      <c r="K125" t="s">
        <v>817</v>
      </c>
      <c r="L125" t="s">
        <v>817</v>
      </c>
      <c r="N125" t="s">
        <v>818</v>
      </c>
      <c r="O125" t="s">
        <v>118</v>
      </c>
      <c r="BN125">
        <v>0</v>
      </c>
    </row>
    <row r="126" spans="1:66" x14ac:dyDescent="0.2">
      <c r="A126" t="s">
        <v>111</v>
      </c>
      <c r="B126" t="b">
        <v>1</v>
      </c>
      <c r="E126">
        <v>125</v>
      </c>
      <c r="F126" t="str">
        <f>HYPERLINK("https://portal.dnb.de/opac.htm?method=simpleSearch&amp;cqlMode=true&amp;query=idn%3D106696906X", "Portal")</f>
        <v>Portal</v>
      </c>
      <c r="G126" t="s">
        <v>112</v>
      </c>
      <c r="H126" t="s">
        <v>819</v>
      </c>
      <c r="I126" t="s">
        <v>820</v>
      </c>
      <c r="J126" t="s">
        <v>821</v>
      </c>
      <c r="K126" t="s">
        <v>821</v>
      </c>
      <c r="L126" t="s">
        <v>821</v>
      </c>
      <c r="N126" t="s">
        <v>822</v>
      </c>
      <c r="O126" t="s">
        <v>118</v>
      </c>
      <c r="BN126">
        <v>0</v>
      </c>
    </row>
    <row r="127" spans="1:66" x14ac:dyDescent="0.2">
      <c r="A127" t="s">
        <v>111</v>
      </c>
      <c r="B127" t="b">
        <v>1</v>
      </c>
      <c r="E127">
        <v>126</v>
      </c>
      <c r="F127" t="str">
        <f>HYPERLINK("https://portal.dnb.de/opac.htm?method=simpleSearch&amp;cqlMode=true&amp;query=idn%3D1066972001", "Portal")</f>
        <v>Portal</v>
      </c>
      <c r="G127" t="s">
        <v>143</v>
      </c>
      <c r="H127" t="s">
        <v>823</v>
      </c>
      <c r="I127" t="s">
        <v>824</v>
      </c>
      <c r="J127" t="s">
        <v>825</v>
      </c>
      <c r="K127" t="s">
        <v>825</v>
      </c>
      <c r="L127" t="s">
        <v>825</v>
      </c>
      <c r="N127" t="s">
        <v>826</v>
      </c>
      <c r="O127" t="s">
        <v>118</v>
      </c>
      <c r="BN127">
        <v>0</v>
      </c>
    </row>
    <row r="128" spans="1:66" x14ac:dyDescent="0.2">
      <c r="A128" t="s">
        <v>111</v>
      </c>
      <c r="B128" t="b">
        <v>1</v>
      </c>
      <c r="E128">
        <v>127</v>
      </c>
      <c r="F128" t="str">
        <f>HYPERLINK("https://portal.dnb.de/opac.htm?method=simpleSearch&amp;cqlMode=true&amp;query=idn%3D1173179100", "Portal")</f>
        <v>Portal</v>
      </c>
      <c r="G128" t="s">
        <v>470</v>
      </c>
      <c r="H128" t="s">
        <v>827</v>
      </c>
      <c r="I128" t="s">
        <v>828</v>
      </c>
      <c r="J128" t="s">
        <v>829</v>
      </c>
      <c r="K128" t="s">
        <v>829</v>
      </c>
      <c r="L128" t="s">
        <v>829</v>
      </c>
      <c r="N128" t="s">
        <v>830</v>
      </c>
      <c r="O128" t="s">
        <v>831</v>
      </c>
      <c r="BN128">
        <v>0</v>
      </c>
    </row>
    <row r="129" spans="1:66" x14ac:dyDescent="0.2">
      <c r="A129" t="s">
        <v>111</v>
      </c>
      <c r="B129" t="b">
        <v>1</v>
      </c>
      <c r="E129">
        <v>128</v>
      </c>
      <c r="F129" t="str">
        <f>HYPERLINK("https://portal.dnb.de/opac.htm?method=simpleSearch&amp;cqlMode=true&amp;query=idn%3D1066965331", "Portal")</f>
        <v>Portal</v>
      </c>
      <c r="G129" t="s">
        <v>143</v>
      </c>
      <c r="H129" t="s">
        <v>832</v>
      </c>
      <c r="I129" t="s">
        <v>833</v>
      </c>
      <c r="J129" t="s">
        <v>834</v>
      </c>
      <c r="K129" t="s">
        <v>834</v>
      </c>
      <c r="L129" t="s">
        <v>834</v>
      </c>
      <c r="N129" t="s">
        <v>348</v>
      </c>
      <c r="O129" t="s">
        <v>118</v>
      </c>
      <c r="BN129">
        <v>0</v>
      </c>
    </row>
    <row r="130" spans="1:66" x14ac:dyDescent="0.2">
      <c r="A130" t="s">
        <v>111</v>
      </c>
      <c r="B130" t="b">
        <v>1</v>
      </c>
      <c r="E130">
        <v>129</v>
      </c>
      <c r="F130" t="str">
        <f>HYPERLINK("https://portal.dnb.de/opac.htm?method=simpleSearch&amp;cqlMode=true&amp;query=idn%3D1066966184", "Portal")</f>
        <v>Portal</v>
      </c>
      <c r="G130" t="s">
        <v>112</v>
      </c>
      <c r="H130" t="s">
        <v>835</v>
      </c>
      <c r="I130" t="s">
        <v>836</v>
      </c>
      <c r="J130" t="s">
        <v>837</v>
      </c>
      <c r="K130" t="s">
        <v>837</v>
      </c>
      <c r="L130" t="s">
        <v>837</v>
      </c>
      <c r="N130" t="s">
        <v>838</v>
      </c>
      <c r="O130" t="s">
        <v>118</v>
      </c>
      <c r="BN130">
        <v>0</v>
      </c>
    </row>
    <row r="131" spans="1:66" x14ac:dyDescent="0.2">
      <c r="A131" t="s">
        <v>111</v>
      </c>
      <c r="B131" t="b">
        <v>1</v>
      </c>
      <c r="E131">
        <v>130</v>
      </c>
      <c r="F131" t="str">
        <f>HYPERLINK("https://portal.dnb.de/opac.htm?method=simpleSearch&amp;cqlMode=true&amp;query=idn%3D106696629X", "Portal")</f>
        <v>Portal</v>
      </c>
      <c r="G131" t="s">
        <v>112</v>
      </c>
      <c r="H131" t="s">
        <v>839</v>
      </c>
      <c r="I131" t="s">
        <v>840</v>
      </c>
      <c r="J131" t="s">
        <v>841</v>
      </c>
      <c r="K131" t="s">
        <v>841</v>
      </c>
      <c r="L131" t="s">
        <v>841</v>
      </c>
      <c r="N131" t="s">
        <v>842</v>
      </c>
      <c r="O131" t="s">
        <v>118</v>
      </c>
      <c r="BN131">
        <v>0</v>
      </c>
    </row>
    <row r="132" spans="1:66" x14ac:dyDescent="0.2">
      <c r="A132" t="s">
        <v>111</v>
      </c>
      <c r="B132" t="b">
        <v>1</v>
      </c>
      <c r="E132">
        <v>131</v>
      </c>
      <c r="F132" t="str">
        <f>HYPERLINK("https://portal.dnb.de/opac.htm?method=simpleSearch&amp;cqlMode=true&amp;query=idn%3D1066971617", "Portal")</f>
        <v>Portal</v>
      </c>
      <c r="G132" t="s">
        <v>112</v>
      </c>
      <c r="H132" t="s">
        <v>843</v>
      </c>
      <c r="I132" t="s">
        <v>844</v>
      </c>
      <c r="J132" t="s">
        <v>845</v>
      </c>
      <c r="K132" t="s">
        <v>845</v>
      </c>
      <c r="L132" t="s">
        <v>845</v>
      </c>
      <c r="N132" t="s">
        <v>745</v>
      </c>
      <c r="O132" t="s">
        <v>118</v>
      </c>
      <c r="BN132">
        <v>0</v>
      </c>
    </row>
    <row r="133" spans="1:66" x14ac:dyDescent="0.2">
      <c r="A133" t="s">
        <v>111</v>
      </c>
      <c r="B133" t="b">
        <v>1</v>
      </c>
      <c r="E133">
        <v>132</v>
      </c>
      <c r="F133" t="str">
        <f>HYPERLINK("https://portal.dnb.de/opac.htm?method=simpleSearch&amp;cqlMode=true&amp;query=idn%3D1066967989", "Portal")</f>
        <v>Portal</v>
      </c>
      <c r="G133" t="s">
        <v>143</v>
      </c>
      <c r="H133" t="s">
        <v>846</v>
      </c>
      <c r="I133" t="s">
        <v>847</v>
      </c>
      <c r="J133" t="s">
        <v>848</v>
      </c>
      <c r="K133" t="s">
        <v>848</v>
      </c>
      <c r="L133" t="s">
        <v>848</v>
      </c>
      <c r="N133" t="s">
        <v>780</v>
      </c>
      <c r="O133" t="s">
        <v>118</v>
      </c>
      <c r="BN133">
        <v>0</v>
      </c>
    </row>
    <row r="134" spans="1:66" x14ac:dyDescent="0.2">
      <c r="A134" t="s">
        <v>111</v>
      </c>
      <c r="B134" t="b">
        <v>1</v>
      </c>
      <c r="E134">
        <v>133</v>
      </c>
      <c r="F134" t="str">
        <f>HYPERLINK("https://portal.dnb.de/opac.htm?method=simpleSearch&amp;cqlMode=true&amp;query=idn%3D1066965447", "Portal")</f>
        <v>Portal</v>
      </c>
      <c r="G134" t="s">
        <v>143</v>
      </c>
      <c r="H134" t="s">
        <v>849</v>
      </c>
      <c r="I134" t="s">
        <v>850</v>
      </c>
      <c r="J134" t="s">
        <v>851</v>
      </c>
      <c r="K134" t="s">
        <v>851</v>
      </c>
      <c r="L134" t="s">
        <v>851</v>
      </c>
      <c r="N134" t="s">
        <v>852</v>
      </c>
      <c r="O134" t="s">
        <v>118</v>
      </c>
      <c r="BN134">
        <v>0</v>
      </c>
    </row>
    <row r="135" spans="1:66" x14ac:dyDescent="0.2">
      <c r="A135" t="s">
        <v>111</v>
      </c>
      <c r="B135" t="b">
        <v>1</v>
      </c>
      <c r="E135">
        <v>134</v>
      </c>
      <c r="F135" t="str">
        <f>HYPERLINK("https://portal.dnb.de/opac.htm?method=simpleSearch&amp;cqlMode=true&amp;query=idn%3D1066970629", "Portal")</f>
        <v>Portal</v>
      </c>
      <c r="G135" t="s">
        <v>143</v>
      </c>
      <c r="H135" t="s">
        <v>853</v>
      </c>
      <c r="I135" t="s">
        <v>854</v>
      </c>
      <c r="J135" t="s">
        <v>855</v>
      </c>
      <c r="K135" t="s">
        <v>855</v>
      </c>
      <c r="L135" t="s">
        <v>855</v>
      </c>
      <c r="N135" t="s">
        <v>856</v>
      </c>
      <c r="O135" t="s">
        <v>118</v>
      </c>
      <c r="BN135">
        <v>0</v>
      </c>
    </row>
    <row r="136" spans="1:66" x14ac:dyDescent="0.2">
      <c r="A136" t="s">
        <v>111</v>
      </c>
      <c r="B136" t="b">
        <v>1</v>
      </c>
      <c r="E136">
        <v>135</v>
      </c>
      <c r="F136" t="str">
        <f>HYPERLINK("https://portal.dnb.de/opac.htm?method=simpleSearch&amp;cqlMode=true&amp;query=idn%3D1066967164", "Portal")</f>
        <v>Portal</v>
      </c>
      <c r="G136" t="s">
        <v>143</v>
      </c>
      <c r="H136" t="s">
        <v>857</v>
      </c>
      <c r="I136" t="s">
        <v>858</v>
      </c>
      <c r="J136" t="s">
        <v>859</v>
      </c>
      <c r="K136" t="s">
        <v>859</v>
      </c>
      <c r="L136" t="s">
        <v>859</v>
      </c>
      <c r="N136" t="s">
        <v>860</v>
      </c>
      <c r="O136" t="s">
        <v>118</v>
      </c>
      <c r="BN136">
        <v>0</v>
      </c>
    </row>
    <row r="137" spans="1:66" x14ac:dyDescent="0.2">
      <c r="A137" t="s">
        <v>111</v>
      </c>
      <c r="B137" t="b">
        <v>1</v>
      </c>
      <c r="E137">
        <v>136</v>
      </c>
      <c r="F137" t="str">
        <f>HYPERLINK("https://portal.dnb.de/opac.htm?method=simpleSearch&amp;cqlMode=true&amp;query=idn%3D1072264366", "Portal")</f>
        <v>Portal</v>
      </c>
      <c r="G137" t="s">
        <v>112</v>
      </c>
      <c r="H137" t="s">
        <v>861</v>
      </c>
      <c r="I137" t="s">
        <v>862</v>
      </c>
      <c r="J137" t="s">
        <v>863</v>
      </c>
      <c r="K137" t="s">
        <v>863</v>
      </c>
      <c r="L137" t="s">
        <v>863</v>
      </c>
      <c r="N137" t="s">
        <v>864</v>
      </c>
      <c r="O137" t="s">
        <v>118</v>
      </c>
      <c r="BN137">
        <v>0</v>
      </c>
    </row>
    <row r="138" spans="1:66" x14ac:dyDescent="0.2">
      <c r="A138" t="s">
        <v>111</v>
      </c>
      <c r="B138" t="b">
        <v>1</v>
      </c>
      <c r="E138">
        <v>138</v>
      </c>
      <c r="F138" t="str">
        <f>HYPERLINK("https://portal.dnb.de/opac.htm?method=simpleSearch&amp;cqlMode=true&amp;query=idn%3D1066967105", "Portal")</f>
        <v>Portal</v>
      </c>
      <c r="G138" t="s">
        <v>112</v>
      </c>
      <c r="H138" t="s">
        <v>865</v>
      </c>
      <c r="I138" t="s">
        <v>866</v>
      </c>
      <c r="J138" t="s">
        <v>867</v>
      </c>
      <c r="K138" t="s">
        <v>867</v>
      </c>
      <c r="L138" t="s">
        <v>867</v>
      </c>
      <c r="N138" t="s">
        <v>868</v>
      </c>
      <c r="O138" t="s">
        <v>118</v>
      </c>
      <c r="BN138">
        <v>0</v>
      </c>
    </row>
    <row r="139" spans="1:66" x14ac:dyDescent="0.2">
      <c r="A139" t="s">
        <v>111</v>
      </c>
      <c r="B139" t="b">
        <v>1</v>
      </c>
      <c r="E139">
        <v>140</v>
      </c>
      <c r="F139" t="str">
        <f>HYPERLINK("https://portal.dnb.de/opac.htm?method=simpleSearch&amp;cqlMode=true&amp;query=idn%3D1066965153", "Portal")</f>
        <v>Portal</v>
      </c>
      <c r="G139" t="s">
        <v>143</v>
      </c>
      <c r="H139" t="s">
        <v>869</v>
      </c>
      <c r="I139" t="s">
        <v>870</v>
      </c>
      <c r="J139" t="s">
        <v>871</v>
      </c>
      <c r="K139" t="s">
        <v>871</v>
      </c>
      <c r="L139" t="s">
        <v>871</v>
      </c>
      <c r="N139" t="s">
        <v>872</v>
      </c>
      <c r="O139" t="s">
        <v>118</v>
      </c>
      <c r="BN139">
        <v>0</v>
      </c>
    </row>
    <row r="140" spans="1:66" x14ac:dyDescent="0.2">
      <c r="A140" t="s">
        <v>111</v>
      </c>
      <c r="B140" t="b">
        <v>1</v>
      </c>
      <c r="E140">
        <v>141</v>
      </c>
      <c r="F140" t="str">
        <f>HYPERLINK("https://portal.dnb.de/opac.htm?method=simpleSearch&amp;cqlMode=true&amp;query=idn%3D106696713X", "Portal")</f>
        <v>Portal</v>
      </c>
      <c r="G140" t="s">
        <v>112</v>
      </c>
      <c r="H140" t="s">
        <v>873</v>
      </c>
      <c r="I140" t="s">
        <v>874</v>
      </c>
      <c r="J140" t="s">
        <v>875</v>
      </c>
      <c r="K140" t="s">
        <v>875</v>
      </c>
      <c r="L140" t="s">
        <v>875</v>
      </c>
      <c r="N140" t="s">
        <v>357</v>
      </c>
      <c r="O140" t="s">
        <v>118</v>
      </c>
      <c r="BN140">
        <v>0</v>
      </c>
    </row>
    <row r="141" spans="1:66" x14ac:dyDescent="0.2">
      <c r="A141" t="s">
        <v>111</v>
      </c>
      <c r="B141" t="b">
        <v>1</v>
      </c>
      <c r="E141">
        <v>142</v>
      </c>
      <c r="F141" t="str">
        <f>HYPERLINK("https://portal.dnb.de/opac.htm?method=simpleSearch&amp;cqlMode=true&amp;query=idn%3D1066968519", "Portal")</f>
        <v>Portal</v>
      </c>
      <c r="G141" t="s">
        <v>143</v>
      </c>
      <c r="H141" t="s">
        <v>876</v>
      </c>
      <c r="I141" t="s">
        <v>877</v>
      </c>
      <c r="J141" t="s">
        <v>878</v>
      </c>
      <c r="K141" t="s">
        <v>878</v>
      </c>
      <c r="L141" t="s">
        <v>878</v>
      </c>
      <c r="N141" t="s">
        <v>879</v>
      </c>
      <c r="O141" t="s">
        <v>118</v>
      </c>
      <c r="BN141">
        <v>0</v>
      </c>
    </row>
    <row r="142" spans="1:66" x14ac:dyDescent="0.2">
      <c r="A142" t="s">
        <v>111</v>
      </c>
      <c r="B142" t="b">
        <v>1</v>
      </c>
      <c r="E142">
        <v>143</v>
      </c>
      <c r="F142" t="str">
        <f>HYPERLINK("https://portal.dnb.de/opac.htm?method=simpleSearch&amp;cqlMode=true&amp;query=idn%3D1066967512", "Portal")</f>
        <v>Portal</v>
      </c>
      <c r="G142" t="s">
        <v>112</v>
      </c>
      <c r="H142" t="s">
        <v>880</v>
      </c>
      <c r="I142" t="s">
        <v>881</v>
      </c>
      <c r="J142" t="s">
        <v>882</v>
      </c>
      <c r="K142" t="s">
        <v>882</v>
      </c>
      <c r="L142" t="s">
        <v>882</v>
      </c>
      <c r="N142" t="s">
        <v>883</v>
      </c>
      <c r="O142" t="s">
        <v>118</v>
      </c>
      <c r="BN142">
        <v>0</v>
      </c>
    </row>
    <row r="143" spans="1:66" x14ac:dyDescent="0.2">
      <c r="A143" t="s">
        <v>111</v>
      </c>
      <c r="B143" t="b">
        <v>1</v>
      </c>
      <c r="E143">
        <v>144</v>
      </c>
      <c r="F143" t="str">
        <f>HYPERLINK("https://portal.dnb.de/opac.htm?method=simpleSearch&amp;cqlMode=true&amp;query=idn%3D1066957290", "Portal")</f>
        <v>Portal</v>
      </c>
      <c r="G143" t="s">
        <v>143</v>
      </c>
      <c r="H143" t="s">
        <v>884</v>
      </c>
      <c r="I143" t="s">
        <v>461</v>
      </c>
      <c r="J143" t="s">
        <v>885</v>
      </c>
      <c r="K143" t="s">
        <v>885</v>
      </c>
      <c r="L143" t="s">
        <v>885</v>
      </c>
      <c r="N143" t="s">
        <v>464</v>
      </c>
      <c r="O143" t="s">
        <v>118</v>
      </c>
      <c r="BN143">
        <v>0</v>
      </c>
    </row>
    <row r="144" spans="1:66" x14ac:dyDescent="0.2">
      <c r="A144" t="s">
        <v>111</v>
      </c>
      <c r="B144" t="b">
        <v>1</v>
      </c>
      <c r="E144">
        <v>145</v>
      </c>
      <c r="F144" t="str">
        <f>HYPERLINK("https://portal.dnb.de/opac.htm?method=simpleSearch&amp;cqlMode=true&amp;query=idn%3D1066966389", "Portal")</f>
        <v>Portal</v>
      </c>
      <c r="G144" t="s">
        <v>112</v>
      </c>
      <c r="H144" t="s">
        <v>886</v>
      </c>
      <c r="I144" t="s">
        <v>887</v>
      </c>
      <c r="J144" t="s">
        <v>888</v>
      </c>
      <c r="K144" t="s">
        <v>888</v>
      </c>
      <c r="L144" t="s">
        <v>888</v>
      </c>
      <c r="N144" t="s">
        <v>889</v>
      </c>
      <c r="O144" t="s">
        <v>118</v>
      </c>
      <c r="BN144">
        <v>0</v>
      </c>
    </row>
    <row r="145" spans="1:66" x14ac:dyDescent="0.2">
      <c r="A145" t="s">
        <v>111</v>
      </c>
      <c r="B145" t="b">
        <v>1</v>
      </c>
      <c r="E145">
        <v>146</v>
      </c>
      <c r="F145" t="str">
        <f>HYPERLINK("https://portal.dnb.de/opac.htm?method=simpleSearch&amp;cqlMode=true&amp;query=idn%3D1066968802", "Portal")</f>
        <v>Portal</v>
      </c>
      <c r="G145" t="s">
        <v>112</v>
      </c>
      <c r="H145" t="s">
        <v>890</v>
      </c>
      <c r="I145" t="s">
        <v>891</v>
      </c>
      <c r="J145" t="s">
        <v>892</v>
      </c>
      <c r="K145" t="s">
        <v>892</v>
      </c>
      <c r="L145" t="s">
        <v>892</v>
      </c>
      <c r="N145" t="s">
        <v>893</v>
      </c>
      <c r="O145" t="s">
        <v>118</v>
      </c>
      <c r="BN145">
        <v>0</v>
      </c>
    </row>
    <row r="146" spans="1:66" x14ac:dyDescent="0.2">
      <c r="A146" t="s">
        <v>111</v>
      </c>
      <c r="B146" t="b">
        <v>1</v>
      </c>
      <c r="E146">
        <v>147</v>
      </c>
      <c r="F146" t="str">
        <f>HYPERLINK("https://portal.dnb.de/opac.htm?method=simpleSearch&amp;cqlMode=true&amp;query=idn%3D1066972699", "Portal")</f>
        <v>Portal</v>
      </c>
      <c r="G146" t="s">
        <v>112</v>
      </c>
      <c r="H146" t="s">
        <v>894</v>
      </c>
      <c r="I146" t="s">
        <v>895</v>
      </c>
      <c r="J146" t="s">
        <v>896</v>
      </c>
      <c r="K146" t="s">
        <v>896</v>
      </c>
      <c r="L146" t="s">
        <v>896</v>
      </c>
      <c r="N146" t="s">
        <v>897</v>
      </c>
      <c r="O146" t="s">
        <v>118</v>
      </c>
      <c r="BN146">
        <v>0</v>
      </c>
    </row>
    <row r="147" spans="1:66" x14ac:dyDescent="0.2">
      <c r="A147" t="s">
        <v>111</v>
      </c>
      <c r="B147" t="b">
        <v>1</v>
      </c>
      <c r="E147">
        <v>148</v>
      </c>
      <c r="F147" t="str">
        <f>HYPERLINK("https://portal.dnb.de/opac.htm?method=simpleSearch&amp;cqlMode=true&amp;query=idn%3D1173452044", "Portal")</f>
        <v>Portal</v>
      </c>
      <c r="G147" t="s">
        <v>470</v>
      </c>
      <c r="H147" t="s">
        <v>898</v>
      </c>
      <c r="I147" t="s">
        <v>899</v>
      </c>
      <c r="J147" t="s">
        <v>900</v>
      </c>
      <c r="K147" t="s">
        <v>900</v>
      </c>
      <c r="L147" t="s">
        <v>900</v>
      </c>
      <c r="N147" t="s">
        <v>901</v>
      </c>
      <c r="O147" t="s">
        <v>902</v>
      </c>
      <c r="BN147">
        <v>0</v>
      </c>
    </row>
    <row r="148" spans="1:66" x14ac:dyDescent="0.2">
      <c r="A148" t="s">
        <v>111</v>
      </c>
      <c r="B148" t="b">
        <v>1</v>
      </c>
      <c r="E148">
        <v>149</v>
      </c>
      <c r="F148" t="str">
        <f>HYPERLINK("https://portal.dnb.de/opac.htm?method=simpleSearch&amp;cqlMode=true&amp;query=idn%3D106697151X", "Portal")</f>
        <v>Portal</v>
      </c>
      <c r="G148" t="s">
        <v>143</v>
      </c>
      <c r="H148" t="s">
        <v>903</v>
      </c>
      <c r="I148" t="s">
        <v>904</v>
      </c>
      <c r="J148" t="s">
        <v>905</v>
      </c>
      <c r="K148" t="s">
        <v>905</v>
      </c>
      <c r="L148" t="s">
        <v>905</v>
      </c>
      <c r="N148" t="s">
        <v>455</v>
      </c>
      <c r="O148" t="s">
        <v>118</v>
      </c>
      <c r="BN148">
        <v>0</v>
      </c>
    </row>
    <row r="149" spans="1:66" x14ac:dyDescent="0.2">
      <c r="A149" t="s">
        <v>111</v>
      </c>
      <c r="B149" t="b">
        <v>1</v>
      </c>
      <c r="E149">
        <v>150</v>
      </c>
      <c r="F149" t="str">
        <f>HYPERLINK("https://portal.dnb.de/opac.htm?method=simpleSearch&amp;cqlMode=true&amp;query=idn%3D1066965900", "Portal")</f>
        <v>Portal</v>
      </c>
      <c r="G149" t="s">
        <v>143</v>
      </c>
      <c r="H149" t="s">
        <v>906</v>
      </c>
      <c r="I149" t="s">
        <v>907</v>
      </c>
      <c r="J149" t="s">
        <v>908</v>
      </c>
      <c r="K149" t="s">
        <v>908</v>
      </c>
      <c r="L149" t="s">
        <v>908</v>
      </c>
      <c r="N149" t="s">
        <v>909</v>
      </c>
      <c r="O149" t="s">
        <v>118</v>
      </c>
      <c r="BN149">
        <v>0</v>
      </c>
    </row>
    <row r="150" spans="1:66" x14ac:dyDescent="0.2">
      <c r="A150" t="s">
        <v>111</v>
      </c>
      <c r="B150" t="b">
        <v>1</v>
      </c>
      <c r="E150">
        <v>151</v>
      </c>
      <c r="F150" t="str">
        <f>HYPERLINK("https://portal.dnb.de/opac.htm?method=simpleSearch&amp;cqlMode=true&amp;query=idn%3D1066965978", "Portal")</f>
        <v>Portal</v>
      </c>
      <c r="G150" t="s">
        <v>143</v>
      </c>
      <c r="H150" t="s">
        <v>910</v>
      </c>
      <c r="I150" t="s">
        <v>911</v>
      </c>
      <c r="J150" t="s">
        <v>912</v>
      </c>
      <c r="K150" t="s">
        <v>912</v>
      </c>
      <c r="L150" t="s">
        <v>912</v>
      </c>
      <c r="N150" t="s">
        <v>307</v>
      </c>
      <c r="O150" t="s">
        <v>118</v>
      </c>
      <c r="BN150">
        <v>0</v>
      </c>
    </row>
    <row r="151" spans="1:66" x14ac:dyDescent="0.2">
      <c r="A151" t="s">
        <v>111</v>
      </c>
      <c r="B151" t="b">
        <v>1</v>
      </c>
      <c r="E151">
        <v>152</v>
      </c>
      <c r="F151" t="str">
        <f>HYPERLINK("https://portal.dnb.de/opac.htm?method=simpleSearch&amp;cqlMode=true&amp;query=idn%3D1066972192", "Portal")</f>
        <v>Portal</v>
      </c>
      <c r="G151" t="s">
        <v>112</v>
      </c>
      <c r="H151" t="s">
        <v>913</v>
      </c>
      <c r="I151" t="s">
        <v>914</v>
      </c>
      <c r="J151" t="s">
        <v>915</v>
      </c>
      <c r="K151" t="s">
        <v>915</v>
      </c>
      <c r="L151" t="s">
        <v>915</v>
      </c>
      <c r="N151" t="s">
        <v>916</v>
      </c>
      <c r="O151" t="s">
        <v>118</v>
      </c>
      <c r="BN151">
        <v>0</v>
      </c>
    </row>
    <row r="152" spans="1:66" x14ac:dyDescent="0.2">
      <c r="A152" t="s">
        <v>111</v>
      </c>
      <c r="B152" t="b">
        <v>1</v>
      </c>
      <c r="E152">
        <v>153</v>
      </c>
      <c r="F152" t="str">
        <f>HYPERLINK("https://portal.dnb.de/opac.htm?method=simpleSearch&amp;cqlMode=true&amp;query=idn%3D1066968799", "Portal")</f>
        <v>Portal</v>
      </c>
      <c r="G152" t="s">
        <v>112</v>
      </c>
      <c r="H152" t="s">
        <v>917</v>
      </c>
      <c r="I152" t="s">
        <v>918</v>
      </c>
      <c r="J152" t="s">
        <v>919</v>
      </c>
      <c r="K152" t="s">
        <v>919</v>
      </c>
      <c r="L152" t="s">
        <v>919</v>
      </c>
      <c r="N152" t="s">
        <v>893</v>
      </c>
      <c r="O152" t="s">
        <v>118</v>
      </c>
      <c r="BN152">
        <v>0</v>
      </c>
    </row>
    <row r="153" spans="1:66" x14ac:dyDescent="0.2">
      <c r="A153" t="s">
        <v>111</v>
      </c>
      <c r="B153" t="b">
        <v>1</v>
      </c>
      <c r="E153">
        <v>154</v>
      </c>
      <c r="F153" t="str">
        <f>HYPERLINK("https://portal.dnb.de/opac.htm?method=simpleSearch&amp;cqlMode=true&amp;query=idn%3D1066967628", "Portal")</f>
        <v>Portal</v>
      </c>
      <c r="G153" t="s">
        <v>112</v>
      </c>
      <c r="H153" t="s">
        <v>920</v>
      </c>
      <c r="I153" t="s">
        <v>921</v>
      </c>
      <c r="J153" t="s">
        <v>922</v>
      </c>
      <c r="K153" t="s">
        <v>922</v>
      </c>
      <c r="L153" t="s">
        <v>922</v>
      </c>
      <c r="N153" t="s">
        <v>923</v>
      </c>
      <c r="O153" t="s">
        <v>118</v>
      </c>
      <c r="BN153">
        <v>0</v>
      </c>
    </row>
    <row r="154" spans="1:66" x14ac:dyDescent="0.2">
      <c r="A154" t="s">
        <v>111</v>
      </c>
      <c r="B154" t="b">
        <v>1</v>
      </c>
      <c r="E154">
        <v>155</v>
      </c>
      <c r="F154" t="str">
        <f>HYPERLINK("https://portal.dnb.de/opac.htm?method=simpleSearch&amp;cqlMode=true&amp;query=idn%3D1066972664", "Portal")</f>
        <v>Portal</v>
      </c>
      <c r="G154" t="s">
        <v>143</v>
      </c>
      <c r="H154" t="s">
        <v>924</v>
      </c>
      <c r="I154" t="s">
        <v>925</v>
      </c>
      <c r="J154" t="s">
        <v>926</v>
      </c>
      <c r="K154" t="s">
        <v>926</v>
      </c>
      <c r="L154" t="s">
        <v>926</v>
      </c>
      <c r="N154" t="s">
        <v>927</v>
      </c>
      <c r="O154" t="s">
        <v>118</v>
      </c>
      <c r="BN154">
        <v>0</v>
      </c>
    </row>
    <row r="155" spans="1:66" x14ac:dyDescent="0.2">
      <c r="A155" t="s">
        <v>111</v>
      </c>
      <c r="B155" t="b">
        <v>1</v>
      </c>
      <c r="E155">
        <v>156</v>
      </c>
      <c r="F155" t="str">
        <f>HYPERLINK("https://portal.dnb.de/opac.htm?method=simpleSearch&amp;cqlMode=true&amp;query=idn%3D1066968012", "Portal")</f>
        <v>Portal</v>
      </c>
      <c r="G155" t="s">
        <v>143</v>
      </c>
      <c r="H155" t="s">
        <v>928</v>
      </c>
      <c r="I155" t="s">
        <v>929</v>
      </c>
      <c r="J155" t="s">
        <v>930</v>
      </c>
      <c r="K155" t="s">
        <v>930</v>
      </c>
      <c r="L155" t="s">
        <v>930</v>
      </c>
      <c r="N155" t="s">
        <v>496</v>
      </c>
      <c r="O155" t="s">
        <v>118</v>
      </c>
      <c r="BN155">
        <v>0</v>
      </c>
    </row>
    <row r="156" spans="1:66" x14ac:dyDescent="0.2">
      <c r="A156" t="s">
        <v>111</v>
      </c>
      <c r="B156" t="b">
        <v>1</v>
      </c>
      <c r="E156">
        <v>157</v>
      </c>
      <c r="F156" t="str">
        <f>HYPERLINK("https://portal.dnb.de/opac.htm?method=simpleSearch&amp;cqlMode=true&amp;query=idn%3D1066966567", "Portal")</f>
        <v>Portal</v>
      </c>
      <c r="G156" t="s">
        <v>112</v>
      </c>
      <c r="H156" t="s">
        <v>931</v>
      </c>
      <c r="I156" t="s">
        <v>732</v>
      </c>
      <c r="J156" t="s">
        <v>932</v>
      </c>
      <c r="K156" t="s">
        <v>932</v>
      </c>
      <c r="L156" t="s">
        <v>932</v>
      </c>
      <c r="N156" t="s">
        <v>644</v>
      </c>
      <c r="O156" t="s">
        <v>118</v>
      </c>
      <c r="BN156">
        <v>0</v>
      </c>
    </row>
    <row r="157" spans="1:66" x14ac:dyDescent="0.2">
      <c r="A157" t="s">
        <v>111</v>
      </c>
      <c r="B157" t="b">
        <v>0</v>
      </c>
      <c r="E157">
        <v>158</v>
      </c>
      <c r="F157" t="str">
        <f>HYPERLINK("https://portal.dnb.de/opac.htm?method=simpleSearch&amp;cqlMode=true&amp;query=idn%3D1066967482", "Portal")</f>
        <v>Portal</v>
      </c>
      <c r="G157" t="s">
        <v>143</v>
      </c>
      <c r="H157" t="s">
        <v>933</v>
      </c>
      <c r="I157" t="s">
        <v>934</v>
      </c>
      <c r="J157" t="s">
        <v>935</v>
      </c>
      <c r="L157" t="s">
        <v>935</v>
      </c>
      <c r="BN157">
        <v>0</v>
      </c>
    </row>
    <row r="158" spans="1:66" x14ac:dyDescent="0.2">
      <c r="A158" t="s">
        <v>111</v>
      </c>
      <c r="B158" t="b">
        <v>1</v>
      </c>
      <c r="E158">
        <v>159</v>
      </c>
      <c r="F158" t="str">
        <f>HYPERLINK("https://portal.dnb.de/opac.htm?method=simpleSearch&amp;cqlMode=true&amp;query=idn%3D1066972605", "Portal")</f>
        <v>Portal</v>
      </c>
      <c r="G158" t="s">
        <v>143</v>
      </c>
      <c r="H158" t="s">
        <v>936</v>
      </c>
      <c r="I158" t="s">
        <v>758</v>
      </c>
      <c r="J158" t="s">
        <v>937</v>
      </c>
      <c r="K158" t="s">
        <v>937</v>
      </c>
      <c r="L158" t="s">
        <v>937</v>
      </c>
      <c r="N158" t="s">
        <v>760</v>
      </c>
      <c r="O158" t="s">
        <v>118</v>
      </c>
      <c r="BN158">
        <v>0</v>
      </c>
    </row>
    <row r="159" spans="1:66" x14ac:dyDescent="0.2">
      <c r="A159" t="s">
        <v>111</v>
      </c>
      <c r="B159" t="b">
        <v>1</v>
      </c>
      <c r="E159">
        <v>160</v>
      </c>
      <c r="F159" t="str">
        <f>HYPERLINK("https://portal.dnb.de/opac.htm?method=simpleSearch&amp;cqlMode=true&amp;query=idn%3D1066968586", "Portal")</f>
        <v>Portal</v>
      </c>
      <c r="G159" t="s">
        <v>112</v>
      </c>
      <c r="H159" t="s">
        <v>938</v>
      </c>
      <c r="I159" t="s">
        <v>939</v>
      </c>
      <c r="J159" t="s">
        <v>940</v>
      </c>
      <c r="K159" t="s">
        <v>940</v>
      </c>
      <c r="L159" t="s">
        <v>940</v>
      </c>
      <c r="N159" t="s">
        <v>516</v>
      </c>
      <c r="O159" t="s">
        <v>118</v>
      </c>
      <c r="BN159">
        <v>0</v>
      </c>
    </row>
    <row r="160" spans="1:66" x14ac:dyDescent="0.2">
      <c r="A160" t="s">
        <v>111</v>
      </c>
      <c r="B160" t="b">
        <v>1</v>
      </c>
      <c r="E160">
        <v>161</v>
      </c>
      <c r="F160" t="str">
        <f>HYPERLINK("https://portal.dnb.de/opac.htm?method=simpleSearch&amp;cqlMode=true&amp;query=idn%3D1066969272", "Portal")</f>
        <v>Portal</v>
      </c>
      <c r="G160" t="s">
        <v>143</v>
      </c>
      <c r="H160" t="s">
        <v>941</v>
      </c>
      <c r="I160" t="s">
        <v>942</v>
      </c>
      <c r="J160" t="s">
        <v>943</v>
      </c>
      <c r="K160" t="s">
        <v>943</v>
      </c>
      <c r="L160" t="s">
        <v>943</v>
      </c>
      <c r="N160" t="s">
        <v>944</v>
      </c>
      <c r="O160" t="s">
        <v>118</v>
      </c>
      <c r="BN160">
        <v>0</v>
      </c>
    </row>
    <row r="161" spans="1:66" x14ac:dyDescent="0.2">
      <c r="A161" t="s">
        <v>111</v>
      </c>
      <c r="B161" t="b">
        <v>1</v>
      </c>
      <c r="E161">
        <v>162</v>
      </c>
      <c r="F161" t="str">
        <f>HYPERLINK("https://portal.dnb.de/opac.htm?method=simpleSearch&amp;cqlMode=true&amp;query=idn%3D1072264676", "Portal")</f>
        <v>Portal</v>
      </c>
      <c r="G161" t="s">
        <v>112</v>
      </c>
      <c r="H161" t="s">
        <v>945</v>
      </c>
      <c r="I161" t="s">
        <v>946</v>
      </c>
      <c r="J161" t="s">
        <v>947</v>
      </c>
      <c r="K161" t="s">
        <v>947</v>
      </c>
      <c r="L161" t="s">
        <v>948</v>
      </c>
      <c r="N161" t="s">
        <v>949</v>
      </c>
      <c r="O161" t="s">
        <v>118</v>
      </c>
      <c r="BN161">
        <v>0</v>
      </c>
    </row>
    <row r="162" spans="1:66" x14ac:dyDescent="0.2">
      <c r="A162" t="s">
        <v>111</v>
      </c>
      <c r="B162" t="b">
        <v>1</v>
      </c>
      <c r="E162">
        <v>163</v>
      </c>
      <c r="F162" t="str">
        <f>HYPERLINK("https://portal.dnb.de/opac.htm?method=simpleSearch&amp;cqlMode=true&amp;query=idn%3D1066970270", "Portal")</f>
        <v>Portal</v>
      </c>
      <c r="G162" t="s">
        <v>143</v>
      </c>
      <c r="H162" t="s">
        <v>950</v>
      </c>
      <c r="I162" t="s">
        <v>951</v>
      </c>
      <c r="J162" t="s">
        <v>952</v>
      </c>
      <c r="K162" t="s">
        <v>952</v>
      </c>
      <c r="L162" t="s">
        <v>952</v>
      </c>
      <c r="N162" t="s">
        <v>814</v>
      </c>
      <c r="O162" t="s">
        <v>118</v>
      </c>
      <c r="BN162">
        <v>0</v>
      </c>
    </row>
    <row r="163" spans="1:66" x14ac:dyDescent="0.2">
      <c r="A163" t="s">
        <v>111</v>
      </c>
      <c r="B163" t="b">
        <v>1</v>
      </c>
      <c r="E163">
        <v>164</v>
      </c>
      <c r="F163" t="str">
        <f>HYPERLINK("https://portal.dnb.de/opac.htm?method=simpleSearch&amp;cqlMode=true&amp;query=idn%3D1066969728", "Portal")</f>
        <v>Portal</v>
      </c>
      <c r="G163" t="s">
        <v>143</v>
      </c>
      <c r="H163" t="s">
        <v>953</v>
      </c>
      <c r="I163" t="s">
        <v>954</v>
      </c>
      <c r="J163" t="s">
        <v>955</v>
      </c>
      <c r="K163" t="s">
        <v>955</v>
      </c>
      <c r="L163" t="s">
        <v>955</v>
      </c>
      <c r="N163" t="s">
        <v>718</v>
      </c>
      <c r="O163" t="s">
        <v>118</v>
      </c>
      <c r="BN163">
        <v>0</v>
      </c>
    </row>
    <row r="164" spans="1:66" x14ac:dyDescent="0.2">
      <c r="A164" t="s">
        <v>111</v>
      </c>
      <c r="B164" t="b">
        <v>1</v>
      </c>
      <c r="E164">
        <v>165</v>
      </c>
      <c r="F164" t="str">
        <f>HYPERLINK("https://portal.dnb.de/opac.htm?method=simpleSearch&amp;cqlMode=true&amp;query=idn%3D1066970300", "Portal")</f>
        <v>Portal</v>
      </c>
      <c r="G164" t="s">
        <v>143</v>
      </c>
      <c r="H164" t="s">
        <v>956</v>
      </c>
      <c r="I164" t="s">
        <v>957</v>
      </c>
      <c r="J164" t="s">
        <v>958</v>
      </c>
      <c r="K164" t="s">
        <v>958</v>
      </c>
      <c r="L164" t="s">
        <v>958</v>
      </c>
      <c r="N164" t="s">
        <v>814</v>
      </c>
      <c r="O164" t="s">
        <v>118</v>
      </c>
      <c r="BN164">
        <v>0</v>
      </c>
    </row>
    <row r="165" spans="1:66" x14ac:dyDescent="0.2">
      <c r="A165" t="s">
        <v>111</v>
      </c>
      <c r="B165" t="b">
        <v>1</v>
      </c>
      <c r="E165">
        <v>166</v>
      </c>
      <c r="F165" t="str">
        <f>HYPERLINK("https://portal.dnb.de/opac.htm?method=simpleSearch&amp;cqlMode=true&amp;query=idn%3D1066965838", "Portal")</f>
        <v>Portal</v>
      </c>
      <c r="G165" t="s">
        <v>143</v>
      </c>
      <c r="H165" t="s">
        <v>959</v>
      </c>
      <c r="I165" t="s">
        <v>960</v>
      </c>
      <c r="J165" t="s">
        <v>961</v>
      </c>
      <c r="K165" t="s">
        <v>961</v>
      </c>
      <c r="L165" t="s">
        <v>961</v>
      </c>
      <c r="N165" t="s">
        <v>962</v>
      </c>
      <c r="O165" t="s">
        <v>118</v>
      </c>
      <c r="BN165">
        <v>0</v>
      </c>
    </row>
    <row r="166" spans="1:66" x14ac:dyDescent="0.2">
      <c r="A166" t="s">
        <v>111</v>
      </c>
      <c r="B166" t="b">
        <v>1</v>
      </c>
      <c r="E166">
        <v>167</v>
      </c>
      <c r="F166" t="str">
        <f>HYPERLINK("https://portal.dnb.de/opac.htm?method=simpleSearch&amp;cqlMode=true&amp;query=idn%3D1066968608", "Portal")</f>
        <v>Portal</v>
      </c>
      <c r="G166" t="s">
        <v>112</v>
      </c>
      <c r="H166" t="s">
        <v>963</v>
      </c>
      <c r="I166" t="s">
        <v>964</v>
      </c>
      <c r="J166" t="s">
        <v>965</v>
      </c>
      <c r="K166" t="s">
        <v>965</v>
      </c>
      <c r="L166" t="s">
        <v>965</v>
      </c>
      <c r="N166" t="s">
        <v>516</v>
      </c>
      <c r="O166" t="s">
        <v>118</v>
      </c>
      <c r="BN166">
        <v>0</v>
      </c>
    </row>
    <row r="167" spans="1:66" x14ac:dyDescent="0.2">
      <c r="A167" t="s">
        <v>111</v>
      </c>
      <c r="B167" t="b">
        <v>1</v>
      </c>
      <c r="E167">
        <v>168</v>
      </c>
      <c r="F167" t="str">
        <f>HYPERLINK("https://portal.dnb.de/opac.htm?method=simpleSearch&amp;cqlMode=true&amp;query=idn%3D106697084X", "Portal")</f>
        <v>Portal</v>
      </c>
      <c r="G167" t="s">
        <v>112</v>
      </c>
      <c r="H167" t="s">
        <v>966</v>
      </c>
      <c r="I167" t="s">
        <v>967</v>
      </c>
      <c r="J167" t="s">
        <v>968</v>
      </c>
      <c r="K167" t="s">
        <v>968</v>
      </c>
      <c r="L167" t="s">
        <v>968</v>
      </c>
      <c r="N167" t="s">
        <v>969</v>
      </c>
      <c r="O167" t="s">
        <v>118</v>
      </c>
      <c r="BN167">
        <v>0</v>
      </c>
    </row>
    <row r="168" spans="1:66" x14ac:dyDescent="0.2">
      <c r="A168" t="s">
        <v>111</v>
      </c>
      <c r="B168" t="b">
        <v>1</v>
      </c>
      <c r="E168">
        <v>169</v>
      </c>
      <c r="F168" t="str">
        <f>HYPERLINK("https://portal.dnb.de/opac.htm?method=simpleSearch&amp;cqlMode=true&amp;query=idn%3D1066971161", "Portal")</f>
        <v>Portal</v>
      </c>
      <c r="G168" t="s">
        <v>143</v>
      </c>
      <c r="H168" t="s">
        <v>970</v>
      </c>
      <c r="I168" t="s">
        <v>971</v>
      </c>
      <c r="J168" t="s">
        <v>972</v>
      </c>
      <c r="K168" t="s">
        <v>972</v>
      </c>
      <c r="L168" t="s">
        <v>972</v>
      </c>
      <c r="N168" t="s">
        <v>973</v>
      </c>
      <c r="O168" t="s">
        <v>118</v>
      </c>
      <c r="BN168">
        <v>0</v>
      </c>
    </row>
    <row r="169" spans="1:66" x14ac:dyDescent="0.2">
      <c r="A169" t="s">
        <v>111</v>
      </c>
      <c r="B169" t="b">
        <v>1</v>
      </c>
      <c r="E169">
        <v>170</v>
      </c>
      <c r="F169" t="str">
        <f>HYPERLINK("https://portal.dnb.de/opac.htm?method=simpleSearch&amp;cqlMode=true&amp;query=idn%3D1066968780", "Portal")</f>
        <v>Portal</v>
      </c>
      <c r="G169" t="s">
        <v>112</v>
      </c>
      <c r="H169" t="s">
        <v>974</v>
      </c>
      <c r="I169" t="s">
        <v>975</v>
      </c>
      <c r="J169" t="s">
        <v>976</v>
      </c>
      <c r="K169" t="s">
        <v>976</v>
      </c>
      <c r="L169" t="s">
        <v>976</v>
      </c>
      <c r="N169" t="s">
        <v>893</v>
      </c>
      <c r="O169" t="s">
        <v>118</v>
      </c>
      <c r="BN169">
        <v>0</v>
      </c>
    </row>
    <row r="170" spans="1:66" x14ac:dyDescent="0.2">
      <c r="A170" t="s">
        <v>111</v>
      </c>
      <c r="B170" t="b">
        <v>1</v>
      </c>
      <c r="E170">
        <v>171</v>
      </c>
      <c r="F170" t="str">
        <f>HYPERLINK("https://portal.dnb.de/opac.htm?method=simpleSearch&amp;cqlMode=true&amp;query=idn%3D1066965374", "Portal")</f>
        <v>Portal</v>
      </c>
      <c r="G170" t="s">
        <v>112</v>
      </c>
      <c r="H170" t="s">
        <v>977</v>
      </c>
      <c r="I170" t="s">
        <v>978</v>
      </c>
      <c r="J170" t="s">
        <v>979</v>
      </c>
      <c r="K170" t="s">
        <v>979</v>
      </c>
      <c r="L170" t="s">
        <v>979</v>
      </c>
      <c r="N170" t="s">
        <v>749</v>
      </c>
      <c r="O170" t="s">
        <v>118</v>
      </c>
      <c r="BN170">
        <v>0</v>
      </c>
    </row>
    <row r="171" spans="1:66" x14ac:dyDescent="0.2">
      <c r="A171" t="s">
        <v>111</v>
      </c>
      <c r="B171" t="b">
        <v>1</v>
      </c>
      <c r="E171">
        <v>172</v>
      </c>
      <c r="F171" t="str">
        <f>HYPERLINK("https://portal.dnb.de/opac.htm?method=simpleSearch&amp;cqlMode=true&amp;query=idn%3D1066970211", "Portal")</f>
        <v>Portal</v>
      </c>
      <c r="G171" t="s">
        <v>112</v>
      </c>
      <c r="H171" t="s">
        <v>980</v>
      </c>
      <c r="I171" t="s">
        <v>981</v>
      </c>
      <c r="J171" t="s">
        <v>982</v>
      </c>
      <c r="K171" t="s">
        <v>982</v>
      </c>
      <c r="L171" t="s">
        <v>982</v>
      </c>
      <c r="N171" t="s">
        <v>983</v>
      </c>
      <c r="O171" t="s">
        <v>118</v>
      </c>
      <c r="BN171">
        <v>0</v>
      </c>
    </row>
    <row r="172" spans="1:66" x14ac:dyDescent="0.2">
      <c r="A172" t="s">
        <v>111</v>
      </c>
      <c r="B172" t="b">
        <v>1</v>
      </c>
      <c r="E172">
        <v>174</v>
      </c>
      <c r="F172" t="str">
        <f>HYPERLINK("https://portal.dnb.de/opac.htm?method=simpleSearch&amp;cqlMode=true&amp;query=idn%3D1066969736", "Portal")</f>
        <v>Portal</v>
      </c>
      <c r="G172" t="s">
        <v>143</v>
      </c>
      <c r="H172" t="s">
        <v>984</v>
      </c>
      <c r="I172" t="s">
        <v>985</v>
      </c>
      <c r="J172" t="s">
        <v>986</v>
      </c>
      <c r="K172" t="s">
        <v>986</v>
      </c>
      <c r="L172" t="s">
        <v>986</v>
      </c>
      <c r="N172" t="s">
        <v>718</v>
      </c>
      <c r="O172" t="s">
        <v>118</v>
      </c>
      <c r="BN172">
        <v>0</v>
      </c>
    </row>
    <row r="173" spans="1:66" x14ac:dyDescent="0.2">
      <c r="A173" t="s">
        <v>111</v>
      </c>
      <c r="B173" t="b">
        <v>1</v>
      </c>
      <c r="E173">
        <v>175</v>
      </c>
      <c r="F173" t="str">
        <f>HYPERLINK("https://portal.dnb.de/opac.htm?method=simpleSearch&amp;cqlMode=true&amp;query=idn%3D1066967024", "Portal")</f>
        <v>Portal</v>
      </c>
      <c r="G173" t="s">
        <v>112</v>
      </c>
      <c r="H173" t="s">
        <v>987</v>
      </c>
      <c r="I173" t="s">
        <v>988</v>
      </c>
      <c r="J173" t="s">
        <v>989</v>
      </c>
      <c r="K173" t="s">
        <v>989</v>
      </c>
      <c r="L173" t="s">
        <v>989</v>
      </c>
      <c r="N173" t="s">
        <v>990</v>
      </c>
      <c r="O173" t="s">
        <v>118</v>
      </c>
      <c r="BN173">
        <v>0</v>
      </c>
    </row>
    <row r="174" spans="1:66" x14ac:dyDescent="0.2">
      <c r="A174" t="s">
        <v>111</v>
      </c>
      <c r="B174" t="b">
        <v>1</v>
      </c>
      <c r="E174">
        <v>176</v>
      </c>
      <c r="F174" t="str">
        <f>HYPERLINK("https://portal.dnb.de/opac.htm?method=simpleSearch&amp;cqlMode=true&amp;query=idn%3D1066964823", "Portal")</f>
        <v>Portal</v>
      </c>
      <c r="G174" t="s">
        <v>143</v>
      </c>
      <c r="H174" t="s">
        <v>991</v>
      </c>
      <c r="I174" t="s">
        <v>992</v>
      </c>
      <c r="J174" t="s">
        <v>993</v>
      </c>
      <c r="K174" t="s">
        <v>993</v>
      </c>
      <c r="L174" t="s">
        <v>993</v>
      </c>
      <c r="N174" t="s">
        <v>994</v>
      </c>
      <c r="O174" t="s">
        <v>118</v>
      </c>
      <c r="BN174">
        <v>0</v>
      </c>
    </row>
    <row r="175" spans="1:66" x14ac:dyDescent="0.2">
      <c r="A175" t="s">
        <v>111</v>
      </c>
      <c r="B175" t="b">
        <v>1</v>
      </c>
      <c r="E175">
        <v>177</v>
      </c>
      <c r="F175" t="str">
        <f>HYPERLINK("https://portal.dnb.de/opac.htm?method=simpleSearch&amp;cqlMode=true&amp;query=idn%3D1066969310", "Portal")</f>
        <v>Portal</v>
      </c>
      <c r="G175" t="s">
        <v>143</v>
      </c>
      <c r="H175" t="s">
        <v>995</v>
      </c>
      <c r="I175" t="s">
        <v>996</v>
      </c>
      <c r="J175" t="s">
        <v>997</v>
      </c>
      <c r="K175" t="s">
        <v>997</v>
      </c>
      <c r="L175" t="s">
        <v>997</v>
      </c>
      <c r="N175" t="s">
        <v>998</v>
      </c>
      <c r="O175" t="s">
        <v>118</v>
      </c>
      <c r="BN175">
        <v>0</v>
      </c>
    </row>
    <row r="176" spans="1:66" x14ac:dyDescent="0.2">
      <c r="A176" t="s">
        <v>111</v>
      </c>
      <c r="B176" t="b">
        <v>1</v>
      </c>
      <c r="E176">
        <v>178</v>
      </c>
      <c r="F176" t="str">
        <f>HYPERLINK("https://portal.dnb.de/opac.htm?method=simpleSearch&amp;cqlMode=true&amp;query=idn%3D1066965838", "Portal")</f>
        <v>Portal</v>
      </c>
      <c r="G176" t="s">
        <v>143</v>
      </c>
      <c r="H176" t="s">
        <v>999</v>
      </c>
      <c r="I176" t="s">
        <v>960</v>
      </c>
      <c r="J176" t="s">
        <v>1000</v>
      </c>
      <c r="K176" t="s">
        <v>1000</v>
      </c>
      <c r="L176" t="s">
        <v>1000</v>
      </c>
      <c r="N176" t="s">
        <v>962</v>
      </c>
      <c r="O176" t="s">
        <v>118</v>
      </c>
      <c r="BN176">
        <v>0</v>
      </c>
    </row>
    <row r="177" spans="1:71" x14ac:dyDescent="0.2">
      <c r="A177" t="s">
        <v>111</v>
      </c>
      <c r="B177" t="b">
        <v>1</v>
      </c>
      <c r="E177">
        <v>179</v>
      </c>
      <c r="F177" t="str">
        <f>HYPERLINK("https://portal.dnb.de/opac.htm?method=simpleSearch&amp;cqlMode=true&amp;query=idn%3D1066965358", "Portal")</f>
        <v>Portal</v>
      </c>
      <c r="G177" t="s">
        <v>112</v>
      </c>
      <c r="H177" t="s">
        <v>1001</v>
      </c>
      <c r="I177" t="s">
        <v>1002</v>
      </c>
      <c r="J177" t="s">
        <v>1003</v>
      </c>
      <c r="K177" t="s">
        <v>1003</v>
      </c>
      <c r="L177" t="s">
        <v>1003</v>
      </c>
      <c r="N177" t="s">
        <v>1004</v>
      </c>
      <c r="O177" t="s">
        <v>118</v>
      </c>
      <c r="BN177">
        <v>0</v>
      </c>
    </row>
    <row r="178" spans="1:71" x14ac:dyDescent="0.2">
      <c r="A178" t="s">
        <v>111</v>
      </c>
      <c r="B178" t="b">
        <v>1</v>
      </c>
      <c r="E178">
        <v>180</v>
      </c>
      <c r="F178" t="str">
        <f>HYPERLINK("https://portal.dnb.de/opac.htm?method=simpleSearch&amp;cqlMode=true&amp;query=idn%3D1066967180", "Portal")</f>
        <v>Portal</v>
      </c>
      <c r="G178" t="s">
        <v>143</v>
      </c>
      <c r="H178" t="s">
        <v>1005</v>
      </c>
      <c r="I178" t="s">
        <v>1006</v>
      </c>
      <c r="J178" t="s">
        <v>1007</v>
      </c>
      <c r="K178" t="s">
        <v>1007</v>
      </c>
      <c r="L178" t="s">
        <v>1007</v>
      </c>
      <c r="N178" t="s">
        <v>1008</v>
      </c>
      <c r="O178" t="s">
        <v>118</v>
      </c>
      <c r="BN178">
        <v>0</v>
      </c>
    </row>
    <row r="179" spans="1:71" x14ac:dyDescent="0.2">
      <c r="A179" t="s">
        <v>111</v>
      </c>
      <c r="B179" t="b">
        <v>1</v>
      </c>
      <c r="E179">
        <v>182</v>
      </c>
      <c r="F179" t="str">
        <f>HYPERLINK("https://portal.dnb.de/opac.htm?method=simpleSearch&amp;cqlMode=true&amp;query=idn%3D1066969485", "Portal")</f>
        <v>Portal</v>
      </c>
      <c r="G179" t="s">
        <v>143</v>
      </c>
      <c r="H179" t="s">
        <v>1009</v>
      </c>
      <c r="I179" t="s">
        <v>1010</v>
      </c>
      <c r="J179" t="s">
        <v>1011</v>
      </c>
      <c r="K179" t="s">
        <v>1011</v>
      </c>
      <c r="L179" t="s">
        <v>1011</v>
      </c>
      <c r="N179" t="s">
        <v>1012</v>
      </c>
      <c r="O179" t="s">
        <v>118</v>
      </c>
      <c r="BN179">
        <v>0</v>
      </c>
    </row>
    <row r="180" spans="1:71" x14ac:dyDescent="0.2">
      <c r="A180" t="s">
        <v>111</v>
      </c>
      <c r="B180" t="b">
        <v>1</v>
      </c>
      <c r="E180">
        <v>183</v>
      </c>
      <c r="F180" t="str">
        <f>HYPERLINK("https://portal.dnb.de/opac.htm?method=simpleSearch&amp;cqlMode=true&amp;query=idn%3D1066967547", "Portal")</f>
        <v>Portal</v>
      </c>
      <c r="G180" t="s">
        <v>143</v>
      </c>
      <c r="H180" t="s">
        <v>1013</v>
      </c>
      <c r="I180" t="s">
        <v>1014</v>
      </c>
      <c r="J180" t="s">
        <v>1015</v>
      </c>
      <c r="K180" t="s">
        <v>1015</v>
      </c>
      <c r="L180" t="s">
        <v>1015</v>
      </c>
      <c r="N180" t="s">
        <v>1016</v>
      </c>
      <c r="O180" t="s">
        <v>118</v>
      </c>
      <c r="BN180">
        <v>0</v>
      </c>
    </row>
    <row r="181" spans="1:71" x14ac:dyDescent="0.2">
      <c r="A181" t="s">
        <v>111</v>
      </c>
      <c r="B181" t="b">
        <v>1</v>
      </c>
      <c r="E181">
        <v>184</v>
      </c>
      <c r="F181" t="str">
        <f>HYPERLINK("https://portal.dnb.de/opac.htm?method=simpleSearch&amp;cqlMode=true&amp;query=idn%3D1066971978", "Portal")</f>
        <v>Portal</v>
      </c>
      <c r="G181" t="s">
        <v>143</v>
      </c>
      <c r="H181" t="s">
        <v>1017</v>
      </c>
      <c r="I181" t="s">
        <v>1018</v>
      </c>
      <c r="J181" t="s">
        <v>1019</v>
      </c>
      <c r="K181" t="s">
        <v>1019</v>
      </c>
      <c r="L181" t="s">
        <v>1019</v>
      </c>
      <c r="N181" t="s">
        <v>1020</v>
      </c>
      <c r="O181" t="s">
        <v>118</v>
      </c>
      <c r="BN181">
        <v>0</v>
      </c>
    </row>
    <row r="182" spans="1:71" x14ac:dyDescent="0.2">
      <c r="A182" t="s">
        <v>111</v>
      </c>
      <c r="B182" t="b">
        <v>1</v>
      </c>
      <c r="E182">
        <v>185</v>
      </c>
      <c r="F182" t="str">
        <f>HYPERLINK("https://portal.dnb.de/opac.htm?method=simpleSearch&amp;cqlMode=true&amp;query=idn%3D1066966079", "Portal")</f>
        <v>Portal</v>
      </c>
      <c r="G182" t="s">
        <v>143</v>
      </c>
      <c r="H182" t="s">
        <v>1021</v>
      </c>
      <c r="I182" t="s">
        <v>1022</v>
      </c>
      <c r="J182" t="s">
        <v>1023</v>
      </c>
      <c r="K182" t="s">
        <v>1023</v>
      </c>
      <c r="L182" t="s">
        <v>1023</v>
      </c>
      <c r="N182" t="s">
        <v>1024</v>
      </c>
      <c r="O182" t="s">
        <v>118</v>
      </c>
      <c r="BN182">
        <v>0</v>
      </c>
    </row>
    <row r="183" spans="1:71" x14ac:dyDescent="0.2">
      <c r="A183" t="s">
        <v>111</v>
      </c>
      <c r="B183" t="b">
        <v>0</v>
      </c>
      <c r="E183">
        <v>186</v>
      </c>
      <c r="F183" t="str">
        <f>HYPERLINK("https://portal.dnb.de/opac.htm?method=simpleSearch&amp;cqlMode=true&amp;query=idn%3D1066965781", "Portal")</f>
        <v>Portal</v>
      </c>
      <c r="G183" t="s">
        <v>112</v>
      </c>
      <c r="H183" t="s">
        <v>1025</v>
      </c>
      <c r="I183" t="s">
        <v>1026</v>
      </c>
      <c r="J183" t="s">
        <v>1027</v>
      </c>
      <c r="L183" t="s">
        <v>1027</v>
      </c>
      <c r="BN183">
        <v>0</v>
      </c>
    </row>
    <row r="184" spans="1:71" x14ac:dyDescent="0.2">
      <c r="A184" t="s">
        <v>111</v>
      </c>
      <c r="B184" t="b">
        <v>1</v>
      </c>
      <c r="E184">
        <v>187</v>
      </c>
      <c r="F184" t="str">
        <f>HYPERLINK("https://portal.dnb.de/opac.htm?method=simpleSearch&amp;cqlMode=true&amp;query=idn%3D1066969744", "Portal")</f>
        <v>Portal</v>
      </c>
      <c r="G184" t="s">
        <v>143</v>
      </c>
      <c r="H184" t="s">
        <v>1028</v>
      </c>
      <c r="I184" t="s">
        <v>1029</v>
      </c>
      <c r="J184" t="s">
        <v>1030</v>
      </c>
      <c r="K184" t="s">
        <v>1030</v>
      </c>
      <c r="L184" t="s">
        <v>1030</v>
      </c>
      <c r="N184" t="s">
        <v>718</v>
      </c>
      <c r="O184" t="s">
        <v>118</v>
      </c>
      <c r="BN184">
        <v>0</v>
      </c>
    </row>
    <row r="185" spans="1:71" x14ac:dyDescent="0.2">
      <c r="A185" t="s">
        <v>111</v>
      </c>
      <c r="B185" t="b">
        <v>1</v>
      </c>
      <c r="E185">
        <v>188</v>
      </c>
      <c r="F185" t="str">
        <f>HYPERLINK("https://portal.dnb.de/opac.htm?method=simpleSearch&amp;cqlMode=true&amp;query=idn%3D1066970521", "Portal")</f>
        <v>Portal</v>
      </c>
      <c r="G185" t="s">
        <v>143</v>
      </c>
      <c r="H185" t="s">
        <v>1031</v>
      </c>
      <c r="I185" t="s">
        <v>1032</v>
      </c>
      <c r="J185" t="s">
        <v>1033</v>
      </c>
      <c r="K185" t="s">
        <v>1033</v>
      </c>
      <c r="L185" t="s">
        <v>1033</v>
      </c>
      <c r="N185" t="s">
        <v>1034</v>
      </c>
      <c r="O185" t="s">
        <v>118</v>
      </c>
      <c r="BN185">
        <v>0</v>
      </c>
    </row>
    <row r="186" spans="1:71" x14ac:dyDescent="0.2">
      <c r="A186" t="s">
        <v>111</v>
      </c>
      <c r="B186" t="b">
        <v>1</v>
      </c>
      <c r="E186">
        <v>189</v>
      </c>
      <c r="F186" t="str">
        <f>HYPERLINK("https://portal.dnb.de/opac.htm?method=simpleSearch&amp;cqlMode=true&amp;query=idn%3D106697053X", "Portal")</f>
        <v>Portal</v>
      </c>
      <c r="G186" t="s">
        <v>112</v>
      </c>
      <c r="H186" t="s">
        <v>1035</v>
      </c>
      <c r="I186" t="s">
        <v>1036</v>
      </c>
      <c r="J186" t="s">
        <v>1037</v>
      </c>
      <c r="K186" t="s">
        <v>1037</v>
      </c>
      <c r="L186" t="s">
        <v>1037</v>
      </c>
      <c r="N186" t="s">
        <v>1038</v>
      </c>
      <c r="O186" t="s">
        <v>118</v>
      </c>
      <c r="BN186">
        <v>0</v>
      </c>
    </row>
    <row r="187" spans="1:71" x14ac:dyDescent="0.2">
      <c r="A187" t="s">
        <v>111</v>
      </c>
      <c r="B187" t="b">
        <v>1</v>
      </c>
      <c r="E187">
        <v>190</v>
      </c>
      <c r="F187" t="str">
        <f>HYPERLINK("https://portal.dnb.de/opac.htm?method=simpleSearch&amp;cqlMode=true&amp;query=idn%3D1066972427", "Portal")</f>
        <v>Portal</v>
      </c>
      <c r="G187" t="s">
        <v>112</v>
      </c>
      <c r="H187" t="s">
        <v>1039</v>
      </c>
      <c r="I187" t="s">
        <v>1040</v>
      </c>
      <c r="J187" t="s">
        <v>1041</v>
      </c>
      <c r="K187" t="s">
        <v>1041</v>
      </c>
      <c r="L187" t="s">
        <v>1041</v>
      </c>
      <c r="N187" t="s">
        <v>722</v>
      </c>
      <c r="O187" t="s">
        <v>118</v>
      </c>
      <c r="BN187">
        <v>0</v>
      </c>
    </row>
    <row r="188" spans="1:71" x14ac:dyDescent="0.2">
      <c r="A188" t="s">
        <v>111</v>
      </c>
      <c r="B188" t="b">
        <v>1</v>
      </c>
      <c r="E188">
        <v>191</v>
      </c>
      <c r="F188" t="str">
        <f>HYPERLINK("https://portal.dnb.de/opac.htm?method=simpleSearch&amp;cqlMode=true&amp;query=idn%3D1072264986", "Portal")</f>
        <v>Portal</v>
      </c>
      <c r="G188" t="s">
        <v>112</v>
      </c>
      <c r="H188" t="s">
        <v>1042</v>
      </c>
      <c r="I188" t="s">
        <v>1043</v>
      </c>
      <c r="J188" t="s">
        <v>1044</v>
      </c>
      <c r="K188" t="s">
        <v>1044</v>
      </c>
      <c r="L188" t="s">
        <v>1044</v>
      </c>
      <c r="N188" t="s">
        <v>1045</v>
      </c>
      <c r="O188" t="s">
        <v>118</v>
      </c>
      <c r="BN188">
        <v>0</v>
      </c>
    </row>
    <row r="189" spans="1:71" x14ac:dyDescent="0.2">
      <c r="A189" t="s">
        <v>111</v>
      </c>
      <c r="B189" t="b">
        <v>1</v>
      </c>
      <c r="E189">
        <v>192</v>
      </c>
      <c r="F189" t="str">
        <f>HYPERLINK("https://portal.dnb.de/opac.htm?method=simpleSearch&amp;cqlMode=true&amp;query=idn%3D1066972648", "Portal")</f>
        <v>Portal</v>
      </c>
      <c r="G189" t="s">
        <v>112</v>
      </c>
      <c r="H189" t="s">
        <v>1046</v>
      </c>
      <c r="I189" t="s">
        <v>1047</v>
      </c>
      <c r="J189" t="s">
        <v>1048</v>
      </c>
      <c r="K189" t="s">
        <v>1048</v>
      </c>
      <c r="L189" t="s">
        <v>1048</v>
      </c>
      <c r="N189" t="s">
        <v>1049</v>
      </c>
      <c r="O189" t="s">
        <v>118</v>
      </c>
      <c r="BN189">
        <v>0</v>
      </c>
    </row>
    <row r="190" spans="1:71" x14ac:dyDescent="0.2">
      <c r="A190" t="s">
        <v>111</v>
      </c>
      <c r="B190" t="b">
        <v>1</v>
      </c>
      <c r="E190">
        <v>193</v>
      </c>
      <c r="F190" t="str">
        <f>HYPERLINK("https://portal.dnb.de/opac.htm?method=simpleSearch&amp;cqlMode=true&amp;query=idn%3D1066968705", "Portal")</f>
        <v>Portal</v>
      </c>
      <c r="G190" t="s">
        <v>112</v>
      </c>
      <c r="H190" t="s">
        <v>1050</v>
      </c>
      <c r="I190" t="s">
        <v>1051</v>
      </c>
      <c r="J190" t="s">
        <v>1052</v>
      </c>
      <c r="K190" t="s">
        <v>1052</v>
      </c>
      <c r="L190" t="s">
        <v>1052</v>
      </c>
      <c r="N190" t="s">
        <v>372</v>
      </c>
      <c r="O190" t="s">
        <v>118</v>
      </c>
      <c r="BN190">
        <v>0</v>
      </c>
    </row>
    <row r="191" spans="1:71" x14ac:dyDescent="0.2">
      <c r="A191" t="s">
        <v>111</v>
      </c>
      <c r="B191" t="b">
        <v>1</v>
      </c>
      <c r="E191">
        <v>194</v>
      </c>
      <c r="F191" t="str">
        <f>HYPERLINK("https://portal.dnb.de/opac.htm?method=simpleSearch&amp;cqlMode=true&amp;query=idn%3D107226532X", "Portal")</f>
        <v>Portal</v>
      </c>
      <c r="G191" t="s">
        <v>112</v>
      </c>
      <c r="H191" t="s">
        <v>1053</v>
      </c>
      <c r="I191" t="s">
        <v>1054</v>
      </c>
      <c r="J191" t="s">
        <v>1055</v>
      </c>
      <c r="K191" t="s">
        <v>1055</v>
      </c>
      <c r="L191" t="s">
        <v>1055</v>
      </c>
      <c r="N191" t="s">
        <v>1056</v>
      </c>
      <c r="O191" t="s">
        <v>118</v>
      </c>
      <c r="S191" t="s">
        <v>286</v>
      </c>
      <c r="AE191" t="s">
        <v>1057</v>
      </c>
      <c r="AS191" t="s">
        <v>127</v>
      </c>
      <c r="BG191">
        <v>180</v>
      </c>
      <c r="BM191" t="s">
        <v>129</v>
      </c>
      <c r="BN191">
        <v>0</v>
      </c>
      <c r="BS191" t="s">
        <v>130</v>
      </c>
    </row>
    <row r="192" spans="1:71" x14ac:dyDescent="0.2">
      <c r="A192" t="s">
        <v>111</v>
      </c>
      <c r="B192" t="b">
        <v>1</v>
      </c>
      <c r="E192">
        <v>195</v>
      </c>
      <c r="F192" t="str">
        <f>HYPERLINK("https://portal.dnb.de/opac.htm?method=simpleSearch&amp;cqlMode=true&amp;query=idn%3D107226580X", "Portal")</f>
        <v>Portal</v>
      </c>
      <c r="G192" t="s">
        <v>112</v>
      </c>
      <c r="H192" t="s">
        <v>1058</v>
      </c>
      <c r="I192" t="s">
        <v>1059</v>
      </c>
      <c r="J192" t="s">
        <v>1060</v>
      </c>
      <c r="K192" t="s">
        <v>1060</v>
      </c>
      <c r="L192" t="s">
        <v>1060</v>
      </c>
      <c r="N192" t="s">
        <v>1056</v>
      </c>
      <c r="O192" t="s">
        <v>118</v>
      </c>
      <c r="S192" t="s">
        <v>286</v>
      </c>
      <c r="AE192" t="s">
        <v>1057</v>
      </c>
      <c r="AS192" t="s">
        <v>127</v>
      </c>
      <c r="BG192">
        <v>180</v>
      </c>
      <c r="BM192" t="s">
        <v>129</v>
      </c>
      <c r="BN192">
        <v>0</v>
      </c>
      <c r="BS192" t="s">
        <v>130</v>
      </c>
    </row>
    <row r="193" spans="1:71" x14ac:dyDescent="0.2">
      <c r="A193" t="s">
        <v>111</v>
      </c>
      <c r="B193" t="b">
        <v>1</v>
      </c>
      <c r="E193">
        <v>196</v>
      </c>
      <c r="F193" t="str">
        <f>HYPERLINK("https://portal.dnb.de/opac.htm?method=simpleSearch&amp;cqlMode=true&amp;query=idn%3D1066973067", "Portal")</f>
        <v>Portal</v>
      </c>
      <c r="G193" t="s">
        <v>143</v>
      </c>
      <c r="H193" t="s">
        <v>1061</v>
      </c>
      <c r="I193" t="s">
        <v>248</v>
      </c>
      <c r="J193" t="s">
        <v>1062</v>
      </c>
      <c r="K193" t="s">
        <v>1062</v>
      </c>
      <c r="L193" t="s">
        <v>1062</v>
      </c>
      <c r="N193" t="s">
        <v>251</v>
      </c>
      <c r="O193" t="s">
        <v>118</v>
      </c>
      <c r="S193" t="s">
        <v>286</v>
      </c>
      <c r="AE193" t="s">
        <v>1057</v>
      </c>
      <c r="AS193" t="s">
        <v>127</v>
      </c>
      <c r="BG193">
        <v>180</v>
      </c>
      <c r="BM193" t="s">
        <v>129</v>
      </c>
      <c r="BN193">
        <v>0</v>
      </c>
      <c r="BS193" t="s">
        <v>130</v>
      </c>
    </row>
    <row r="194" spans="1:71" x14ac:dyDescent="0.2">
      <c r="A194" t="s">
        <v>111</v>
      </c>
      <c r="B194" t="b">
        <v>1</v>
      </c>
      <c r="E194">
        <v>197</v>
      </c>
      <c r="F194" t="str">
        <f>HYPERLINK("https://portal.dnb.de/opac.htm?method=simpleSearch&amp;cqlMode=true&amp;query=idn%3D106696792X", "Portal")</f>
        <v>Portal</v>
      </c>
      <c r="G194" t="s">
        <v>143</v>
      </c>
      <c r="H194" t="s">
        <v>1063</v>
      </c>
      <c r="I194" t="s">
        <v>1064</v>
      </c>
      <c r="J194" t="s">
        <v>1065</v>
      </c>
      <c r="K194" t="s">
        <v>1065</v>
      </c>
      <c r="L194" t="s">
        <v>1065</v>
      </c>
      <c r="N194" t="s">
        <v>780</v>
      </c>
      <c r="O194" t="s">
        <v>118</v>
      </c>
      <c r="S194" t="s">
        <v>286</v>
      </c>
      <c r="AE194" t="s">
        <v>1057</v>
      </c>
      <c r="AS194" t="s">
        <v>127</v>
      </c>
      <c r="BG194">
        <v>180</v>
      </c>
      <c r="BM194" t="s">
        <v>129</v>
      </c>
      <c r="BN194">
        <v>0</v>
      </c>
      <c r="BS194" t="s">
        <v>130</v>
      </c>
    </row>
    <row r="195" spans="1:71" x14ac:dyDescent="0.2">
      <c r="A195" t="s">
        <v>111</v>
      </c>
      <c r="B195" t="b">
        <v>1</v>
      </c>
      <c r="E195">
        <v>198</v>
      </c>
      <c r="F195" t="str">
        <f>HYPERLINK("https://portal.dnb.de/opac.htm?method=simpleSearch&amp;cqlMode=true&amp;query=idn%3D1066965242", "Portal")</f>
        <v>Portal</v>
      </c>
      <c r="G195" t="s">
        <v>143</v>
      </c>
      <c r="H195" t="s">
        <v>1066</v>
      </c>
      <c r="I195" t="s">
        <v>1067</v>
      </c>
      <c r="J195" t="s">
        <v>1068</v>
      </c>
      <c r="K195" t="s">
        <v>1068</v>
      </c>
      <c r="L195" t="s">
        <v>1068</v>
      </c>
      <c r="N195" t="s">
        <v>1069</v>
      </c>
      <c r="O195" t="s">
        <v>118</v>
      </c>
      <c r="S195" t="s">
        <v>286</v>
      </c>
      <c r="AE195" t="s">
        <v>1057</v>
      </c>
      <c r="AS195" t="s">
        <v>127</v>
      </c>
      <c r="BG195">
        <v>180</v>
      </c>
      <c r="BM195" t="s">
        <v>129</v>
      </c>
      <c r="BN195">
        <v>0</v>
      </c>
      <c r="BS195" t="s">
        <v>130</v>
      </c>
    </row>
    <row r="196" spans="1:71" x14ac:dyDescent="0.2">
      <c r="A196" t="s">
        <v>111</v>
      </c>
      <c r="B196" t="b">
        <v>1</v>
      </c>
      <c r="E196">
        <v>199</v>
      </c>
      <c r="F196" t="str">
        <f>HYPERLINK("https://portal.dnb.de/opac.htm?method=simpleSearch&amp;cqlMode=true&amp;query=idn%3D1173459332", "Portal")</f>
        <v>Portal</v>
      </c>
      <c r="G196" t="s">
        <v>470</v>
      </c>
      <c r="H196" t="s">
        <v>1070</v>
      </c>
      <c r="I196" t="s">
        <v>1071</v>
      </c>
      <c r="J196" t="s">
        <v>1072</v>
      </c>
      <c r="K196" t="s">
        <v>1072</v>
      </c>
      <c r="L196" t="s">
        <v>1072</v>
      </c>
      <c r="N196" t="s">
        <v>901</v>
      </c>
      <c r="O196" t="s">
        <v>1073</v>
      </c>
      <c r="BN196">
        <v>0</v>
      </c>
    </row>
    <row r="197" spans="1:71" x14ac:dyDescent="0.2">
      <c r="A197" t="s">
        <v>111</v>
      </c>
      <c r="B197" t="b">
        <v>1</v>
      </c>
      <c r="E197">
        <v>200</v>
      </c>
      <c r="F197" t="str">
        <f>HYPERLINK("https://portal.dnb.de/opac.htm?method=simpleSearch&amp;cqlMode=true&amp;query=idn%3D1085177750", "Portal")</f>
        <v>Portal</v>
      </c>
      <c r="G197" t="s">
        <v>497</v>
      </c>
      <c r="H197" t="s">
        <v>1074</v>
      </c>
      <c r="I197" t="s">
        <v>1075</v>
      </c>
      <c r="J197" t="s">
        <v>1076</v>
      </c>
      <c r="K197" t="s">
        <v>1076</v>
      </c>
      <c r="L197" t="s">
        <v>1076</v>
      </c>
      <c r="N197" t="s">
        <v>1077</v>
      </c>
      <c r="O197" t="s">
        <v>1078</v>
      </c>
      <c r="BN197">
        <v>0</v>
      </c>
    </row>
    <row r="198" spans="1:71" x14ac:dyDescent="0.2">
      <c r="A198" t="s">
        <v>111</v>
      </c>
      <c r="B198" t="b">
        <v>1</v>
      </c>
      <c r="E198">
        <v>201</v>
      </c>
      <c r="F198" t="str">
        <f>HYPERLINK("https://portal.dnb.de/opac.htm?method=simpleSearch&amp;cqlMode=true&amp;query=idn%3D106697022X", "Portal")</f>
        <v>Portal</v>
      </c>
      <c r="G198" t="s">
        <v>112</v>
      </c>
      <c r="H198" t="s">
        <v>1079</v>
      </c>
      <c r="I198" t="s">
        <v>1080</v>
      </c>
      <c r="J198" t="s">
        <v>1081</v>
      </c>
      <c r="K198" t="s">
        <v>1081</v>
      </c>
      <c r="L198" t="s">
        <v>1081</v>
      </c>
      <c r="N198" t="s">
        <v>983</v>
      </c>
      <c r="O198" t="s">
        <v>118</v>
      </c>
      <c r="BN198">
        <v>0</v>
      </c>
    </row>
    <row r="199" spans="1:71" x14ac:dyDescent="0.2">
      <c r="A199" t="s">
        <v>111</v>
      </c>
      <c r="B199" t="b">
        <v>1</v>
      </c>
      <c r="E199">
        <v>202</v>
      </c>
      <c r="F199" t="str">
        <f>HYPERLINK("https://portal.dnb.de/opac.htm?method=simpleSearch&amp;cqlMode=true&amp;query=idn%3D1066973296", "Portal")</f>
        <v>Portal</v>
      </c>
      <c r="G199" t="s">
        <v>112</v>
      </c>
      <c r="H199" t="s">
        <v>1082</v>
      </c>
      <c r="I199" t="s">
        <v>1083</v>
      </c>
      <c r="J199" t="s">
        <v>1084</v>
      </c>
      <c r="K199" t="s">
        <v>1084</v>
      </c>
      <c r="L199" t="s">
        <v>1084</v>
      </c>
      <c r="N199" t="s">
        <v>1085</v>
      </c>
      <c r="O199" t="s">
        <v>118</v>
      </c>
      <c r="BN199">
        <v>0</v>
      </c>
    </row>
    <row r="200" spans="1:71" x14ac:dyDescent="0.2">
      <c r="A200" t="s">
        <v>111</v>
      </c>
      <c r="B200" t="b">
        <v>1</v>
      </c>
      <c r="E200">
        <v>203</v>
      </c>
      <c r="F200" t="str">
        <f>HYPERLINK("https://portal.dnb.de/opac.htm?method=simpleSearch&amp;cqlMode=true&amp;query=idn%3D1066966761", "Portal")</f>
        <v>Portal</v>
      </c>
      <c r="G200" t="s">
        <v>112</v>
      </c>
      <c r="H200" t="s">
        <v>1086</v>
      </c>
      <c r="I200" t="s">
        <v>1087</v>
      </c>
      <c r="J200" t="s">
        <v>1088</v>
      </c>
      <c r="K200" t="s">
        <v>1088</v>
      </c>
      <c r="L200" t="s">
        <v>1088</v>
      </c>
      <c r="N200" t="s">
        <v>1089</v>
      </c>
      <c r="O200" t="s">
        <v>118</v>
      </c>
      <c r="BN200">
        <v>0</v>
      </c>
    </row>
    <row r="201" spans="1:71" x14ac:dyDescent="0.2">
      <c r="A201" t="s">
        <v>111</v>
      </c>
      <c r="B201" t="b">
        <v>1</v>
      </c>
      <c r="E201">
        <v>204</v>
      </c>
      <c r="F201" t="str">
        <f>HYPERLINK("https://portal.dnb.de/opac.htm?method=simpleSearch&amp;cqlMode=true&amp;query=idn%3D1066971803", "Portal")</f>
        <v>Portal</v>
      </c>
      <c r="G201" t="s">
        <v>112</v>
      </c>
      <c r="H201" t="s">
        <v>1090</v>
      </c>
      <c r="I201" t="s">
        <v>1091</v>
      </c>
      <c r="J201" t="s">
        <v>1092</v>
      </c>
      <c r="K201" t="s">
        <v>1092</v>
      </c>
      <c r="L201" t="s">
        <v>1092</v>
      </c>
      <c r="N201" t="s">
        <v>1093</v>
      </c>
      <c r="O201" t="s">
        <v>118</v>
      </c>
      <c r="BN201">
        <v>0</v>
      </c>
    </row>
    <row r="202" spans="1:71" x14ac:dyDescent="0.2">
      <c r="A202" t="s">
        <v>111</v>
      </c>
      <c r="B202" t="b">
        <v>1</v>
      </c>
      <c r="E202">
        <v>205</v>
      </c>
      <c r="F202" t="str">
        <f>HYPERLINK("https://portal.dnb.de/opac.htm?method=simpleSearch&amp;cqlMode=true&amp;query=idn%3D106697179X", "Portal")</f>
        <v>Portal</v>
      </c>
      <c r="G202" t="s">
        <v>143</v>
      </c>
      <c r="H202" t="s">
        <v>1094</v>
      </c>
      <c r="I202" t="s">
        <v>1095</v>
      </c>
      <c r="J202" t="s">
        <v>1096</v>
      </c>
      <c r="K202" t="s">
        <v>1096</v>
      </c>
      <c r="L202" t="s">
        <v>1096</v>
      </c>
      <c r="N202" t="s">
        <v>1097</v>
      </c>
      <c r="O202" t="s">
        <v>118</v>
      </c>
      <c r="BN202">
        <v>0</v>
      </c>
    </row>
    <row r="203" spans="1:71" x14ac:dyDescent="0.2">
      <c r="A203" t="s">
        <v>111</v>
      </c>
      <c r="B203" t="b">
        <v>1</v>
      </c>
      <c r="E203">
        <v>206</v>
      </c>
      <c r="F203" t="str">
        <f>HYPERLINK("https://portal.dnb.de/opac.htm?method=simpleSearch&amp;cqlMode=true&amp;query=idn%3D1052249787", "Portal")</f>
        <v>Portal</v>
      </c>
      <c r="G203" t="s">
        <v>537</v>
      </c>
      <c r="H203" t="s">
        <v>1098</v>
      </c>
      <c r="I203" t="s">
        <v>539</v>
      </c>
      <c r="J203" t="s">
        <v>1099</v>
      </c>
      <c r="K203" t="s">
        <v>1099</v>
      </c>
      <c r="L203" t="s">
        <v>1099</v>
      </c>
      <c r="N203" t="s">
        <v>542</v>
      </c>
      <c r="O203" t="s">
        <v>118</v>
      </c>
      <c r="BN203">
        <v>0</v>
      </c>
    </row>
    <row r="204" spans="1:71" x14ac:dyDescent="0.2">
      <c r="A204" t="s">
        <v>111</v>
      </c>
      <c r="B204" t="b">
        <v>1</v>
      </c>
      <c r="E204">
        <v>207</v>
      </c>
      <c r="F204" t="str">
        <f>HYPERLINK("https://portal.dnb.de/opac.htm?method=simpleSearch&amp;cqlMode=true&amp;query=idn%3D1085177238", "Portal")</f>
        <v>Portal</v>
      </c>
      <c r="G204" t="s">
        <v>497</v>
      </c>
      <c r="H204" t="s">
        <v>1100</v>
      </c>
      <c r="I204" t="s">
        <v>1101</v>
      </c>
      <c r="J204" t="s">
        <v>1102</v>
      </c>
      <c r="K204" t="s">
        <v>1102</v>
      </c>
      <c r="L204" t="s">
        <v>1102</v>
      </c>
      <c r="N204" t="s">
        <v>1077</v>
      </c>
      <c r="O204" t="s">
        <v>1103</v>
      </c>
      <c r="BN204">
        <v>0</v>
      </c>
    </row>
    <row r="205" spans="1:71" x14ac:dyDescent="0.2">
      <c r="A205" t="s">
        <v>111</v>
      </c>
      <c r="B205" t="b">
        <v>1</v>
      </c>
      <c r="E205">
        <v>208</v>
      </c>
      <c r="F205" t="str">
        <f>HYPERLINK("https://portal.dnb.de/opac.htm?method=simpleSearch&amp;cqlMode=true&amp;query=idn%3D1066966672", "Portal")</f>
        <v>Portal</v>
      </c>
      <c r="G205" t="s">
        <v>112</v>
      </c>
      <c r="H205" t="s">
        <v>1104</v>
      </c>
      <c r="I205" t="s">
        <v>1105</v>
      </c>
      <c r="J205" t="s">
        <v>1106</v>
      </c>
      <c r="K205" t="s">
        <v>1106</v>
      </c>
      <c r="L205" t="s">
        <v>1106</v>
      </c>
      <c r="N205" t="s">
        <v>644</v>
      </c>
      <c r="O205" t="s">
        <v>118</v>
      </c>
      <c r="BN205">
        <v>0</v>
      </c>
    </row>
    <row r="206" spans="1:71" x14ac:dyDescent="0.2">
      <c r="A206" t="s">
        <v>111</v>
      </c>
      <c r="B206" t="b">
        <v>1</v>
      </c>
      <c r="E206">
        <v>209</v>
      </c>
      <c r="F206" t="str">
        <f>HYPERLINK("https://portal.dnb.de/opac.htm?method=simpleSearch&amp;cqlMode=true&amp;query=idn%3D106697182X", "Portal")</f>
        <v>Portal</v>
      </c>
      <c r="G206" t="s">
        <v>143</v>
      </c>
      <c r="H206" t="s">
        <v>1107</v>
      </c>
      <c r="I206" t="s">
        <v>1108</v>
      </c>
      <c r="J206" t="s">
        <v>1109</v>
      </c>
      <c r="K206" t="s">
        <v>1109</v>
      </c>
      <c r="L206" t="s">
        <v>1109</v>
      </c>
      <c r="N206" t="s">
        <v>776</v>
      </c>
      <c r="O206" t="s">
        <v>118</v>
      </c>
      <c r="BN206">
        <v>0</v>
      </c>
    </row>
    <row r="207" spans="1:71" x14ac:dyDescent="0.2">
      <c r="A207" t="s">
        <v>111</v>
      </c>
      <c r="B207" t="b">
        <v>1</v>
      </c>
      <c r="E207">
        <v>210</v>
      </c>
      <c r="F207" t="str">
        <f>HYPERLINK("https://portal.dnb.de/opac.htm?method=simpleSearch&amp;cqlMode=true&amp;query=idn%3D1066968063", "Portal")</f>
        <v>Portal</v>
      </c>
      <c r="G207" t="s">
        <v>143</v>
      </c>
      <c r="H207" t="s">
        <v>1110</v>
      </c>
      <c r="I207" t="s">
        <v>1111</v>
      </c>
      <c r="J207" t="s">
        <v>1112</v>
      </c>
      <c r="K207" t="s">
        <v>1112</v>
      </c>
      <c r="L207" t="s">
        <v>1112</v>
      </c>
      <c r="N207" t="s">
        <v>1113</v>
      </c>
      <c r="O207" t="s">
        <v>118</v>
      </c>
      <c r="BN207">
        <v>0</v>
      </c>
    </row>
    <row r="208" spans="1:71" x14ac:dyDescent="0.2">
      <c r="A208" t="s">
        <v>111</v>
      </c>
      <c r="B208" t="b">
        <v>1</v>
      </c>
      <c r="E208">
        <v>211</v>
      </c>
      <c r="F208" t="str">
        <f>HYPERLINK("https://portal.dnb.de/opac.htm?method=simpleSearch&amp;cqlMode=true&amp;query=idn%3D106696730X", "Portal")</f>
        <v>Portal</v>
      </c>
      <c r="G208" t="s">
        <v>143</v>
      </c>
      <c r="H208" t="s">
        <v>1114</v>
      </c>
      <c r="I208" t="s">
        <v>1115</v>
      </c>
      <c r="J208" t="s">
        <v>1116</v>
      </c>
      <c r="K208" t="s">
        <v>1116</v>
      </c>
      <c r="L208" t="s">
        <v>1116</v>
      </c>
      <c r="N208" t="s">
        <v>1117</v>
      </c>
      <c r="O208" t="s">
        <v>118</v>
      </c>
      <c r="BN208">
        <v>0</v>
      </c>
    </row>
    <row r="209" spans="1:66" x14ac:dyDescent="0.2">
      <c r="A209" t="s">
        <v>111</v>
      </c>
      <c r="B209" t="b">
        <v>0</v>
      </c>
      <c r="E209">
        <v>212</v>
      </c>
      <c r="F209" t="str">
        <f>HYPERLINK("https://portal.dnb.de/opac.htm?method=simpleSearch&amp;cqlMode=true&amp;query=idn%3D1066968020", "Portal")</f>
        <v>Portal</v>
      </c>
      <c r="G209" t="s">
        <v>112</v>
      </c>
      <c r="H209" t="s">
        <v>1118</v>
      </c>
      <c r="I209" t="s">
        <v>1119</v>
      </c>
      <c r="J209" t="s">
        <v>1120</v>
      </c>
      <c r="L209" t="s">
        <v>1120</v>
      </c>
      <c r="BN209">
        <v>0</v>
      </c>
    </row>
    <row r="210" spans="1:66" x14ac:dyDescent="0.2">
      <c r="A210" t="s">
        <v>111</v>
      </c>
      <c r="B210" t="b">
        <v>1</v>
      </c>
      <c r="E210">
        <v>213</v>
      </c>
      <c r="F210" t="str">
        <f>HYPERLINK("https://portal.dnb.de/opac.htm?method=simpleSearch&amp;cqlMode=true&amp;query=idn%3D1066972176", "Portal")</f>
        <v>Portal</v>
      </c>
      <c r="G210" t="s">
        <v>143</v>
      </c>
      <c r="H210" t="s">
        <v>1121</v>
      </c>
      <c r="I210" t="s">
        <v>1122</v>
      </c>
      <c r="J210" t="s">
        <v>1123</v>
      </c>
      <c r="K210" t="s">
        <v>1123</v>
      </c>
      <c r="L210" t="s">
        <v>1123</v>
      </c>
      <c r="N210" t="s">
        <v>1124</v>
      </c>
      <c r="O210" t="s">
        <v>118</v>
      </c>
      <c r="BN210">
        <v>0</v>
      </c>
    </row>
    <row r="211" spans="1:66" x14ac:dyDescent="0.2">
      <c r="A211" t="s">
        <v>111</v>
      </c>
      <c r="B211" t="b">
        <v>1</v>
      </c>
      <c r="E211">
        <v>214</v>
      </c>
      <c r="F211" t="str">
        <f>HYPERLINK("https://portal.dnb.de/opac.htm?method=simpleSearch&amp;cqlMode=true&amp;query=idn%3D1066964688", "Portal")</f>
        <v>Portal</v>
      </c>
      <c r="G211" t="s">
        <v>143</v>
      </c>
      <c r="H211" t="s">
        <v>1125</v>
      </c>
      <c r="I211" t="s">
        <v>1126</v>
      </c>
      <c r="J211" t="s">
        <v>1127</v>
      </c>
      <c r="K211" t="s">
        <v>1127</v>
      </c>
      <c r="L211" t="s">
        <v>1127</v>
      </c>
      <c r="N211" t="s">
        <v>1128</v>
      </c>
      <c r="O211" t="s">
        <v>118</v>
      </c>
      <c r="BN211">
        <v>0</v>
      </c>
    </row>
    <row r="212" spans="1:66" x14ac:dyDescent="0.2">
      <c r="A212" t="s">
        <v>111</v>
      </c>
      <c r="B212" t="b">
        <v>1</v>
      </c>
      <c r="E212">
        <v>215</v>
      </c>
      <c r="F212" t="str">
        <f>HYPERLINK("https://portal.dnb.de/opac.htm?method=simpleSearch&amp;cqlMode=true&amp;query=idn%3D1066969442", "Portal")</f>
        <v>Portal</v>
      </c>
      <c r="G212" t="s">
        <v>112</v>
      </c>
      <c r="H212" t="s">
        <v>1129</v>
      </c>
      <c r="I212" t="s">
        <v>1130</v>
      </c>
      <c r="J212" t="s">
        <v>1131</v>
      </c>
      <c r="K212" t="s">
        <v>1131</v>
      </c>
      <c r="L212" t="s">
        <v>1131</v>
      </c>
      <c r="N212" t="s">
        <v>1132</v>
      </c>
      <c r="O212" t="s">
        <v>118</v>
      </c>
      <c r="BN212">
        <v>0</v>
      </c>
    </row>
    <row r="213" spans="1:66" x14ac:dyDescent="0.2">
      <c r="A213" t="s">
        <v>111</v>
      </c>
      <c r="B213" t="b">
        <v>1</v>
      </c>
      <c r="E213">
        <v>216</v>
      </c>
      <c r="F213" t="str">
        <f>HYPERLINK("https://portal.dnb.de/opac.htm?method=simpleSearch&amp;cqlMode=true&amp;query=idn%3D1066969892", "Portal")</f>
        <v>Portal</v>
      </c>
      <c r="G213" t="s">
        <v>143</v>
      </c>
      <c r="H213" t="s">
        <v>1133</v>
      </c>
      <c r="I213" t="s">
        <v>1134</v>
      </c>
      <c r="J213" t="s">
        <v>1135</v>
      </c>
      <c r="K213" t="s">
        <v>1135</v>
      </c>
      <c r="L213" t="s">
        <v>1135</v>
      </c>
      <c r="N213" t="s">
        <v>1136</v>
      </c>
      <c r="O213" t="s">
        <v>118</v>
      </c>
      <c r="BN213">
        <v>0</v>
      </c>
    </row>
    <row r="214" spans="1:66" x14ac:dyDescent="0.2">
      <c r="A214" t="s">
        <v>111</v>
      </c>
      <c r="B214" t="b">
        <v>1</v>
      </c>
      <c r="E214">
        <v>217</v>
      </c>
      <c r="F214" t="str">
        <f>HYPERLINK("https://portal.dnb.de/opac.htm?method=simpleSearch&amp;cqlMode=true&amp;query=idn%3D1066966516", "Portal")</f>
        <v>Portal</v>
      </c>
      <c r="G214" t="s">
        <v>112</v>
      </c>
      <c r="H214" t="s">
        <v>1137</v>
      </c>
      <c r="I214" t="s">
        <v>1138</v>
      </c>
      <c r="J214" t="s">
        <v>1139</v>
      </c>
      <c r="K214" t="s">
        <v>1139</v>
      </c>
      <c r="L214" t="s">
        <v>1139</v>
      </c>
      <c r="N214" t="s">
        <v>644</v>
      </c>
      <c r="O214" t="s">
        <v>118</v>
      </c>
      <c r="BN214">
        <v>0</v>
      </c>
    </row>
    <row r="215" spans="1:66" x14ac:dyDescent="0.2">
      <c r="A215" t="s">
        <v>111</v>
      </c>
      <c r="B215" t="b">
        <v>1</v>
      </c>
      <c r="E215">
        <v>218</v>
      </c>
      <c r="F215" t="str">
        <f>HYPERLINK("https://portal.dnb.de/opac.htm?method=simpleSearch&amp;cqlMode=true&amp;query=idn%3D1173179313", "Portal")</f>
        <v>Portal</v>
      </c>
      <c r="G215" t="s">
        <v>470</v>
      </c>
      <c r="H215" t="s">
        <v>1140</v>
      </c>
      <c r="I215" t="s">
        <v>1141</v>
      </c>
      <c r="J215" t="s">
        <v>1142</v>
      </c>
      <c r="K215" t="s">
        <v>1142</v>
      </c>
      <c r="L215" t="s">
        <v>1142</v>
      </c>
      <c r="N215" t="s">
        <v>830</v>
      </c>
      <c r="O215" t="s">
        <v>1143</v>
      </c>
      <c r="BN215">
        <v>0</v>
      </c>
    </row>
    <row r="216" spans="1:66" x14ac:dyDescent="0.2">
      <c r="A216" t="s">
        <v>111</v>
      </c>
      <c r="B216" t="b">
        <v>1</v>
      </c>
      <c r="E216">
        <v>219</v>
      </c>
      <c r="F216" t="str">
        <f>HYPERLINK("https://portal.dnb.de/opac.htm?method=simpleSearch&amp;cqlMode=true&amp;query=idn%3D1072494159", "Portal")</f>
        <v>Portal</v>
      </c>
      <c r="G216" t="s">
        <v>470</v>
      </c>
      <c r="H216" t="s">
        <v>1144</v>
      </c>
      <c r="I216" t="s">
        <v>602</v>
      </c>
      <c r="J216" t="s">
        <v>1145</v>
      </c>
      <c r="K216" t="s">
        <v>1145</v>
      </c>
      <c r="L216" t="s">
        <v>1145</v>
      </c>
      <c r="N216" t="s">
        <v>605</v>
      </c>
      <c r="O216" t="s">
        <v>606</v>
      </c>
      <c r="BN216">
        <v>0</v>
      </c>
    </row>
    <row r="217" spans="1:66" x14ac:dyDescent="0.2">
      <c r="A217" t="s">
        <v>111</v>
      </c>
      <c r="B217" t="b">
        <v>1</v>
      </c>
      <c r="E217">
        <v>220</v>
      </c>
      <c r="F217" t="str">
        <f>HYPERLINK("https://portal.dnb.de/opac.htm?method=simpleSearch&amp;cqlMode=true&amp;query=idn%3D1066970858", "Portal")</f>
        <v>Portal</v>
      </c>
      <c r="G217" t="s">
        <v>112</v>
      </c>
      <c r="H217" t="s">
        <v>1146</v>
      </c>
      <c r="I217" t="s">
        <v>1147</v>
      </c>
      <c r="J217" t="s">
        <v>1148</v>
      </c>
      <c r="K217" t="s">
        <v>1148</v>
      </c>
      <c r="L217" t="s">
        <v>1148</v>
      </c>
      <c r="N217" t="s">
        <v>969</v>
      </c>
      <c r="O217" t="s">
        <v>118</v>
      </c>
      <c r="BN217">
        <v>0</v>
      </c>
    </row>
    <row r="218" spans="1:66" x14ac:dyDescent="0.2">
      <c r="A218" t="s">
        <v>111</v>
      </c>
      <c r="B218" t="b">
        <v>1</v>
      </c>
      <c r="E218">
        <v>221</v>
      </c>
      <c r="F218" t="str">
        <f>HYPERLINK("https://portal.dnb.de/opac.htm?method=simpleSearch&amp;cqlMode=true&amp;query=idn%3D1066966699", "Portal")</f>
        <v>Portal</v>
      </c>
      <c r="G218" t="s">
        <v>112</v>
      </c>
      <c r="H218" t="s">
        <v>1149</v>
      </c>
      <c r="I218" t="s">
        <v>1150</v>
      </c>
      <c r="J218" t="s">
        <v>1151</v>
      </c>
      <c r="K218" t="s">
        <v>1151</v>
      </c>
      <c r="L218" t="s">
        <v>1151</v>
      </c>
      <c r="N218" t="s">
        <v>644</v>
      </c>
      <c r="O218" t="s">
        <v>118</v>
      </c>
      <c r="BN218">
        <v>0</v>
      </c>
    </row>
    <row r="219" spans="1:66" x14ac:dyDescent="0.2">
      <c r="A219" t="s">
        <v>111</v>
      </c>
      <c r="B219" t="b">
        <v>1</v>
      </c>
      <c r="E219">
        <v>222</v>
      </c>
      <c r="F219" t="str">
        <f>HYPERLINK("https://portal.dnb.de/opac.htm?method=simpleSearch&amp;cqlMode=true&amp;query=idn%3D1072266288", "Portal")</f>
        <v>Portal</v>
      </c>
      <c r="G219" t="s">
        <v>112</v>
      </c>
      <c r="H219" t="s">
        <v>1152</v>
      </c>
      <c r="I219" t="s">
        <v>1153</v>
      </c>
      <c r="J219" t="s">
        <v>1154</v>
      </c>
      <c r="K219" t="s">
        <v>1154</v>
      </c>
      <c r="L219" t="s">
        <v>1154</v>
      </c>
      <c r="N219" t="s">
        <v>1155</v>
      </c>
      <c r="O219" t="s">
        <v>118</v>
      </c>
      <c r="BN219">
        <v>0</v>
      </c>
    </row>
    <row r="220" spans="1:66" x14ac:dyDescent="0.2">
      <c r="A220" t="s">
        <v>111</v>
      </c>
      <c r="B220" t="b">
        <v>1</v>
      </c>
      <c r="E220">
        <v>223</v>
      </c>
      <c r="F220" t="str">
        <f>HYPERLINK("https://portal.dnb.de/opac.htm?method=simpleSearch&amp;cqlMode=true&amp;query=idn%3D1173179313", "Portal")</f>
        <v>Portal</v>
      </c>
      <c r="G220" t="s">
        <v>470</v>
      </c>
      <c r="H220" t="s">
        <v>1156</v>
      </c>
      <c r="I220" t="s">
        <v>1141</v>
      </c>
      <c r="J220" t="s">
        <v>1157</v>
      </c>
      <c r="K220" t="s">
        <v>1157</v>
      </c>
      <c r="L220" t="s">
        <v>1157</v>
      </c>
      <c r="N220" t="s">
        <v>830</v>
      </c>
      <c r="O220" t="s">
        <v>1143</v>
      </c>
      <c r="BN220">
        <v>0</v>
      </c>
    </row>
    <row r="221" spans="1:66" x14ac:dyDescent="0.2">
      <c r="A221" t="s">
        <v>111</v>
      </c>
      <c r="B221" t="b">
        <v>1</v>
      </c>
      <c r="E221">
        <v>224</v>
      </c>
      <c r="F221" t="str">
        <f>HYPERLINK("https://portal.dnb.de/opac.htm?method=simpleSearch&amp;cqlMode=true&amp;query=idn%3D1066966699", "Portal")</f>
        <v>Portal</v>
      </c>
      <c r="G221" t="s">
        <v>112</v>
      </c>
      <c r="H221" t="s">
        <v>1158</v>
      </c>
      <c r="I221" t="s">
        <v>1150</v>
      </c>
      <c r="J221" t="s">
        <v>1159</v>
      </c>
      <c r="K221" t="s">
        <v>1159</v>
      </c>
      <c r="L221" t="s">
        <v>1159</v>
      </c>
      <c r="N221" t="s">
        <v>644</v>
      </c>
      <c r="O221" t="s">
        <v>118</v>
      </c>
      <c r="BN221">
        <v>0</v>
      </c>
    </row>
    <row r="222" spans="1:66" x14ac:dyDescent="0.2">
      <c r="A222" t="s">
        <v>111</v>
      </c>
      <c r="B222" t="b">
        <v>1</v>
      </c>
      <c r="E222">
        <v>225</v>
      </c>
      <c r="F222" t="str">
        <f>HYPERLINK("https://portal.dnb.de/opac.htm?method=simpleSearch&amp;cqlMode=true&amp;query=idn%3D1066966788", "Portal")</f>
        <v>Portal</v>
      </c>
      <c r="G222" t="s">
        <v>143</v>
      </c>
      <c r="H222" t="s">
        <v>1160</v>
      </c>
      <c r="I222" t="s">
        <v>1161</v>
      </c>
      <c r="J222" t="s">
        <v>1162</v>
      </c>
      <c r="K222" t="s">
        <v>1162</v>
      </c>
      <c r="L222" t="s">
        <v>1162</v>
      </c>
      <c r="N222" t="s">
        <v>1163</v>
      </c>
      <c r="O222" t="s">
        <v>118</v>
      </c>
      <c r="BN222">
        <v>0</v>
      </c>
    </row>
    <row r="223" spans="1:66" x14ac:dyDescent="0.2">
      <c r="A223" t="s">
        <v>111</v>
      </c>
      <c r="B223" t="b">
        <v>1</v>
      </c>
      <c r="E223">
        <v>226</v>
      </c>
      <c r="F223" t="str">
        <f>HYPERLINK("https://portal.dnb.de/opac.htm?method=simpleSearch&amp;cqlMode=true&amp;query=idn%3D1066966575", "Portal")</f>
        <v>Portal</v>
      </c>
      <c r="G223" t="s">
        <v>112</v>
      </c>
      <c r="H223" t="s">
        <v>1164</v>
      </c>
      <c r="I223" t="s">
        <v>1165</v>
      </c>
      <c r="J223" t="s">
        <v>1166</v>
      </c>
      <c r="K223" t="s">
        <v>1166</v>
      </c>
      <c r="L223" t="s">
        <v>1166</v>
      </c>
      <c r="N223" t="s">
        <v>644</v>
      </c>
      <c r="O223" t="s">
        <v>118</v>
      </c>
      <c r="BN223">
        <v>0</v>
      </c>
    </row>
    <row r="224" spans="1:66" x14ac:dyDescent="0.2">
      <c r="A224" t="s">
        <v>111</v>
      </c>
      <c r="B224" t="b">
        <v>0</v>
      </c>
      <c r="E224">
        <v>227</v>
      </c>
      <c r="F224" t="str">
        <f>HYPERLINK("https://portal.dnb.de/opac.htm?method=simpleSearch&amp;cqlMode=true&amp;query=idn%3D1066967717", "Portal")</f>
        <v>Portal</v>
      </c>
      <c r="G224" t="s">
        <v>1167</v>
      </c>
      <c r="H224" t="s">
        <v>1168</v>
      </c>
      <c r="I224" t="s">
        <v>1169</v>
      </c>
      <c r="J224" t="s">
        <v>1170</v>
      </c>
      <c r="L224" t="s">
        <v>1170</v>
      </c>
      <c r="BN224">
        <v>0</v>
      </c>
    </row>
    <row r="225" spans="1:66" x14ac:dyDescent="0.2">
      <c r="A225" t="s">
        <v>111</v>
      </c>
      <c r="B225" t="b">
        <v>1</v>
      </c>
      <c r="F225" t="str">
        <f>HYPERLINK("https://portal.dnb.de/opac.htm?method=simpleSearch&amp;cqlMode=true&amp;query=idn%3D1066967725", "Portal")</f>
        <v>Portal</v>
      </c>
      <c r="G225" t="s">
        <v>143</v>
      </c>
      <c r="H225" t="s">
        <v>1171</v>
      </c>
      <c r="I225" t="s">
        <v>1172</v>
      </c>
      <c r="J225" t="s">
        <v>1170</v>
      </c>
      <c r="K225" t="s">
        <v>1170</v>
      </c>
      <c r="L225" t="s">
        <v>1170</v>
      </c>
      <c r="N225" t="s">
        <v>1173</v>
      </c>
      <c r="O225" t="s">
        <v>118</v>
      </c>
    </row>
    <row r="226" spans="1:66" x14ac:dyDescent="0.2">
      <c r="A226" t="s">
        <v>111</v>
      </c>
      <c r="B226" t="b">
        <v>1</v>
      </c>
      <c r="E226">
        <v>228</v>
      </c>
      <c r="F226" t="str">
        <f>HYPERLINK("https://portal.dnb.de/opac.htm?method=simpleSearch&amp;cqlMode=true&amp;query=idn%3D1066966559", "Portal")</f>
        <v>Portal</v>
      </c>
      <c r="G226" t="s">
        <v>112</v>
      </c>
      <c r="H226" t="s">
        <v>1174</v>
      </c>
      <c r="I226" t="s">
        <v>1175</v>
      </c>
      <c r="J226" t="s">
        <v>1176</v>
      </c>
      <c r="K226" t="s">
        <v>1176</v>
      </c>
      <c r="L226" t="s">
        <v>1176</v>
      </c>
      <c r="N226" t="s">
        <v>644</v>
      </c>
      <c r="O226" t="s">
        <v>118</v>
      </c>
      <c r="BN226">
        <v>0</v>
      </c>
    </row>
    <row r="227" spans="1:66" x14ac:dyDescent="0.2">
      <c r="A227" t="s">
        <v>111</v>
      </c>
      <c r="B227" t="b">
        <v>0</v>
      </c>
      <c r="E227">
        <v>229</v>
      </c>
      <c r="F227" t="str">
        <f>HYPERLINK("https://portal.dnb.de/opac.htm?method=simpleSearch&amp;cqlMode=true&amp;query=idn%3D1066966249", "Portal")</f>
        <v>Portal</v>
      </c>
      <c r="G227" t="s">
        <v>112</v>
      </c>
      <c r="H227" t="s">
        <v>1177</v>
      </c>
      <c r="I227" t="s">
        <v>1178</v>
      </c>
      <c r="J227" t="s">
        <v>1179</v>
      </c>
      <c r="L227" t="s">
        <v>1179</v>
      </c>
      <c r="BN227">
        <v>0</v>
      </c>
    </row>
    <row r="228" spans="1:66" x14ac:dyDescent="0.2">
      <c r="A228" t="s">
        <v>111</v>
      </c>
      <c r="B228" t="b">
        <v>1</v>
      </c>
      <c r="E228">
        <v>231</v>
      </c>
      <c r="F228" t="str">
        <f>HYPERLINK("https://portal.dnb.de/opac.htm?method=simpleSearch&amp;cqlMode=true&amp;query=idn%3D1066971528", "Portal")</f>
        <v>Portal</v>
      </c>
      <c r="G228" t="s">
        <v>143</v>
      </c>
      <c r="H228" t="s">
        <v>1180</v>
      </c>
      <c r="I228" t="s">
        <v>1181</v>
      </c>
      <c r="J228" t="s">
        <v>1182</v>
      </c>
      <c r="K228" t="s">
        <v>1182</v>
      </c>
      <c r="L228" t="s">
        <v>1182</v>
      </c>
      <c r="N228" t="s">
        <v>1183</v>
      </c>
      <c r="O228" t="s">
        <v>118</v>
      </c>
      <c r="BN228">
        <v>0</v>
      </c>
    </row>
    <row r="229" spans="1:66" x14ac:dyDescent="0.2">
      <c r="A229" t="s">
        <v>111</v>
      </c>
      <c r="B229" t="b">
        <v>1</v>
      </c>
      <c r="E229">
        <v>232</v>
      </c>
      <c r="F229" t="str">
        <f>HYPERLINK("https://portal.dnb.de/opac.htm?method=simpleSearch&amp;cqlMode=true&amp;query=idn%3D1066957290", "Portal")</f>
        <v>Portal</v>
      </c>
      <c r="G229" t="s">
        <v>143</v>
      </c>
      <c r="H229" t="s">
        <v>1184</v>
      </c>
      <c r="I229" t="s">
        <v>461</v>
      </c>
      <c r="J229" t="s">
        <v>1185</v>
      </c>
      <c r="K229" t="s">
        <v>1185</v>
      </c>
      <c r="L229" t="s">
        <v>1185</v>
      </c>
      <c r="N229" t="s">
        <v>464</v>
      </c>
      <c r="O229" t="s">
        <v>118</v>
      </c>
      <c r="BN229">
        <v>0</v>
      </c>
    </row>
    <row r="230" spans="1:66" x14ac:dyDescent="0.2">
      <c r="A230" t="s">
        <v>111</v>
      </c>
      <c r="B230" t="b">
        <v>1</v>
      </c>
      <c r="E230">
        <v>233</v>
      </c>
      <c r="F230" t="str">
        <f>HYPERLINK("https://portal.dnb.de/opac.htm?method=simpleSearch&amp;cqlMode=true&amp;query=idn%3D1066968276", "Portal")</f>
        <v>Portal</v>
      </c>
      <c r="G230" t="s">
        <v>112</v>
      </c>
      <c r="H230" t="s">
        <v>1186</v>
      </c>
      <c r="I230" t="s">
        <v>1187</v>
      </c>
      <c r="J230" t="s">
        <v>1188</v>
      </c>
      <c r="K230" t="s">
        <v>1188</v>
      </c>
      <c r="L230" t="s">
        <v>1188</v>
      </c>
      <c r="N230" t="s">
        <v>1189</v>
      </c>
      <c r="O230" t="s">
        <v>118</v>
      </c>
      <c r="BN230">
        <v>0</v>
      </c>
    </row>
    <row r="231" spans="1:66" x14ac:dyDescent="0.2">
      <c r="A231" t="s">
        <v>111</v>
      </c>
      <c r="B231" t="b">
        <v>1</v>
      </c>
      <c r="E231">
        <v>234</v>
      </c>
      <c r="F231" t="str">
        <f>HYPERLINK("https://portal.dnb.de/opac.htm?method=simpleSearch&amp;cqlMode=true&amp;query=idn%3D1066966710", "Portal")</f>
        <v>Portal</v>
      </c>
      <c r="G231" t="s">
        <v>143</v>
      </c>
      <c r="H231" t="s">
        <v>1190</v>
      </c>
      <c r="I231" t="s">
        <v>1191</v>
      </c>
      <c r="J231" t="s">
        <v>1192</v>
      </c>
      <c r="K231" t="s">
        <v>1192</v>
      </c>
      <c r="L231" t="s">
        <v>1192</v>
      </c>
      <c r="N231" t="s">
        <v>1193</v>
      </c>
      <c r="O231" t="s">
        <v>118</v>
      </c>
      <c r="BN231">
        <v>0</v>
      </c>
    </row>
    <row r="232" spans="1:66" x14ac:dyDescent="0.2">
      <c r="A232" t="s">
        <v>111</v>
      </c>
      <c r="B232" t="b">
        <v>1</v>
      </c>
      <c r="E232">
        <v>235</v>
      </c>
      <c r="F232" t="str">
        <f>HYPERLINK("https://portal.dnb.de/opac.htm?method=simpleSearch&amp;cqlMode=true&amp;query=idn%3D1066970432", "Portal")</f>
        <v>Portal</v>
      </c>
      <c r="G232" t="s">
        <v>112</v>
      </c>
      <c r="H232" t="s">
        <v>1194</v>
      </c>
      <c r="I232" t="s">
        <v>700</v>
      </c>
      <c r="J232" t="s">
        <v>1195</v>
      </c>
      <c r="K232" t="s">
        <v>1195</v>
      </c>
      <c r="L232" t="s">
        <v>1195</v>
      </c>
      <c r="N232" t="s">
        <v>703</v>
      </c>
      <c r="O232" t="s">
        <v>118</v>
      </c>
      <c r="BN232">
        <v>0</v>
      </c>
    </row>
    <row r="233" spans="1:66" x14ac:dyDescent="0.2">
      <c r="A233" t="s">
        <v>111</v>
      </c>
      <c r="B233" t="b">
        <v>1</v>
      </c>
      <c r="E233">
        <v>236</v>
      </c>
      <c r="F233" t="str">
        <f>HYPERLINK("https://portal.dnb.de/opac.htm?method=simpleSearch&amp;cqlMode=true&amp;query=idn%3D107226661X", "Portal")</f>
        <v>Portal</v>
      </c>
      <c r="G233" t="s">
        <v>112</v>
      </c>
      <c r="H233" t="s">
        <v>1196</v>
      </c>
      <c r="I233" t="s">
        <v>1197</v>
      </c>
      <c r="J233" t="s">
        <v>1198</v>
      </c>
      <c r="K233" t="s">
        <v>1198</v>
      </c>
      <c r="L233" t="s">
        <v>1198</v>
      </c>
      <c r="N233" t="s">
        <v>1199</v>
      </c>
      <c r="O233" t="s">
        <v>118</v>
      </c>
      <c r="BN233">
        <v>0</v>
      </c>
    </row>
    <row r="234" spans="1:66" x14ac:dyDescent="0.2">
      <c r="A234" t="s">
        <v>111</v>
      </c>
      <c r="B234" t="b">
        <v>1</v>
      </c>
      <c r="E234">
        <v>237</v>
      </c>
      <c r="F234" t="str">
        <f>HYPERLINK("https://portal.dnb.de/opac.htm?method=simpleSearch&amp;cqlMode=true&amp;query=idn%3D1066972036", "Portal")</f>
        <v>Portal</v>
      </c>
      <c r="G234" t="s">
        <v>143</v>
      </c>
      <c r="H234" t="s">
        <v>1200</v>
      </c>
      <c r="I234" t="s">
        <v>1201</v>
      </c>
      <c r="J234" t="s">
        <v>1202</v>
      </c>
      <c r="K234" t="s">
        <v>1202</v>
      </c>
      <c r="L234" t="s">
        <v>1202</v>
      </c>
      <c r="N234" t="s">
        <v>1203</v>
      </c>
      <c r="O234" t="s">
        <v>118</v>
      </c>
      <c r="BN234">
        <v>0</v>
      </c>
    </row>
    <row r="235" spans="1:66" x14ac:dyDescent="0.2">
      <c r="A235" t="s">
        <v>111</v>
      </c>
      <c r="B235" t="b">
        <v>1</v>
      </c>
      <c r="E235">
        <v>238</v>
      </c>
      <c r="F235" t="str">
        <f>HYPERLINK("https://portal.dnb.de/opac.htm?method=simpleSearch&amp;cqlMode=true&amp;query=idn%3D1066969647", "Portal")</f>
        <v>Portal</v>
      </c>
      <c r="G235" t="s">
        <v>112</v>
      </c>
      <c r="H235" t="s">
        <v>1204</v>
      </c>
      <c r="I235" t="s">
        <v>1205</v>
      </c>
      <c r="J235" t="s">
        <v>1206</v>
      </c>
      <c r="K235" t="s">
        <v>1206</v>
      </c>
      <c r="L235" t="s">
        <v>1206</v>
      </c>
      <c r="N235" t="s">
        <v>1207</v>
      </c>
      <c r="O235" t="s">
        <v>118</v>
      </c>
      <c r="BN235">
        <v>0</v>
      </c>
    </row>
    <row r="236" spans="1:66" x14ac:dyDescent="0.2">
      <c r="A236" t="s">
        <v>111</v>
      </c>
      <c r="B236" t="b">
        <v>1</v>
      </c>
      <c r="E236">
        <v>239</v>
      </c>
      <c r="F236" t="str">
        <f>HYPERLINK("https://portal.dnb.de/opac.htm?method=simpleSearch&amp;cqlMode=true&amp;query=idn%3D1066968500", "Portal")</f>
        <v>Portal</v>
      </c>
      <c r="G236" t="s">
        <v>112</v>
      </c>
      <c r="H236" t="s">
        <v>1208</v>
      </c>
      <c r="I236" t="s">
        <v>1209</v>
      </c>
      <c r="J236" t="s">
        <v>1210</v>
      </c>
      <c r="K236" t="s">
        <v>1210</v>
      </c>
      <c r="L236" t="s">
        <v>1210</v>
      </c>
      <c r="N236" t="s">
        <v>348</v>
      </c>
      <c r="O236" t="s">
        <v>118</v>
      </c>
      <c r="BN236">
        <v>0</v>
      </c>
    </row>
    <row r="237" spans="1:66" x14ac:dyDescent="0.2">
      <c r="A237" t="s">
        <v>111</v>
      </c>
      <c r="B237" t="b">
        <v>1</v>
      </c>
      <c r="E237">
        <v>240</v>
      </c>
      <c r="F237" t="str">
        <f>HYPERLINK("https://portal.dnb.de/opac.htm?method=simpleSearch&amp;cqlMode=true&amp;query=idn%3D1066968683", "Portal")</f>
        <v>Portal</v>
      </c>
      <c r="G237" t="s">
        <v>112</v>
      </c>
      <c r="H237" t="s">
        <v>1211</v>
      </c>
      <c r="I237" t="s">
        <v>1212</v>
      </c>
      <c r="J237" t="s">
        <v>1213</v>
      </c>
      <c r="K237" t="s">
        <v>1213</v>
      </c>
      <c r="L237" t="s">
        <v>1213</v>
      </c>
      <c r="N237" t="s">
        <v>372</v>
      </c>
      <c r="O237" t="s">
        <v>118</v>
      </c>
      <c r="BN237">
        <v>0</v>
      </c>
    </row>
    <row r="238" spans="1:66" x14ac:dyDescent="0.2">
      <c r="A238" t="s">
        <v>111</v>
      </c>
      <c r="B238" t="b">
        <v>1</v>
      </c>
      <c r="E238">
        <v>241</v>
      </c>
      <c r="F238" t="str">
        <f>HYPERLINK("https://portal.dnb.de/opac.htm?method=simpleSearch&amp;cqlMode=true&amp;query=idn%3D1066968195", "Portal")</f>
        <v>Portal</v>
      </c>
      <c r="G238" t="s">
        <v>143</v>
      </c>
      <c r="H238" t="s">
        <v>1214</v>
      </c>
      <c r="I238" t="s">
        <v>1215</v>
      </c>
      <c r="J238" t="s">
        <v>1216</v>
      </c>
      <c r="K238" t="s">
        <v>1216</v>
      </c>
      <c r="L238" t="s">
        <v>1216</v>
      </c>
      <c r="N238" t="s">
        <v>1217</v>
      </c>
      <c r="O238" t="s">
        <v>118</v>
      </c>
      <c r="BN238">
        <v>0</v>
      </c>
    </row>
    <row r="239" spans="1:66" x14ac:dyDescent="0.2">
      <c r="A239" t="s">
        <v>111</v>
      </c>
      <c r="B239" t="b">
        <v>1</v>
      </c>
      <c r="E239">
        <v>242</v>
      </c>
      <c r="F239" t="str">
        <f>HYPERLINK("https://portal.dnb.de/opac.htm?method=simpleSearch&amp;cqlMode=true&amp;query=idn%3D1072267047", "Portal")</f>
        <v>Portal</v>
      </c>
      <c r="G239" t="s">
        <v>112</v>
      </c>
      <c r="H239" t="s">
        <v>1218</v>
      </c>
      <c r="I239" t="s">
        <v>1219</v>
      </c>
      <c r="J239" t="s">
        <v>1220</v>
      </c>
      <c r="K239" t="s">
        <v>1220</v>
      </c>
      <c r="L239" t="s">
        <v>1220</v>
      </c>
      <c r="N239" t="s">
        <v>1221</v>
      </c>
      <c r="O239" t="s">
        <v>118</v>
      </c>
      <c r="BN239">
        <v>0</v>
      </c>
    </row>
    <row r="240" spans="1:66" x14ac:dyDescent="0.2">
      <c r="A240" t="s">
        <v>111</v>
      </c>
      <c r="B240" t="b">
        <v>1</v>
      </c>
      <c r="E240">
        <v>243</v>
      </c>
      <c r="F240" t="str">
        <f>HYPERLINK("https://portal.dnb.de/opac.htm?method=simpleSearch&amp;cqlMode=true&amp;query=idn%3D1066968608", "Portal")</f>
        <v>Portal</v>
      </c>
      <c r="G240" t="s">
        <v>112</v>
      </c>
      <c r="H240" t="s">
        <v>1222</v>
      </c>
      <c r="I240" t="s">
        <v>964</v>
      </c>
      <c r="J240" t="s">
        <v>1223</v>
      </c>
      <c r="K240" t="s">
        <v>1223</v>
      </c>
      <c r="L240" t="s">
        <v>1223</v>
      </c>
      <c r="N240" t="s">
        <v>516</v>
      </c>
      <c r="O240" t="s">
        <v>118</v>
      </c>
      <c r="BN240">
        <v>0</v>
      </c>
    </row>
    <row r="241" spans="1:66" x14ac:dyDescent="0.2">
      <c r="A241" t="s">
        <v>111</v>
      </c>
      <c r="B241" t="b">
        <v>1</v>
      </c>
      <c r="E241">
        <v>244</v>
      </c>
      <c r="F241" t="str">
        <f>HYPERLINK("https://portal.dnb.de/opac.htm?method=simpleSearch&amp;cqlMode=true&amp;query=idn%3D1066966680", "Portal")</f>
        <v>Portal</v>
      </c>
      <c r="G241" t="s">
        <v>112</v>
      </c>
      <c r="H241" t="s">
        <v>1224</v>
      </c>
      <c r="I241" t="s">
        <v>1225</v>
      </c>
      <c r="J241" t="s">
        <v>1226</v>
      </c>
      <c r="K241" t="s">
        <v>1226</v>
      </c>
      <c r="L241" t="s">
        <v>1226</v>
      </c>
      <c r="N241" t="s">
        <v>644</v>
      </c>
      <c r="O241" t="s">
        <v>118</v>
      </c>
      <c r="BN241">
        <v>0</v>
      </c>
    </row>
    <row r="242" spans="1:66" x14ac:dyDescent="0.2">
      <c r="A242" t="s">
        <v>111</v>
      </c>
      <c r="B242" t="b">
        <v>1</v>
      </c>
      <c r="E242">
        <v>245</v>
      </c>
      <c r="F242" t="str">
        <f>HYPERLINK("https://portal.dnb.de/opac.htm?method=simpleSearch&amp;cqlMode=true&amp;query=idn%3D1066966664", "Portal")</f>
        <v>Portal</v>
      </c>
      <c r="G242" t="s">
        <v>112</v>
      </c>
      <c r="H242" t="s">
        <v>1227</v>
      </c>
      <c r="I242" t="s">
        <v>1228</v>
      </c>
      <c r="J242" t="s">
        <v>1229</v>
      </c>
      <c r="K242" t="s">
        <v>1229</v>
      </c>
      <c r="L242" t="s">
        <v>1229</v>
      </c>
      <c r="N242" t="s">
        <v>644</v>
      </c>
      <c r="O242" t="s">
        <v>118</v>
      </c>
      <c r="BN242">
        <v>0</v>
      </c>
    </row>
    <row r="243" spans="1:66" x14ac:dyDescent="0.2">
      <c r="A243" t="s">
        <v>111</v>
      </c>
      <c r="B243" t="b">
        <v>1</v>
      </c>
      <c r="E243">
        <v>246</v>
      </c>
      <c r="F243" t="str">
        <f>HYPERLINK("https://portal.dnb.de/opac.htm?method=simpleSearch&amp;cqlMode=true&amp;query=idn%3D1066967210", "Portal")</f>
        <v>Portal</v>
      </c>
      <c r="G243" t="s">
        <v>143</v>
      </c>
      <c r="H243" t="s">
        <v>1230</v>
      </c>
      <c r="I243" t="s">
        <v>1231</v>
      </c>
      <c r="J243" t="s">
        <v>1232</v>
      </c>
      <c r="K243" t="s">
        <v>1232</v>
      </c>
      <c r="L243" t="s">
        <v>1232</v>
      </c>
      <c r="N243" t="s">
        <v>1233</v>
      </c>
      <c r="O243" t="s">
        <v>118</v>
      </c>
      <c r="BN243">
        <v>0</v>
      </c>
    </row>
    <row r="244" spans="1:66" x14ac:dyDescent="0.2">
      <c r="A244" t="s">
        <v>111</v>
      </c>
      <c r="B244" t="b">
        <v>1</v>
      </c>
      <c r="E244">
        <v>247</v>
      </c>
      <c r="F244" t="str">
        <f>HYPERLINK("https://portal.dnb.de/opac.htm?method=simpleSearch&amp;cqlMode=true&amp;query=idn%3D1066967792", "Portal")</f>
        <v>Portal</v>
      </c>
      <c r="G244" t="s">
        <v>143</v>
      </c>
      <c r="H244" t="s">
        <v>1234</v>
      </c>
      <c r="I244" t="s">
        <v>1235</v>
      </c>
      <c r="J244" t="s">
        <v>1236</v>
      </c>
      <c r="K244" t="s">
        <v>1236</v>
      </c>
      <c r="L244" t="s">
        <v>1236</v>
      </c>
      <c r="N244" t="s">
        <v>1237</v>
      </c>
      <c r="O244" t="s">
        <v>118</v>
      </c>
      <c r="BN244">
        <v>0</v>
      </c>
    </row>
    <row r="245" spans="1:66" x14ac:dyDescent="0.2">
      <c r="A245" t="s">
        <v>111</v>
      </c>
      <c r="B245" t="b">
        <v>1</v>
      </c>
      <c r="E245">
        <v>248</v>
      </c>
      <c r="F245" t="str">
        <f>HYPERLINK("https://portal.dnb.de/opac.htm?method=simpleSearch&amp;cqlMode=true&amp;query=idn%3D1066966400", "Portal")</f>
        <v>Portal</v>
      </c>
      <c r="G245" t="s">
        <v>143</v>
      </c>
      <c r="H245" t="s">
        <v>1238</v>
      </c>
      <c r="I245" t="s">
        <v>1239</v>
      </c>
      <c r="J245" t="s">
        <v>1240</v>
      </c>
      <c r="K245" t="s">
        <v>1240</v>
      </c>
      <c r="L245" t="s">
        <v>1240</v>
      </c>
      <c r="N245" t="s">
        <v>542</v>
      </c>
      <c r="O245" t="s">
        <v>118</v>
      </c>
      <c r="BN245">
        <v>0</v>
      </c>
    </row>
    <row r="246" spans="1:66" x14ac:dyDescent="0.2">
      <c r="A246" t="s">
        <v>111</v>
      </c>
      <c r="B246" t="b">
        <v>1</v>
      </c>
      <c r="E246">
        <v>249</v>
      </c>
      <c r="F246" t="str">
        <f>HYPERLINK("https://portal.dnb.de/opac.htm?method=simpleSearch&amp;cqlMode=true&amp;query=idn%3D1072267322", "Portal")</f>
        <v>Portal</v>
      </c>
      <c r="G246" t="s">
        <v>112</v>
      </c>
      <c r="H246" t="s">
        <v>1241</v>
      </c>
      <c r="I246" t="s">
        <v>1242</v>
      </c>
      <c r="J246" t="s">
        <v>1243</v>
      </c>
      <c r="K246" t="s">
        <v>1243</v>
      </c>
      <c r="L246" t="s">
        <v>1243</v>
      </c>
      <c r="N246" t="s">
        <v>1244</v>
      </c>
      <c r="O246" t="s">
        <v>118</v>
      </c>
      <c r="BN246">
        <v>0</v>
      </c>
    </row>
    <row r="247" spans="1:66" x14ac:dyDescent="0.2">
      <c r="A247" t="s">
        <v>111</v>
      </c>
      <c r="B247" t="b">
        <v>1</v>
      </c>
      <c r="E247">
        <v>250</v>
      </c>
      <c r="F247" t="str">
        <f>HYPERLINK("https://portal.dnb.de/opac.htm?method=simpleSearch&amp;cqlMode=true&amp;query=idn%3D1066969957", "Portal")</f>
        <v>Portal</v>
      </c>
      <c r="G247" t="s">
        <v>112</v>
      </c>
      <c r="H247" t="s">
        <v>1245</v>
      </c>
      <c r="I247" t="s">
        <v>1246</v>
      </c>
      <c r="J247" t="s">
        <v>1247</v>
      </c>
      <c r="K247" t="s">
        <v>1247</v>
      </c>
      <c r="L247" t="s">
        <v>1247</v>
      </c>
      <c r="N247" t="s">
        <v>1248</v>
      </c>
      <c r="O247" t="s">
        <v>118</v>
      </c>
      <c r="BN247">
        <v>0</v>
      </c>
    </row>
    <row r="248" spans="1:66" x14ac:dyDescent="0.2">
      <c r="A248" t="s">
        <v>111</v>
      </c>
      <c r="B248" t="b">
        <v>1</v>
      </c>
      <c r="E248">
        <v>251</v>
      </c>
      <c r="F248" t="str">
        <f>HYPERLINK("https://portal.dnb.de/opac.htm?method=simpleSearch&amp;cqlMode=true&amp;query=idn%3D1066970793", "Portal")</f>
        <v>Portal</v>
      </c>
      <c r="G248" t="s">
        <v>143</v>
      </c>
      <c r="H248" t="s">
        <v>1249</v>
      </c>
      <c r="I248" t="s">
        <v>1250</v>
      </c>
      <c r="J248" t="s">
        <v>1251</v>
      </c>
      <c r="K248" t="s">
        <v>1251</v>
      </c>
      <c r="L248" t="s">
        <v>1251</v>
      </c>
      <c r="N248" t="s">
        <v>1252</v>
      </c>
      <c r="O248" t="s">
        <v>118</v>
      </c>
      <c r="BN248">
        <v>0</v>
      </c>
    </row>
    <row r="249" spans="1:66" x14ac:dyDescent="0.2">
      <c r="A249" t="s">
        <v>111</v>
      </c>
      <c r="B249" t="b">
        <v>1</v>
      </c>
      <c r="E249">
        <v>252</v>
      </c>
      <c r="F249" t="str">
        <f>HYPERLINK("https://portal.dnb.de/opac.htm?method=simpleSearch&amp;cqlMode=true&amp;query=idn%3D1066971943", "Portal")</f>
        <v>Portal</v>
      </c>
      <c r="G249" t="s">
        <v>143</v>
      </c>
      <c r="H249" t="s">
        <v>1253</v>
      </c>
      <c r="I249" t="s">
        <v>1254</v>
      </c>
      <c r="J249" t="s">
        <v>1255</v>
      </c>
      <c r="K249" t="s">
        <v>1255</v>
      </c>
      <c r="L249" t="s">
        <v>1255</v>
      </c>
      <c r="N249" t="s">
        <v>1256</v>
      </c>
      <c r="O249" t="s">
        <v>118</v>
      </c>
      <c r="BN249">
        <v>0</v>
      </c>
    </row>
    <row r="250" spans="1:66" x14ac:dyDescent="0.2">
      <c r="A250" t="s">
        <v>111</v>
      </c>
      <c r="B250" t="b">
        <v>1</v>
      </c>
      <c r="E250">
        <v>253</v>
      </c>
      <c r="F250" t="str">
        <f>HYPERLINK("https://portal.dnb.de/opac.htm?method=simpleSearch&amp;cqlMode=true&amp;query=idn%3D1066971021", "Portal")</f>
        <v>Portal</v>
      </c>
      <c r="G250" t="s">
        <v>143</v>
      </c>
      <c r="H250" t="s">
        <v>1257</v>
      </c>
      <c r="I250" t="s">
        <v>1258</v>
      </c>
      <c r="J250" t="s">
        <v>1259</v>
      </c>
      <c r="K250" t="s">
        <v>1259</v>
      </c>
      <c r="L250" t="s">
        <v>1260</v>
      </c>
      <c r="N250" t="s">
        <v>1261</v>
      </c>
      <c r="O250" t="s">
        <v>118</v>
      </c>
      <c r="P250" t="s">
        <v>119</v>
      </c>
      <c r="R250" t="s">
        <v>260</v>
      </c>
      <c r="S250" t="s">
        <v>216</v>
      </c>
      <c r="T250" t="s">
        <v>150</v>
      </c>
      <c r="U250" t="s">
        <v>1262</v>
      </c>
      <c r="W250" t="s">
        <v>67</v>
      </c>
      <c r="X250" t="s">
        <v>124</v>
      </c>
      <c r="Y250">
        <v>0</v>
      </c>
      <c r="AI250" t="s">
        <v>253</v>
      </c>
      <c r="AM250" t="s">
        <v>153</v>
      </c>
      <c r="AS250" t="s">
        <v>127</v>
      </c>
      <c r="BG250">
        <v>110</v>
      </c>
      <c r="BM250" t="s">
        <v>129</v>
      </c>
      <c r="BN250">
        <v>0</v>
      </c>
    </row>
    <row r="251" spans="1:66" x14ac:dyDescent="0.2">
      <c r="A251" t="s">
        <v>111</v>
      </c>
      <c r="B251" t="b">
        <v>1</v>
      </c>
      <c r="E251">
        <v>254</v>
      </c>
      <c r="F251" t="str">
        <f>HYPERLINK("https://portal.dnb.de/opac.htm?method=simpleSearch&amp;cqlMode=true&amp;query=idn%3D1047218887", "Portal")</f>
        <v>Portal</v>
      </c>
      <c r="G251" t="s">
        <v>537</v>
      </c>
      <c r="H251" t="s">
        <v>1263</v>
      </c>
      <c r="I251" t="s">
        <v>1264</v>
      </c>
      <c r="J251" t="s">
        <v>1265</v>
      </c>
      <c r="K251" t="s">
        <v>1265</v>
      </c>
      <c r="L251" t="s">
        <v>1266</v>
      </c>
      <c r="N251" t="s">
        <v>1267</v>
      </c>
      <c r="O251" t="s">
        <v>118</v>
      </c>
      <c r="P251" t="s">
        <v>119</v>
      </c>
      <c r="R251" t="s">
        <v>137</v>
      </c>
      <c r="S251" t="s">
        <v>121</v>
      </c>
      <c r="T251" t="s">
        <v>150</v>
      </c>
      <c r="U251" t="s">
        <v>186</v>
      </c>
      <c r="X251" t="s">
        <v>140</v>
      </c>
      <c r="Y251">
        <v>0</v>
      </c>
      <c r="AI251" t="s">
        <v>127</v>
      </c>
      <c r="AM251" t="s">
        <v>467</v>
      </c>
      <c r="AS251" t="s">
        <v>127</v>
      </c>
      <c r="BG251">
        <v>180</v>
      </c>
      <c r="BM251" t="s">
        <v>129</v>
      </c>
      <c r="BN251">
        <v>0</v>
      </c>
    </row>
    <row r="252" spans="1:66" x14ac:dyDescent="0.2">
      <c r="A252" t="s">
        <v>111</v>
      </c>
      <c r="B252" t="b">
        <v>1</v>
      </c>
      <c r="E252">
        <v>255</v>
      </c>
      <c r="F252" t="str">
        <f>HYPERLINK("https://portal.dnb.de/opac.htm?method=simpleSearch&amp;cqlMode=true&amp;query=idn%3D1047477246", "Portal")</f>
        <v>Portal</v>
      </c>
      <c r="G252" t="s">
        <v>112</v>
      </c>
      <c r="H252" t="s">
        <v>1268</v>
      </c>
      <c r="I252" t="s">
        <v>1269</v>
      </c>
      <c r="J252" t="s">
        <v>1270</v>
      </c>
      <c r="K252" t="s">
        <v>1270</v>
      </c>
      <c r="L252" t="s">
        <v>1270</v>
      </c>
      <c r="N252" t="s">
        <v>348</v>
      </c>
      <c r="O252" t="s">
        <v>118</v>
      </c>
      <c r="BN252">
        <v>0</v>
      </c>
    </row>
    <row r="253" spans="1:66" x14ac:dyDescent="0.2">
      <c r="A253" t="s">
        <v>111</v>
      </c>
      <c r="B253" t="b">
        <v>1</v>
      </c>
      <c r="E253">
        <v>256</v>
      </c>
      <c r="F253" t="str">
        <f>HYPERLINK("https://portal.dnb.de/opac.htm?method=simpleSearch&amp;cqlMode=true&amp;query=idn%3D1047569779", "Portal")</f>
        <v>Portal</v>
      </c>
      <c r="G253" t="s">
        <v>112</v>
      </c>
      <c r="H253" t="s">
        <v>1271</v>
      </c>
      <c r="I253" t="s">
        <v>1272</v>
      </c>
      <c r="J253" t="s">
        <v>1273</v>
      </c>
      <c r="K253" t="s">
        <v>1273</v>
      </c>
      <c r="L253" t="s">
        <v>1273</v>
      </c>
      <c r="N253" t="s">
        <v>1274</v>
      </c>
      <c r="O253" t="s">
        <v>118</v>
      </c>
      <c r="BN253">
        <v>0</v>
      </c>
    </row>
    <row r="254" spans="1:66" x14ac:dyDescent="0.2">
      <c r="A254" t="s">
        <v>111</v>
      </c>
      <c r="B254" t="b">
        <v>1</v>
      </c>
      <c r="E254">
        <v>257</v>
      </c>
      <c r="F254" t="str">
        <f>HYPERLINK("https://portal.dnb.de/opac.htm?method=simpleSearch&amp;cqlMode=true&amp;query=idn%3D1048059340", "Portal")</f>
        <v>Portal</v>
      </c>
      <c r="G254" t="s">
        <v>112</v>
      </c>
      <c r="H254" t="s">
        <v>1275</v>
      </c>
      <c r="I254" t="s">
        <v>1276</v>
      </c>
      <c r="J254" t="s">
        <v>1277</v>
      </c>
      <c r="K254" t="s">
        <v>1277</v>
      </c>
      <c r="L254" t="s">
        <v>1277</v>
      </c>
      <c r="N254" t="s">
        <v>1278</v>
      </c>
      <c r="O254" t="s">
        <v>118</v>
      </c>
      <c r="BN254">
        <v>0</v>
      </c>
    </row>
    <row r="255" spans="1:66" x14ac:dyDescent="0.2">
      <c r="A255" t="s">
        <v>111</v>
      </c>
      <c r="B255" t="b">
        <v>1</v>
      </c>
      <c r="E255">
        <v>258</v>
      </c>
      <c r="F255" t="str">
        <f>HYPERLINK("https://portal.dnb.de/opac.htm?method=simpleSearch&amp;cqlMode=true&amp;query=idn%3D1088451101", "Portal")</f>
        <v>Portal</v>
      </c>
      <c r="G255" t="s">
        <v>112</v>
      </c>
      <c r="H255" t="s">
        <v>1279</v>
      </c>
      <c r="I255" t="s">
        <v>1280</v>
      </c>
      <c r="J255" t="s">
        <v>1281</v>
      </c>
      <c r="K255" t="s">
        <v>1281</v>
      </c>
      <c r="L255" t="s">
        <v>1281</v>
      </c>
      <c r="N255" t="s">
        <v>1282</v>
      </c>
      <c r="O255" t="s">
        <v>118</v>
      </c>
      <c r="Q255" t="s">
        <v>1283</v>
      </c>
      <c r="BN255">
        <v>0</v>
      </c>
    </row>
    <row r="256" spans="1:66" x14ac:dyDescent="0.2">
      <c r="A256" t="s">
        <v>111</v>
      </c>
      <c r="B256" t="b">
        <v>1</v>
      </c>
      <c r="E256">
        <v>259</v>
      </c>
      <c r="F256" t="str">
        <f>HYPERLINK("https://portal.dnb.de/opac.htm?method=simpleSearch&amp;cqlMode=true&amp;query=idn%3D1047877775", "Portal")</f>
        <v>Portal</v>
      </c>
      <c r="G256" t="s">
        <v>112</v>
      </c>
      <c r="H256" t="s">
        <v>1284</v>
      </c>
      <c r="I256" t="s">
        <v>1285</v>
      </c>
      <c r="J256" t="s">
        <v>1286</v>
      </c>
      <c r="K256" t="s">
        <v>1286</v>
      </c>
      <c r="L256" t="s">
        <v>1286</v>
      </c>
      <c r="N256" t="s">
        <v>1287</v>
      </c>
      <c r="O256" t="s">
        <v>118</v>
      </c>
      <c r="BN256">
        <v>0</v>
      </c>
    </row>
    <row r="257" spans="1:66" x14ac:dyDescent="0.2">
      <c r="A257" t="s">
        <v>111</v>
      </c>
      <c r="B257" t="b">
        <v>1</v>
      </c>
      <c r="E257">
        <v>260</v>
      </c>
      <c r="F257" t="str">
        <f>HYPERLINK("https://portal.dnb.de/opac.htm?method=simpleSearch&amp;cqlMode=true&amp;query=idn%3D1047878534", "Portal")</f>
        <v>Portal</v>
      </c>
      <c r="G257" t="s">
        <v>112</v>
      </c>
      <c r="H257" t="s">
        <v>1288</v>
      </c>
      <c r="I257" t="s">
        <v>1289</v>
      </c>
      <c r="J257" t="s">
        <v>1290</v>
      </c>
      <c r="K257" t="s">
        <v>1290</v>
      </c>
      <c r="L257" t="s">
        <v>1290</v>
      </c>
      <c r="N257" t="s">
        <v>1291</v>
      </c>
      <c r="O257" t="s">
        <v>118</v>
      </c>
      <c r="BN257">
        <v>0</v>
      </c>
    </row>
    <row r="258" spans="1:66" x14ac:dyDescent="0.2">
      <c r="A258" t="s">
        <v>111</v>
      </c>
      <c r="B258" t="b">
        <v>1</v>
      </c>
      <c r="E258">
        <v>261</v>
      </c>
      <c r="F258" t="str">
        <f>HYPERLINK("https://portal.dnb.de/opac.htm?method=simpleSearch&amp;cqlMode=true&amp;query=idn%3D1047897032", "Portal")</f>
        <v>Portal</v>
      </c>
      <c r="G258" t="s">
        <v>112</v>
      </c>
      <c r="H258" t="s">
        <v>1292</v>
      </c>
      <c r="I258" t="s">
        <v>1293</v>
      </c>
      <c r="J258" t="s">
        <v>1294</v>
      </c>
      <c r="K258" t="s">
        <v>1294</v>
      </c>
      <c r="L258" t="s">
        <v>1294</v>
      </c>
      <c r="N258" t="s">
        <v>1295</v>
      </c>
      <c r="O258" t="s">
        <v>118</v>
      </c>
      <c r="BN258">
        <v>0</v>
      </c>
    </row>
    <row r="259" spans="1:66" x14ac:dyDescent="0.2">
      <c r="A259" t="s">
        <v>111</v>
      </c>
      <c r="B259" t="b">
        <v>1</v>
      </c>
      <c r="E259">
        <v>262</v>
      </c>
      <c r="F259" t="str">
        <f>HYPERLINK("https://portal.dnb.de/opac.htm?method=simpleSearch&amp;cqlMode=true&amp;query=idn%3D104816313X", "Portal")</f>
        <v>Portal</v>
      </c>
      <c r="G259" t="s">
        <v>112</v>
      </c>
      <c r="H259" t="s">
        <v>1296</v>
      </c>
      <c r="I259" t="s">
        <v>1297</v>
      </c>
      <c r="J259" t="s">
        <v>1298</v>
      </c>
      <c r="K259" t="s">
        <v>1298</v>
      </c>
      <c r="L259" t="s">
        <v>1298</v>
      </c>
      <c r="N259" t="s">
        <v>893</v>
      </c>
      <c r="O259" t="s">
        <v>118</v>
      </c>
      <c r="BN259">
        <v>0</v>
      </c>
    </row>
    <row r="260" spans="1:66" x14ac:dyDescent="0.2">
      <c r="A260" t="s">
        <v>111</v>
      </c>
      <c r="B260" t="b">
        <v>1</v>
      </c>
      <c r="E260">
        <v>263</v>
      </c>
      <c r="F260" t="str">
        <f>HYPERLINK("https://portal.dnb.de/opac.htm?method=simpleSearch&amp;cqlMode=true&amp;query=idn%3D1048164535", "Portal")</f>
        <v>Portal</v>
      </c>
      <c r="G260" t="s">
        <v>112</v>
      </c>
      <c r="H260" t="s">
        <v>1299</v>
      </c>
      <c r="I260" t="s">
        <v>693</v>
      </c>
      <c r="J260" t="s">
        <v>1300</v>
      </c>
      <c r="K260" t="s">
        <v>1300</v>
      </c>
      <c r="L260" t="s">
        <v>1300</v>
      </c>
      <c r="N260" t="s">
        <v>696</v>
      </c>
      <c r="O260" t="s">
        <v>118</v>
      </c>
      <c r="BN260">
        <v>0</v>
      </c>
    </row>
    <row r="261" spans="1:66" x14ac:dyDescent="0.2">
      <c r="A261" t="s">
        <v>111</v>
      </c>
      <c r="B261" t="b">
        <v>1</v>
      </c>
      <c r="E261">
        <v>264</v>
      </c>
      <c r="F261" t="str">
        <f>HYPERLINK("https://portal.dnb.de/opac.htm?method=simpleSearch&amp;cqlMode=true&amp;query=idn%3D1048166694", "Portal")</f>
        <v>Portal</v>
      </c>
      <c r="G261" t="s">
        <v>112</v>
      </c>
      <c r="H261" t="s">
        <v>1301</v>
      </c>
      <c r="I261" t="s">
        <v>1302</v>
      </c>
      <c r="J261" t="s">
        <v>1303</v>
      </c>
      <c r="K261" t="s">
        <v>1303</v>
      </c>
      <c r="L261" t="s">
        <v>1303</v>
      </c>
      <c r="N261" t="s">
        <v>1304</v>
      </c>
      <c r="O261" t="s">
        <v>118</v>
      </c>
      <c r="BN261">
        <v>0</v>
      </c>
    </row>
    <row r="262" spans="1:66" x14ac:dyDescent="0.2">
      <c r="A262" t="s">
        <v>111</v>
      </c>
      <c r="B262" t="b">
        <v>1</v>
      </c>
      <c r="E262">
        <v>265</v>
      </c>
      <c r="F262" t="str">
        <f>HYPERLINK("https://portal.dnb.de/opac.htm?method=simpleSearch&amp;cqlMode=true&amp;query=idn%3D1048168069", "Portal")</f>
        <v>Portal</v>
      </c>
      <c r="G262" t="s">
        <v>112</v>
      </c>
      <c r="H262" t="s">
        <v>1305</v>
      </c>
      <c r="I262" t="s">
        <v>1306</v>
      </c>
      <c r="J262" t="s">
        <v>1307</v>
      </c>
      <c r="K262" t="s">
        <v>1307</v>
      </c>
      <c r="L262" t="s">
        <v>1307</v>
      </c>
      <c r="N262" t="s">
        <v>1308</v>
      </c>
      <c r="O262" t="s">
        <v>118</v>
      </c>
      <c r="BN262">
        <v>0</v>
      </c>
    </row>
    <row r="263" spans="1:66" x14ac:dyDescent="0.2">
      <c r="A263" t="s">
        <v>111</v>
      </c>
      <c r="B263" t="b">
        <v>1</v>
      </c>
      <c r="E263">
        <v>266</v>
      </c>
      <c r="F263" t="str">
        <f>HYPERLINK("https://portal.dnb.de/opac.htm?method=simpleSearch&amp;cqlMode=true&amp;query=idn%3D1048169669", "Portal")</f>
        <v>Portal</v>
      </c>
      <c r="G263" t="s">
        <v>112</v>
      </c>
      <c r="H263" t="s">
        <v>1309</v>
      </c>
      <c r="I263" t="s">
        <v>1310</v>
      </c>
      <c r="J263" t="s">
        <v>1311</v>
      </c>
      <c r="K263" t="s">
        <v>1311</v>
      </c>
      <c r="L263" t="s">
        <v>1311</v>
      </c>
      <c r="N263" t="s">
        <v>1012</v>
      </c>
      <c r="O263" t="s">
        <v>118</v>
      </c>
      <c r="BN263">
        <v>0</v>
      </c>
    </row>
    <row r="264" spans="1:66" x14ac:dyDescent="0.2">
      <c r="A264" t="s">
        <v>111</v>
      </c>
      <c r="B264" t="b">
        <v>1</v>
      </c>
      <c r="E264">
        <v>267</v>
      </c>
      <c r="F264" t="str">
        <f>HYPERLINK("https://portal.dnb.de/opac.htm?method=simpleSearch&amp;cqlMode=true&amp;query=idn%3D1048306054", "Portal")</f>
        <v>Portal</v>
      </c>
      <c r="G264" t="s">
        <v>112</v>
      </c>
      <c r="H264" t="s">
        <v>1312</v>
      </c>
      <c r="I264" t="s">
        <v>1313</v>
      </c>
      <c r="J264" t="s">
        <v>1314</v>
      </c>
      <c r="K264" t="s">
        <v>1314</v>
      </c>
      <c r="L264" t="s">
        <v>1314</v>
      </c>
      <c r="N264" t="s">
        <v>1315</v>
      </c>
      <c r="O264" t="s">
        <v>118</v>
      </c>
      <c r="BN264">
        <v>0</v>
      </c>
    </row>
    <row r="265" spans="1:66" x14ac:dyDescent="0.2">
      <c r="A265" t="s">
        <v>111</v>
      </c>
      <c r="B265" t="b">
        <v>1</v>
      </c>
      <c r="E265">
        <v>268</v>
      </c>
      <c r="F265" t="str">
        <f>HYPERLINK("https://portal.dnb.de/opac.htm?method=simpleSearch&amp;cqlMode=true&amp;query=idn%3D1051419549", "Portal")</f>
        <v>Portal</v>
      </c>
      <c r="G265" t="s">
        <v>112</v>
      </c>
      <c r="H265" t="s">
        <v>1316</v>
      </c>
      <c r="I265" t="s">
        <v>1317</v>
      </c>
      <c r="J265" t="s">
        <v>1318</v>
      </c>
      <c r="K265" t="s">
        <v>1318</v>
      </c>
      <c r="L265" t="s">
        <v>1318</v>
      </c>
      <c r="N265" t="s">
        <v>1319</v>
      </c>
      <c r="O265" t="s">
        <v>118</v>
      </c>
      <c r="BN265">
        <v>0</v>
      </c>
    </row>
    <row r="266" spans="1:66" x14ac:dyDescent="0.2">
      <c r="A266" t="s">
        <v>111</v>
      </c>
      <c r="B266" t="b">
        <v>1</v>
      </c>
      <c r="E266">
        <v>269</v>
      </c>
      <c r="F266" t="str">
        <f>HYPERLINK("https://portal.dnb.de/opac.htm?method=simpleSearch&amp;cqlMode=true&amp;query=idn%3D1056050667", "Portal")</f>
        <v>Portal</v>
      </c>
      <c r="G266" t="s">
        <v>112</v>
      </c>
      <c r="H266" t="s">
        <v>1320</v>
      </c>
      <c r="I266" t="s">
        <v>1321</v>
      </c>
      <c r="J266" t="s">
        <v>1322</v>
      </c>
      <c r="K266" t="s">
        <v>1322</v>
      </c>
      <c r="L266" t="s">
        <v>1322</v>
      </c>
      <c r="N266" t="s">
        <v>1323</v>
      </c>
      <c r="O266" t="s">
        <v>118</v>
      </c>
      <c r="BN266">
        <v>0</v>
      </c>
    </row>
    <row r="267" spans="1:66" x14ac:dyDescent="0.2">
      <c r="A267" t="s">
        <v>111</v>
      </c>
      <c r="B267" t="b">
        <v>1</v>
      </c>
      <c r="E267">
        <v>270</v>
      </c>
      <c r="F267" t="str">
        <f>HYPERLINK("https://portal.dnb.de/opac.htm?method=simpleSearch&amp;cqlMode=true&amp;query=idn%3D106667857X", "Portal")</f>
        <v>Portal</v>
      </c>
      <c r="G267" t="s">
        <v>112</v>
      </c>
      <c r="H267" t="s">
        <v>1324</v>
      </c>
      <c r="I267" t="s">
        <v>1325</v>
      </c>
      <c r="J267" t="s">
        <v>1326</v>
      </c>
      <c r="K267" t="s">
        <v>1326</v>
      </c>
      <c r="L267" t="s">
        <v>1326</v>
      </c>
      <c r="N267" t="s">
        <v>1327</v>
      </c>
      <c r="O267" t="s">
        <v>118</v>
      </c>
      <c r="BN267">
        <v>0</v>
      </c>
    </row>
    <row r="268" spans="1:66" x14ac:dyDescent="0.2">
      <c r="A268" t="s">
        <v>111</v>
      </c>
      <c r="B268" t="b">
        <v>1</v>
      </c>
      <c r="E268">
        <v>271</v>
      </c>
      <c r="F268" t="str">
        <f>HYPERLINK("https://portal.dnb.de/opac.htm?method=simpleSearch&amp;cqlMode=true&amp;query=idn%3D1173831592", "Portal")</f>
        <v>Portal</v>
      </c>
      <c r="G268" t="s">
        <v>112</v>
      </c>
      <c r="H268" t="s">
        <v>1328</v>
      </c>
      <c r="I268" t="s">
        <v>1329</v>
      </c>
      <c r="J268" t="s">
        <v>1330</v>
      </c>
      <c r="K268" t="s">
        <v>1330</v>
      </c>
      <c r="L268" t="s">
        <v>1330</v>
      </c>
      <c r="N268" t="s">
        <v>1331</v>
      </c>
      <c r="O268" t="s">
        <v>118</v>
      </c>
      <c r="BN268">
        <v>0</v>
      </c>
    </row>
    <row r="269" spans="1:66" x14ac:dyDescent="0.2">
      <c r="A269" t="s">
        <v>111</v>
      </c>
      <c r="B269" t="b">
        <v>1</v>
      </c>
      <c r="E269">
        <v>272</v>
      </c>
      <c r="F269" t="str">
        <f>HYPERLINK("https://portal.dnb.de/opac.htm?method=simpleSearch&amp;cqlMode=true&amp;query=idn%3D1091088985", "Portal")</f>
        <v>Portal</v>
      </c>
      <c r="G269" t="s">
        <v>112</v>
      </c>
      <c r="H269" t="s">
        <v>1332</v>
      </c>
      <c r="I269" t="s">
        <v>1333</v>
      </c>
      <c r="J269" t="s">
        <v>1334</v>
      </c>
      <c r="K269" t="s">
        <v>1334</v>
      </c>
      <c r="L269" t="s">
        <v>1334</v>
      </c>
      <c r="N269" t="s">
        <v>516</v>
      </c>
      <c r="O269" t="s">
        <v>118</v>
      </c>
      <c r="Q269" t="s">
        <v>1283</v>
      </c>
      <c r="BN269">
        <v>0</v>
      </c>
    </row>
    <row r="270" spans="1:66" x14ac:dyDescent="0.2">
      <c r="A270" t="s">
        <v>111</v>
      </c>
      <c r="B270" t="b">
        <v>1</v>
      </c>
      <c r="E270">
        <v>273</v>
      </c>
      <c r="F270" t="str">
        <f>HYPERLINK("https://portal.dnb.de/opac.htm?method=simpleSearch&amp;cqlMode=true&amp;query=idn%3D1091097410", "Portal")</f>
        <v>Portal</v>
      </c>
      <c r="G270" t="s">
        <v>112</v>
      </c>
      <c r="H270" t="s">
        <v>1335</v>
      </c>
      <c r="I270" t="s">
        <v>1336</v>
      </c>
      <c r="J270" t="s">
        <v>1337</v>
      </c>
      <c r="K270" t="s">
        <v>1337</v>
      </c>
      <c r="L270" t="s">
        <v>1337</v>
      </c>
      <c r="N270" t="s">
        <v>1338</v>
      </c>
      <c r="O270" t="s">
        <v>118</v>
      </c>
      <c r="Q270" t="s">
        <v>1283</v>
      </c>
      <c r="BN270">
        <v>0</v>
      </c>
    </row>
    <row r="271" spans="1:66" x14ac:dyDescent="0.2">
      <c r="A271" t="s">
        <v>111</v>
      </c>
      <c r="B271" t="b">
        <v>1</v>
      </c>
      <c r="E271">
        <v>274</v>
      </c>
      <c r="F271" t="str">
        <f>HYPERLINK("https://portal.dnb.de/opac.htm?method=simpleSearch&amp;cqlMode=true&amp;query=idn%3D1106570480", "Portal")</f>
        <v>Portal</v>
      </c>
      <c r="G271" t="s">
        <v>112</v>
      </c>
      <c r="H271" t="s">
        <v>1339</v>
      </c>
      <c r="I271" t="s">
        <v>1340</v>
      </c>
      <c r="J271" t="s">
        <v>1341</v>
      </c>
      <c r="K271" t="s">
        <v>1341</v>
      </c>
      <c r="L271" t="s">
        <v>1341</v>
      </c>
      <c r="N271" t="s">
        <v>1342</v>
      </c>
      <c r="O271" t="s">
        <v>118</v>
      </c>
      <c r="Q271" t="s">
        <v>1283</v>
      </c>
      <c r="BN271">
        <v>0</v>
      </c>
    </row>
    <row r="272" spans="1:66" x14ac:dyDescent="0.2">
      <c r="A272" t="s">
        <v>111</v>
      </c>
      <c r="B272" t="b">
        <v>1</v>
      </c>
      <c r="E272">
        <v>275</v>
      </c>
      <c r="F272" t="str">
        <f>HYPERLINK("https://portal.dnb.de/opac.htm?method=simpleSearch&amp;cqlMode=true&amp;query=idn%3D1108322905", "Portal")</f>
        <v>Portal</v>
      </c>
      <c r="G272" t="s">
        <v>112</v>
      </c>
      <c r="H272" t="s">
        <v>1343</v>
      </c>
      <c r="I272" t="s">
        <v>1344</v>
      </c>
      <c r="J272" t="s">
        <v>1345</v>
      </c>
      <c r="K272" t="s">
        <v>1345</v>
      </c>
      <c r="L272" t="s">
        <v>1345</v>
      </c>
      <c r="N272" t="s">
        <v>1346</v>
      </c>
      <c r="O272" t="s">
        <v>118</v>
      </c>
      <c r="Q272" t="s">
        <v>1283</v>
      </c>
      <c r="BN272">
        <v>0</v>
      </c>
    </row>
    <row r="273" spans="1:66" x14ac:dyDescent="0.2">
      <c r="A273" t="s">
        <v>111</v>
      </c>
      <c r="B273" t="b">
        <v>1</v>
      </c>
      <c r="E273">
        <v>276</v>
      </c>
      <c r="F273" t="str">
        <f>HYPERLINK("https://portal.dnb.de/opac.htm?method=simpleSearch&amp;cqlMode=true&amp;query=idn%3D1066966710", "Portal")</f>
        <v>Portal</v>
      </c>
      <c r="G273" t="s">
        <v>143</v>
      </c>
      <c r="H273" t="s">
        <v>1347</v>
      </c>
      <c r="I273" t="s">
        <v>1191</v>
      </c>
      <c r="J273" t="s">
        <v>1348</v>
      </c>
      <c r="K273" t="s">
        <v>1348</v>
      </c>
      <c r="L273" t="s">
        <v>1348</v>
      </c>
      <c r="N273" t="s">
        <v>1193</v>
      </c>
      <c r="O273" t="s">
        <v>118</v>
      </c>
      <c r="Q273" t="s">
        <v>1283</v>
      </c>
      <c r="BN273">
        <v>0</v>
      </c>
    </row>
    <row r="274" spans="1:66" x14ac:dyDescent="0.2">
      <c r="A274" t="s">
        <v>111</v>
      </c>
      <c r="B274" t="b">
        <v>0</v>
      </c>
      <c r="E274">
        <v>277</v>
      </c>
      <c r="F274" t="str">
        <f>HYPERLINK("https://portal.dnb.de/opac.htm?method=simpleSearch&amp;cqlMode=true&amp;query=idn%3D1110919883", "Portal")</f>
        <v>Portal</v>
      </c>
      <c r="G274" t="s">
        <v>112</v>
      </c>
      <c r="H274" t="s">
        <v>1349</v>
      </c>
      <c r="I274" t="s">
        <v>1350</v>
      </c>
      <c r="J274" t="s">
        <v>1351</v>
      </c>
      <c r="L274" t="s">
        <v>1351</v>
      </c>
      <c r="BN274">
        <v>0</v>
      </c>
    </row>
    <row r="275" spans="1:66" x14ac:dyDescent="0.2">
      <c r="A275" t="s">
        <v>111</v>
      </c>
      <c r="B275" t="b">
        <v>1</v>
      </c>
      <c r="E275">
        <v>278</v>
      </c>
      <c r="F275" t="str">
        <f>HYPERLINK("https://portal.dnb.de/opac.htm?method=simpleSearch&amp;cqlMode=true&amp;query=idn%3D1113034386", "Portal")</f>
        <v>Portal</v>
      </c>
      <c r="G275" t="s">
        <v>112</v>
      </c>
      <c r="H275" t="s">
        <v>1352</v>
      </c>
      <c r="I275" t="s">
        <v>1353</v>
      </c>
      <c r="J275" t="s">
        <v>1354</v>
      </c>
      <c r="K275" t="s">
        <v>1354</v>
      </c>
      <c r="L275" t="s">
        <v>1354</v>
      </c>
      <c r="N275" t="s">
        <v>1355</v>
      </c>
      <c r="O275" t="s">
        <v>118</v>
      </c>
      <c r="Q275" t="s">
        <v>1283</v>
      </c>
      <c r="BN275">
        <v>0</v>
      </c>
    </row>
    <row r="276" spans="1:66" x14ac:dyDescent="0.2">
      <c r="A276" t="s">
        <v>111</v>
      </c>
      <c r="B276" t="b">
        <v>0</v>
      </c>
      <c r="E276">
        <v>279</v>
      </c>
      <c r="F276" t="str">
        <f>HYPERLINK("https://portal.dnb.de/opac.htm?method=simpleSearch&amp;cqlMode=true&amp;query=idn%3D1079551522", "Portal")</f>
        <v>Portal</v>
      </c>
      <c r="G276" t="s">
        <v>537</v>
      </c>
      <c r="H276" t="s">
        <v>1356</v>
      </c>
      <c r="I276" t="s">
        <v>1357</v>
      </c>
      <c r="J276" t="s">
        <v>1358</v>
      </c>
      <c r="L276" t="s">
        <v>1358</v>
      </c>
      <c r="BN276">
        <v>0</v>
      </c>
    </row>
    <row r="277" spans="1:66" x14ac:dyDescent="0.2">
      <c r="A277" t="s">
        <v>111</v>
      </c>
      <c r="B277" t="b">
        <v>0</v>
      </c>
      <c r="E277">
        <v>280</v>
      </c>
      <c r="F277" t="str">
        <f>HYPERLINK("https://portal.dnb.de/opac.htm?method=simpleSearch&amp;cqlMode=true&amp;query=idn%3D1079550437", "Portal")</f>
        <v>Portal</v>
      </c>
      <c r="G277" t="s">
        <v>537</v>
      </c>
      <c r="H277" t="s">
        <v>1359</v>
      </c>
      <c r="I277" t="s">
        <v>1360</v>
      </c>
      <c r="J277" t="s">
        <v>1361</v>
      </c>
      <c r="L277" t="s">
        <v>1361</v>
      </c>
      <c r="BN277">
        <v>0</v>
      </c>
    </row>
    <row r="278" spans="1:66" x14ac:dyDescent="0.2">
      <c r="A278" t="s">
        <v>111</v>
      </c>
      <c r="B278" t="b">
        <v>0</v>
      </c>
      <c r="F278" t="str">
        <f>HYPERLINK("https://portal.dnb.de/opac.htm?method=simpleSearch&amp;cqlMode=true&amp;query=idn%3D", "Portal")</f>
        <v>Portal</v>
      </c>
      <c r="L278" t="s">
        <v>1362</v>
      </c>
      <c r="M278" t="s">
        <v>1363</v>
      </c>
    </row>
  </sheetData>
  <pageMargins left="0.75" right="0.75" top="1" bottom="1" header="0.5" footer="0.5"/>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2:C30"/>
  <sheetViews>
    <sheetView workbookViewId="0">
      <selection activeCell="C32" sqref="C32"/>
    </sheetView>
  </sheetViews>
  <sheetFormatPr baseColWidth="10" defaultColWidth="11" defaultRowHeight="11.4" x14ac:dyDescent="0.2"/>
  <cols>
    <col min="1" max="2" width="13.59765625" style="72" customWidth="1"/>
    <col min="3" max="3" width="155.59765625" style="72" customWidth="1"/>
    <col min="4" max="6" width="11" style="72" customWidth="1"/>
    <col min="7" max="16384" width="11" style="72"/>
  </cols>
  <sheetData>
    <row r="2" spans="1:3" ht="14.25" customHeight="1" x14ac:dyDescent="0.2">
      <c r="A2" s="65" t="s">
        <v>1364</v>
      </c>
      <c r="B2" s="60"/>
      <c r="C2" s="60"/>
    </row>
    <row r="3" spans="1:3" x14ac:dyDescent="0.2">
      <c r="B3" s="60"/>
      <c r="C3" s="60" t="s">
        <v>1365</v>
      </c>
    </row>
    <row r="4" spans="1:3" x14ac:dyDescent="0.2">
      <c r="A4" s="66" t="s">
        <v>1366</v>
      </c>
      <c r="B4" s="60"/>
      <c r="C4" s="60"/>
    </row>
    <row r="5" spans="1:3" x14ac:dyDescent="0.2">
      <c r="B5" s="60"/>
      <c r="C5" s="60"/>
    </row>
    <row r="6" spans="1:3" x14ac:dyDescent="0.2">
      <c r="A6" s="72" t="s">
        <v>1367</v>
      </c>
      <c r="B6" s="60"/>
      <c r="C6" s="60"/>
    </row>
    <row r="7" spans="1:3" x14ac:dyDescent="0.2">
      <c r="A7" s="72" t="s">
        <v>1368</v>
      </c>
      <c r="B7" s="60"/>
      <c r="C7" s="60"/>
    </row>
    <row r="8" spans="1:3" x14ac:dyDescent="0.2">
      <c r="B8" s="60"/>
      <c r="C8" s="60"/>
    </row>
    <row r="9" spans="1:3" x14ac:dyDescent="0.2">
      <c r="A9" s="72" t="s">
        <v>1369</v>
      </c>
      <c r="B9" s="60"/>
      <c r="C9" s="60"/>
    </row>
    <row r="10" spans="1:3" x14ac:dyDescent="0.2">
      <c r="A10" s="72" t="s">
        <v>1370</v>
      </c>
      <c r="B10" s="60"/>
      <c r="C10" s="60"/>
    </row>
    <row r="15" spans="1:3" ht="12.75" customHeight="1" x14ac:dyDescent="0.2">
      <c r="A15" s="67" t="s">
        <v>1371</v>
      </c>
    </row>
    <row r="17" spans="1:3" x14ac:dyDescent="0.2">
      <c r="A17" s="72" t="s">
        <v>1372</v>
      </c>
    </row>
    <row r="19" spans="1:3" x14ac:dyDescent="0.2">
      <c r="A19" s="68" t="s">
        <v>1373</v>
      </c>
    </row>
    <row r="20" spans="1:3" s="69" customFormat="1" x14ac:dyDescent="0.2">
      <c r="A20" s="69" t="s">
        <v>1374</v>
      </c>
    </row>
    <row r="22" spans="1:3" x14ac:dyDescent="0.2">
      <c r="A22" s="72" t="s">
        <v>1375</v>
      </c>
      <c r="B22" s="72" t="s">
        <v>1376</v>
      </c>
      <c r="C22" s="72" t="s">
        <v>1377</v>
      </c>
    </row>
    <row r="24" spans="1:3" x14ac:dyDescent="0.2">
      <c r="A24" s="70">
        <v>44595</v>
      </c>
      <c r="B24" s="72" t="s">
        <v>1378</v>
      </c>
      <c r="C24" s="72" t="s">
        <v>1379</v>
      </c>
    </row>
    <row r="25" spans="1:3" x14ac:dyDescent="0.2">
      <c r="A25" s="70"/>
      <c r="C25" s="72" t="s">
        <v>1380</v>
      </c>
    </row>
    <row r="26" spans="1:3" x14ac:dyDescent="0.2">
      <c r="A26" s="70"/>
      <c r="C26" s="72" t="s">
        <v>1381</v>
      </c>
    </row>
    <row r="27" spans="1:3" x14ac:dyDescent="0.2">
      <c r="A27" s="70"/>
      <c r="C27" s="72" t="s">
        <v>1382</v>
      </c>
    </row>
    <row r="28" spans="1:3" x14ac:dyDescent="0.2">
      <c r="C28" s="72" t="s">
        <v>1383</v>
      </c>
    </row>
    <row r="29" spans="1:3" ht="24" customHeight="1" x14ac:dyDescent="0.2">
      <c r="C29" s="73" t="s">
        <v>1384</v>
      </c>
    </row>
    <row r="30" spans="1:3" ht="33.75" customHeight="1" x14ac:dyDescent="0.2">
      <c r="A30" s="70">
        <v>44734</v>
      </c>
      <c r="B30" s="72" t="s">
        <v>1378</v>
      </c>
      <c r="C30" s="73" t="s">
        <v>1385</v>
      </c>
    </row>
  </sheetData>
  <pageMargins left="0.7" right="0.7" top="0.78740157499999996" bottom="0.78740157499999996"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dimension ref="A1:B43"/>
  <sheetViews>
    <sheetView workbookViewId="0">
      <selection activeCell="F42" sqref="F42"/>
    </sheetView>
  </sheetViews>
  <sheetFormatPr baseColWidth="10" defaultColWidth="10.8984375" defaultRowHeight="11.4" x14ac:dyDescent="0.2"/>
  <cols>
    <col min="1" max="1" width="17.5" style="60" bestFit="1" customWidth="1"/>
    <col min="2" max="2" width="75.19921875" style="60" bestFit="1" customWidth="1"/>
    <col min="3" max="5" width="10.8984375" style="60" customWidth="1"/>
    <col min="6" max="16384" width="10.8984375" style="60"/>
  </cols>
  <sheetData>
    <row r="1" spans="1:2" s="56" customFormat="1" x14ac:dyDescent="0.2">
      <c r="A1" s="74" t="s">
        <v>1386</v>
      </c>
      <c r="B1" s="56" t="s">
        <v>1387</v>
      </c>
    </row>
    <row r="3" spans="1:2" x14ac:dyDescent="0.2">
      <c r="A3" s="57" t="s">
        <v>1388</v>
      </c>
    </row>
    <row r="4" spans="1:2" x14ac:dyDescent="0.2">
      <c r="A4" s="60" t="s">
        <v>1389</v>
      </c>
      <c r="B4" s="60" t="s">
        <v>1390</v>
      </c>
    </row>
    <row r="5" spans="1:2" x14ac:dyDescent="0.2">
      <c r="A5" s="60" t="s">
        <v>1391</v>
      </c>
      <c r="B5" s="60" t="s">
        <v>1392</v>
      </c>
    </row>
    <row r="7" spans="1:2" x14ac:dyDescent="0.2">
      <c r="A7" s="57" t="s">
        <v>1393</v>
      </c>
    </row>
    <row r="8" spans="1:2" x14ac:dyDescent="0.2">
      <c r="A8" s="60" t="s">
        <v>127</v>
      </c>
      <c r="B8" t="s">
        <v>137</v>
      </c>
    </row>
    <row r="9" spans="1:2" x14ac:dyDescent="0.2">
      <c r="A9" s="60" t="s">
        <v>1394</v>
      </c>
      <c r="B9" t="s">
        <v>120</v>
      </c>
    </row>
    <row r="10" spans="1:2" x14ac:dyDescent="0.2">
      <c r="A10" s="60" t="s">
        <v>1395</v>
      </c>
      <c r="B10" t="s">
        <v>1396</v>
      </c>
    </row>
    <row r="11" spans="1:2" x14ac:dyDescent="0.2">
      <c r="A11" s="60" t="s">
        <v>152</v>
      </c>
      <c r="B11" t="s">
        <v>149</v>
      </c>
    </row>
    <row r="12" spans="1:2" x14ac:dyDescent="0.2">
      <c r="A12" s="60" t="s">
        <v>253</v>
      </c>
      <c r="B12" s="60" t="s">
        <v>1397</v>
      </c>
    </row>
    <row r="13" spans="1:2" x14ac:dyDescent="0.2">
      <c r="A13" s="60" t="s">
        <v>235</v>
      </c>
      <c r="B13" t="s">
        <v>232</v>
      </c>
    </row>
    <row r="14" spans="1:2" x14ac:dyDescent="0.2">
      <c r="A14" s="60" t="s">
        <v>530</v>
      </c>
      <c r="B14" t="s">
        <v>308</v>
      </c>
    </row>
    <row r="15" spans="1:2" x14ac:dyDescent="0.2">
      <c r="A15" s="60" t="s">
        <v>193</v>
      </c>
      <c r="B15" t="s">
        <v>192</v>
      </c>
    </row>
    <row r="16" spans="1:2" x14ac:dyDescent="0.2">
      <c r="A16" s="60" t="s">
        <v>166</v>
      </c>
      <c r="B16" t="s">
        <v>165</v>
      </c>
    </row>
    <row r="17" spans="1:2" x14ac:dyDescent="0.2">
      <c r="A17" s="60" t="s">
        <v>380</v>
      </c>
      <c r="B17" t="s">
        <v>1398</v>
      </c>
    </row>
    <row r="18" spans="1:2" x14ac:dyDescent="0.2">
      <c r="A18" s="60" t="s">
        <v>126</v>
      </c>
      <c r="B18" t="s">
        <v>1399</v>
      </c>
    </row>
    <row r="19" spans="1:2" x14ac:dyDescent="0.2">
      <c r="A19" s="60" t="s">
        <v>1400</v>
      </c>
      <c r="B19" s="60" t="s">
        <v>1401</v>
      </c>
    </row>
    <row r="21" spans="1:2" x14ac:dyDescent="0.2">
      <c r="A21" s="57" t="s">
        <v>1402</v>
      </c>
    </row>
    <row r="22" spans="1:2" x14ac:dyDescent="0.2">
      <c r="A22" s="60" t="s">
        <v>153</v>
      </c>
      <c r="B22" s="60" t="s">
        <v>1403</v>
      </c>
    </row>
    <row r="23" spans="1:2" x14ac:dyDescent="0.2">
      <c r="A23" s="60" t="s">
        <v>236</v>
      </c>
      <c r="B23" s="60" t="s">
        <v>1404</v>
      </c>
    </row>
    <row r="24" spans="1:2" x14ac:dyDescent="0.2">
      <c r="A24" s="60" t="s">
        <v>141</v>
      </c>
      <c r="B24" s="60" t="s">
        <v>186</v>
      </c>
    </row>
    <row r="25" spans="1:2" x14ac:dyDescent="0.2">
      <c r="A25" s="60" t="s">
        <v>467</v>
      </c>
      <c r="B25" s="60" t="s">
        <v>1405</v>
      </c>
    </row>
    <row r="27" spans="1:2" x14ac:dyDescent="0.2">
      <c r="A27" s="57" t="s">
        <v>1406</v>
      </c>
    </row>
    <row r="28" spans="1:2" x14ac:dyDescent="0.2">
      <c r="A28" s="60" t="s">
        <v>142</v>
      </c>
      <c r="B28" s="60" t="s">
        <v>1407</v>
      </c>
    </row>
    <row r="29" spans="1:2" x14ac:dyDescent="0.2">
      <c r="A29" s="60" t="s">
        <v>1408</v>
      </c>
      <c r="B29" s="60" t="s">
        <v>1409</v>
      </c>
    </row>
    <row r="30" spans="1:2" x14ac:dyDescent="0.2">
      <c r="A30" s="60" t="s">
        <v>226</v>
      </c>
      <c r="B30" s="60" t="s">
        <v>1410</v>
      </c>
    </row>
    <row r="31" spans="1:2" x14ac:dyDescent="0.2">
      <c r="A31" s="60" t="s">
        <v>559</v>
      </c>
      <c r="B31" s="60" t="s">
        <v>1411</v>
      </c>
    </row>
    <row r="33" spans="1:2" x14ac:dyDescent="0.2">
      <c r="A33" s="57" t="s">
        <v>1412</v>
      </c>
    </row>
    <row r="34" spans="1:2" x14ac:dyDescent="0.2">
      <c r="A34" s="60" t="s">
        <v>128</v>
      </c>
      <c r="B34" s="60" t="s">
        <v>1413</v>
      </c>
    </row>
    <row r="35" spans="1:2" ht="45" customHeight="1" x14ac:dyDescent="0.2">
      <c r="A35" s="60" t="s">
        <v>1414</v>
      </c>
      <c r="B35" s="71" t="s">
        <v>1415</v>
      </c>
    </row>
    <row r="37" spans="1:2" ht="22.5" customHeight="1" x14ac:dyDescent="0.2">
      <c r="A37" s="59" t="s">
        <v>1416</v>
      </c>
    </row>
    <row r="38" spans="1:2" x14ac:dyDescent="0.2">
      <c r="A38" s="60" t="s">
        <v>1417</v>
      </c>
      <c r="B38" s="60" t="s">
        <v>1418</v>
      </c>
    </row>
    <row r="39" spans="1:2" x14ac:dyDescent="0.2">
      <c r="A39" s="60" t="s">
        <v>141</v>
      </c>
      <c r="B39" s="60" t="s">
        <v>1419</v>
      </c>
    </row>
    <row r="40" spans="1:2" x14ac:dyDescent="0.2">
      <c r="A40" s="60" t="s">
        <v>1420</v>
      </c>
      <c r="B40" s="60" t="s">
        <v>1421</v>
      </c>
    </row>
    <row r="41" spans="1:2" x14ac:dyDescent="0.2">
      <c r="A41" s="60" t="s">
        <v>312</v>
      </c>
      <c r="B41" s="60" t="s">
        <v>1422</v>
      </c>
    </row>
    <row r="42" spans="1:2" x14ac:dyDescent="0.2">
      <c r="A42" s="60" t="s">
        <v>1423</v>
      </c>
      <c r="B42" s="60" t="s">
        <v>1424</v>
      </c>
    </row>
    <row r="43" spans="1:2" x14ac:dyDescent="0.2">
      <c r="A43" s="60" t="s">
        <v>1425</v>
      </c>
      <c r="B43" s="60" t="s">
        <v>1426</v>
      </c>
    </row>
  </sheetData>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8"/>
  <dimension ref="A1:D85"/>
  <sheetViews>
    <sheetView workbookViewId="0">
      <selection activeCell="C2" sqref="C2"/>
    </sheetView>
  </sheetViews>
  <sheetFormatPr baseColWidth="10" defaultColWidth="11" defaultRowHeight="11.4" x14ac:dyDescent="0.2"/>
  <cols>
    <col min="1" max="1" width="16.69921875" style="71" customWidth="1"/>
    <col min="2" max="2" width="23.69921875" style="71" bestFit="1" customWidth="1"/>
    <col min="3" max="5" width="11" style="71" customWidth="1"/>
    <col min="6" max="16384" width="11" style="71"/>
  </cols>
  <sheetData>
    <row r="1" spans="1:3" ht="33.75" customHeight="1" x14ac:dyDescent="0.2">
      <c r="A1" s="76" t="s">
        <v>1427</v>
      </c>
      <c r="B1" s="77"/>
    </row>
    <row r="2" spans="1:3" ht="22.5" customHeight="1" x14ac:dyDescent="0.2">
      <c r="A2" s="71" t="s">
        <v>1428</v>
      </c>
      <c r="B2" s="61"/>
      <c r="C2" s="71" t="e">
        <f>Basis!#REF!</f>
        <v>#REF!</v>
      </c>
    </row>
    <row r="3" spans="1:3" ht="22.5" customHeight="1" x14ac:dyDescent="0.2">
      <c r="A3" s="71" t="s">
        <v>1429</v>
      </c>
      <c r="B3" s="61"/>
      <c r="C3" s="71" t="e">
        <f>Basis!#REF!</f>
        <v>#REF!</v>
      </c>
    </row>
    <row r="4" spans="1:3" ht="33.75" customHeight="1" x14ac:dyDescent="0.2">
      <c r="A4" s="71" t="s">
        <v>1430</v>
      </c>
      <c r="B4" s="61"/>
      <c r="C4" s="71" t="e">
        <f>Basis!#REF!</f>
        <v>#REF!</v>
      </c>
    </row>
    <row r="5" spans="1:3" ht="22.5" customHeight="1" x14ac:dyDescent="0.2">
      <c r="A5" s="71" t="s">
        <v>1431</v>
      </c>
      <c r="B5" s="61"/>
      <c r="C5" s="71" t="e">
        <f>Basis!#REF!</f>
        <v>#REF!</v>
      </c>
    </row>
    <row r="6" spans="1:3" x14ac:dyDescent="0.2">
      <c r="A6" s="71" t="s">
        <v>18</v>
      </c>
      <c r="B6" s="61" t="s">
        <v>121</v>
      </c>
      <c r="C6" s="71" t="e">
        <f>Basis!#REF!</f>
        <v>#REF!</v>
      </c>
    </row>
    <row r="7" spans="1:3" x14ac:dyDescent="0.2">
      <c r="B7" s="61" t="s">
        <v>216</v>
      </c>
      <c r="C7" s="71" t="e">
        <f>Basis!#REF!</f>
        <v>#REF!</v>
      </c>
    </row>
    <row r="8" spans="1:3" x14ac:dyDescent="0.2">
      <c r="B8" s="61" t="s">
        <v>252</v>
      </c>
      <c r="C8" s="71" t="e">
        <f>Basis!#REF!</f>
        <v>#REF!</v>
      </c>
    </row>
    <row r="9" spans="1:3" x14ac:dyDescent="0.2">
      <c r="B9" s="61" t="s">
        <v>286</v>
      </c>
      <c r="C9" s="71" t="e">
        <f>Basis!#REF!</f>
        <v>#REF!</v>
      </c>
    </row>
    <row r="10" spans="1:3" x14ac:dyDescent="0.2">
      <c r="A10" s="71" t="s">
        <v>1432</v>
      </c>
      <c r="B10" s="61"/>
      <c r="C10" s="71" t="e">
        <f>Basis!#REF!</f>
        <v>#REF!</v>
      </c>
    </row>
    <row r="11" spans="1:3" x14ac:dyDescent="0.2">
      <c r="A11" s="71" t="s">
        <v>1433</v>
      </c>
      <c r="B11" s="61"/>
      <c r="C11" s="71" t="e">
        <f>Basis!#REF!</f>
        <v>#REF!</v>
      </c>
    </row>
    <row r="12" spans="1:3" ht="22.5" customHeight="1" x14ac:dyDescent="0.2">
      <c r="A12" s="71" t="s">
        <v>32</v>
      </c>
      <c r="B12" s="61"/>
      <c r="C12" s="71" t="e">
        <f>Basis!#REF!</f>
        <v>#REF!</v>
      </c>
    </row>
    <row r="13" spans="1:3" ht="22.5" customHeight="1" x14ac:dyDescent="0.2">
      <c r="A13" s="71" t="s">
        <v>33</v>
      </c>
      <c r="B13" s="61"/>
      <c r="C13" s="71" t="e">
        <f>Basis!#REF!</f>
        <v>#REF!</v>
      </c>
    </row>
    <row r="14" spans="1:3" x14ac:dyDescent="0.2">
      <c r="A14" s="71" t="s">
        <v>1393</v>
      </c>
      <c r="B14" s="75" t="s">
        <v>137</v>
      </c>
      <c r="C14" s="71" t="e">
        <f>Basis!#REF!</f>
        <v>#REF!</v>
      </c>
    </row>
    <row r="15" spans="1:3" x14ac:dyDescent="0.2">
      <c r="B15" s="75" t="s">
        <v>120</v>
      </c>
      <c r="C15" s="71" t="e">
        <f>Basis!#REF!</f>
        <v>#REF!</v>
      </c>
    </row>
    <row r="16" spans="1:3" x14ac:dyDescent="0.2">
      <c r="B16" s="75" t="s">
        <v>1396</v>
      </c>
      <c r="C16" s="71" t="e">
        <f>Basis!#REF!</f>
        <v>#REF!</v>
      </c>
    </row>
    <row r="17" spans="1:3" x14ac:dyDescent="0.2">
      <c r="B17" s="75" t="s">
        <v>149</v>
      </c>
      <c r="C17" s="71" t="e">
        <f>Basis!#REF!</f>
        <v>#REF!</v>
      </c>
    </row>
    <row r="18" spans="1:3" x14ac:dyDescent="0.2">
      <c r="B18" s="62" t="s">
        <v>1397</v>
      </c>
      <c r="C18" s="71" t="e">
        <f>Basis!#REF!</f>
        <v>#REF!</v>
      </c>
    </row>
    <row r="19" spans="1:3" x14ac:dyDescent="0.2">
      <c r="B19" s="75" t="s">
        <v>232</v>
      </c>
      <c r="C19" s="71" t="e">
        <f>Basis!#REF!</f>
        <v>#REF!</v>
      </c>
    </row>
    <row r="20" spans="1:3" x14ac:dyDescent="0.2">
      <c r="B20" s="75" t="s">
        <v>308</v>
      </c>
      <c r="C20" s="71" t="e">
        <f>Basis!#REF!</f>
        <v>#REF!</v>
      </c>
    </row>
    <row r="21" spans="1:3" x14ac:dyDescent="0.2">
      <c r="B21" s="75" t="s">
        <v>192</v>
      </c>
      <c r="C21" s="63" t="e">
        <f>Basis!#REF!</f>
        <v>#REF!</v>
      </c>
    </row>
    <row r="22" spans="1:3" x14ac:dyDescent="0.2">
      <c r="B22" s="75" t="s">
        <v>165</v>
      </c>
      <c r="C22" s="63" t="e">
        <f>Basis!#REF!</f>
        <v>#REF!</v>
      </c>
    </row>
    <row r="23" spans="1:3" x14ac:dyDescent="0.2">
      <c r="B23" s="75" t="s">
        <v>1398</v>
      </c>
      <c r="C23" s="63" t="e">
        <f>Basis!#REF!</f>
        <v>#REF!</v>
      </c>
    </row>
    <row r="24" spans="1:3" x14ac:dyDescent="0.2">
      <c r="B24" s="75" t="s">
        <v>1399</v>
      </c>
      <c r="C24" s="71" t="e">
        <f>Basis!#REF!</f>
        <v>#REF!</v>
      </c>
    </row>
    <row r="25" spans="1:3" x14ac:dyDescent="0.2">
      <c r="B25" s="62" t="s">
        <v>1401</v>
      </c>
      <c r="C25" s="71" t="e">
        <f>Basis!#REF!</f>
        <v>#REF!</v>
      </c>
    </row>
    <row r="26" spans="1:3" x14ac:dyDescent="0.2">
      <c r="B26" s="62" t="s">
        <v>1434</v>
      </c>
    </row>
    <row r="27" spans="1:3" ht="22.5" customHeight="1" x14ac:dyDescent="0.2">
      <c r="A27" s="71" t="s">
        <v>1435</v>
      </c>
      <c r="B27" s="61"/>
      <c r="C27" s="71" t="e">
        <f>Basis!#REF!</f>
        <v>#REF!</v>
      </c>
    </row>
    <row r="28" spans="1:3" ht="22.5" customHeight="1" x14ac:dyDescent="0.2">
      <c r="A28" s="71" t="s">
        <v>1436</v>
      </c>
      <c r="B28" s="61"/>
      <c r="C28" s="71" t="e">
        <f>Basis!#REF!</f>
        <v>#REF!</v>
      </c>
    </row>
    <row r="29" spans="1:3" ht="33.75" customHeight="1" x14ac:dyDescent="0.2">
      <c r="A29" s="71" t="s">
        <v>1437</v>
      </c>
      <c r="B29" s="61"/>
      <c r="C29" s="71" t="e">
        <f>Basis!#REF!</f>
        <v>#REF!</v>
      </c>
    </row>
    <row r="30" spans="1:3" ht="22.5" customHeight="1" x14ac:dyDescent="0.2">
      <c r="A30" s="71" t="s">
        <v>1438</v>
      </c>
      <c r="B30" s="61"/>
      <c r="C30" s="71" t="e">
        <f>Basis!#REF!</f>
        <v>#REF!</v>
      </c>
    </row>
    <row r="31" spans="1:3" ht="22.5" customHeight="1" x14ac:dyDescent="0.2">
      <c r="A31" s="71" t="s">
        <v>1439</v>
      </c>
      <c r="B31" s="61"/>
      <c r="C31" s="71" t="e">
        <f>Basis!#REF!</f>
        <v>#REF!</v>
      </c>
    </row>
    <row r="32" spans="1:3" ht="33.75" customHeight="1" x14ac:dyDescent="0.2">
      <c r="A32" s="71" t="s">
        <v>1440</v>
      </c>
      <c r="B32" s="61"/>
      <c r="C32" s="71" t="e">
        <f>Basis!#REF!</f>
        <v>#REF!</v>
      </c>
    </row>
    <row r="33" spans="1:3" ht="22.5" customHeight="1" x14ac:dyDescent="0.2">
      <c r="A33" s="71" t="s">
        <v>1441</v>
      </c>
      <c r="B33" s="61"/>
      <c r="C33" s="71" t="e">
        <f>Basis!#REF!</f>
        <v>#REF!</v>
      </c>
    </row>
    <row r="34" spans="1:3" ht="22.5" customHeight="1" x14ac:dyDescent="0.2">
      <c r="A34" s="71" t="s">
        <v>1442</v>
      </c>
      <c r="B34" s="61"/>
      <c r="C34" s="71" t="e">
        <f>Basis!#REF!</f>
        <v>#REF!</v>
      </c>
    </row>
    <row r="35" spans="1:3" x14ac:dyDescent="0.2">
      <c r="A35" s="71" t="s">
        <v>1443</v>
      </c>
      <c r="B35" s="61"/>
      <c r="C35" s="71" t="e">
        <f>Basis!#REF!</f>
        <v>#REF!</v>
      </c>
    </row>
    <row r="36" spans="1:3" x14ac:dyDescent="0.2">
      <c r="A36" s="71" t="s">
        <v>1444</v>
      </c>
      <c r="B36" s="61" t="s">
        <v>1445</v>
      </c>
      <c r="C36" s="71" t="e">
        <f>Basis!#REF!</f>
        <v>#REF!</v>
      </c>
    </row>
    <row r="37" spans="1:3" x14ac:dyDescent="0.2">
      <c r="B37" s="61" t="s">
        <v>1446</v>
      </c>
      <c r="C37" s="63" t="e">
        <f>Basis!#REF!</f>
        <v>#REF!</v>
      </c>
    </row>
    <row r="38" spans="1:3" ht="22.5" customHeight="1" x14ac:dyDescent="0.2">
      <c r="A38" s="71" t="s">
        <v>1447</v>
      </c>
      <c r="B38" s="61"/>
      <c r="C38" s="71" t="e">
        <f>Basis!#REF!</f>
        <v>#REF!</v>
      </c>
    </row>
    <row r="39" spans="1:3" x14ac:dyDescent="0.2">
      <c r="A39" s="71" t="s">
        <v>1448</v>
      </c>
      <c r="B39" s="61"/>
      <c r="C39" s="71" t="e">
        <f>Basis!#REF!</f>
        <v>#REF!</v>
      </c>
    </row>
    <row r="40" spans="1:3" x14ac:dyDescent="0.2">
      <c r="A40" s="71" t="s">
        <v>47</v>
      </c>
      <c r="B40" s="61"/>
      <c r="C40" s="71" t="e">
        <f>Basis!#REF!</f>
        <v>#REF!</v>
      </c>
    </row>
    <row r="41" spans="1:3" ht="22.5" customHeight="1" x14ac:dyDescent="0.2">
      <c r="A41" s="71" t="s">
        <v>1449</v>
      </c>
      <c r="B41" s="61"/>
      <c r="C41" s="71" t="e">
        <f>Basis!#REF!</f>
        <v>#REF!</v>
      </c>
    </row>
    <row r="42" spans="1:3" ht="22.5" customHeight="1" x14ac:dyDescent="0.2">
      <c r="A42" s="71" t="s">
        <v>1450</v>
      </c>
      <c r="B42" s="61"/>
      <c r="C42" s="71" t="e">
        <f>Basis!#REF!</f>
        <v>#REF!</v>
      </c>
    </row>
    <row r="43" spans="1:3" ht="22.5" customHeight="1" x14ac:dyDescent="0.2">
      <c r="A43" s="71" t="s">
        <v>1451</v>
      </c>
      <c r="B43" s="61"/>
      <c r="C43" s="71" t="e">
        <f>Basis!#REF!</f>
        <v>#REF!</v>
      </c>
    </row>
    <row r="44" spans="1:3" ht="22.5" customHeight="1" x14ac:dyDescent="0.2">
      <c r="A44" s="71" t="s">
        <v>1452</v>
      </c>
      <c r="B44" s="61"/>
      <c r="C44" s="71" t="e">
        <f>Basis!#REF!</f>
        <v>#REF!</v>
      </c>
    </row>
    <row r="45" spans="1:3" ht="22.5" customHeight="1" x14ac:dyDescent="0.2">
      <c r="A45" s="71" t="s">
        <v>52</v>
      </c>
      <c r="B45" s="61"/>
    </row>
    <row r="46" spans="1:3" x14ac:dyDescent="0.2">
      <c r="A46" s="71" t="s">
        <v>1453</v>
      </c>
      <c r="B46" s="61"/>
      <c r="C46" s="71" t="e">
        <f>Basis!#REF!</f>
        <v>#REF!</v>
      </c>
    </row>
    <row r="47" spans="1:3" ht="45" customHeight="1" x14ac:dyDescent="0.2">
      <c r="A47" s="71" t="s">
        <v>1454</v>
      </c>
      <c r="B47" s="61"/>
      <c r="C47" s="71" t="e">
        <f>Basis!#REF!</f>
        <v>#REF!</v>
      </c>
    </row>
    <row r="48" spans="1:3" ht="22.5" customHeight="1" x14ac:dyDescent="0.2">
      <c r="A48" s="71" t="s">
        <v>1455</v>
      </c>
      <c r="B48" s="61"/>
      <c r="C48" s="71" t="e">
        <f>Basis!#REF!</f>
        <v>#REF!</v>
      </c>
    </row>
    <row r="49" spans="1:3" ht="33.75" customHeight="1" x14ac:dyDescent="0.2">
      <c r="A49" s="71" t="s">
        <v>1456</v>
      </c>
      <c r="B49" s="61"/>
      <c r="C49" s="71" t="e">
        <f>Basis!#REF!</f>
        <v>#REF!</v>
      </c>
    </row>
    <row r="50" spans="1:3" ht="33.75" customHeight="1" x14ac:dyDescent="0.2">
      <c r="A50" s="71" t="s">
        <v>1457</v>
      </c>
      <c r="B50" s="61"/>
    </row>
    <row r="51" spans="1:3" ht="22.5" customHeight="1" x14ac:dyDescent="0.2">
      <c r="A51" s="71" t="s">
        <v>1458</v>
      </c>
      <c r="B51" s="61">
        <v>0</v>
      </c>
      <c r="C51" s="71" t="e">
        <f>Basis!#REF!</f>
        <v>#REF!</v>
      </c>
    </row>
    <row r="52" spans="1:3" x14ac:dyDescent="0.2">
      <c r="B52" s="61">
        <v>45</v>
      </c>
      <c r="C52" s="71" t="e">
        <f>Basis!#REF!</f>
        <v>#REF!</v>
      </c>
    </row>
    <row r="53" spans="1:3" x14ac:dyDescent="0.2">
      <c r="B53" s="61" t="s">
        <v>1459</v>
      </c>
      <c r="C53" s="71" t="e">
        <f>Basis!#REF!</f>
        <v>#REF!</v>
      </c>
    </row>
    <row r="54" spans="1:3" x14ac:dyDescent="0.2">
      <c r="B54" s="61">
        <v>60</v>
      </c>
      <c r="C54" s="71" t="e">
        <f>Basis!#REF!</f>
        <v>#REF!</v>
      </c>
    </row>
    <row r="55" spans="1:3" x14ac:dyDescent="0.2">
      <c r="B55" s="61" t="s">
        <v>359</v>
      </c>
      <c r="C55" s="71" t="e">
        <f>Basis!#REF!</f>
        <v>#REF!</v>
      </c>
    </row>
    <row r="56" spans="1:3" x14ac:dyDescent="0.2">
      <c r="B56" s="61">
        <v>80</v>
      </c>
      <c r="C56" s="71" t="e">
        <f>Basis!#REF!</f>
        <v>#REF!</v>
      </c>
    </row>
    <row r="57" spans="1:3" x14ac:dyDescent="0.2">
      <c r="B57" s="61" t="s">
        <v>289</v>
      </c>
      <c r="C57" s="71" t="e">
        <f>Basis!#REF!</f>
        <v>#REF!</v>
      </c>
    </row>
    <row r="58" spans="1:3" x14ac:dyDescent="0.2">
      <c r="B58" s="61">
        <v>110</v>
      </c>
      <c r="C58" s="71" t="e">
        <f>Basis!#REF!</f>
        <v>#REF!</v>
      </c>
    </row>
    <row r="59" spans="1:3" x14ac:dyDescent="0.2">
      <c r="B59" s="61" t="s">
        <v>262</v>
      </c>
      <c r="C59" s="71" t="e">
        <f>Basis!#REF!</f>
        <v>#REF!</v>
      </c>
    </row>
    <row r="60" spans="1:3" x14ac:dyDescent="0.2">
      <c r="B60" s="61" t="s">
        <v>128</v>
      </c>
      <c r="C60" s="71" t="e">
        <f>Basis!#REF!</f>
        <v>#REF!</v>
      </c>
    </row>
    <row r="61" spans="1:3" x14ac:dyDescent="0.2">
      <c r="B61" s="61">
        <v>180</v>
      </c>
      <c r="C61" s="71" t="e">
        <f>Basis!#REF!</f>
        <v>#REF!</v>
      </c>
    </row>
    <row r="62" spans="1:3" x14ac:dyDescent="0.2">
      <c r="B62" s="61" t="s">
        <v>445</v>
      </c>
      <c r="C62" s="71" t="e">
        <f>Basis!#REF!</f>
        <v>#REF!</v>
      </c>
    </row>
    <row r="63" spans="1:3" x14ac:dyDescent="0.2">
      <c r="A63" s="71" t="s">
        <v>1460</v>
      </c>
      <c r="B63" s="61"/>
      <c r="C63" s="71" t="e">
        <f>Basis!#REF!</f>
        <v>#REF!</v>
      </c>
    </row>
    <row r="64" spans="1:3" ht="33.75" customHeight="1" x14ac:dyDescent="0.2">
      <c r="A64" s="71" t="s">
        <v>1461</v>
      </c>
      <c r="B64" s="61"/>
      <c r="C64" s="71" t="e">
        <f>Basis!#REF!</f>
        <v>#REF!</v>
      </c>
    </row>
    <row r="65" spans="1:4" x14ac:dyDescent="0.2">
      <c r="A65" s="71" t="s">
        <v>1462</v>
      </c>
      <c r="B65" s="61"/>
      <c r="C65" s="71" t="e">
        <f>Basis!#REF!</f>
        <v>#REF!</v>
      </c>
    </row>
    <row r="66" spans="1:4" ht="22.5" customHeight="1" x14ac:dyDescent="0.2">
      <c r="A66" s="71" t="s">
        <v>1463</v>
      </c>
      <c r="B66" s="61"/>
      <c r="C66" s="71" t="e">
        <f>Basis!#REF!</f>
        <v>#REF!</v>
      </c>
    </row>
    <row r="67" spans="1:4" ht="33.75" customHeight="1" x14ac:dyDescent="0.2">
      <c r="A67" s="71" t="s">
        <v>63</v>
      </c>
      <c r="B67" s="61"/>
      <c r="C67" s="71" t="e">
        <f>Basis!#REF!</f>
        <v>#REF!</v>
      </c>
    </row>
    <row r="68" spans="1:4" ht="22.5" customHeight="1" x14ac:dyDescent="0.2">
      <c r="A68" s="71" t="s">
        <v>1464</v>
      </c>
      <c r="B68" s="61" t="s">
        <v>1465</v>
      </c>
      <c r="C68" s="71" t="e">
        <f>Basis!#REF!</f>
        <v>#REF!</v>
      </c>
    </row>
    <row r="69" spans="1:4" x14ac:dyDescent="0.2">
      <c r="B69" s="61" t="s">
        <v>1466</v>
      </c>
      <c r="C69" s="71" t="e">
        <f>Basis!#REF!</f>
        <v>#REF!</v>
      </c>
    </row>
    <row r="70" spans="1:4" x14ac:dyDescent="0.2">
      <c r="B70" s="61" t="s">
        <v>1467</v>
      </c>
      <c r="C70" s="71" t="e">
        <f>Basis!#REF!</f>
        <v>#REF!</v>
      </c>
    </row>
    <row r="71" spans="1:4" x14ac:dyDescent="0.2">
      <c r="B71" s="61" t="s">
        <v>1468</v>
      </c>
      <c r="C71" s="71" t="e">
        <f>Basis!#REF!</f>
        <v>#REF!</v>
      </c>
    </row>
    <row r="72" spans="1:4" x14ac:dyDescent="0.2">
      <c r="B72" s="61" t="s">
        <v>1469</v>
      </c>
      <c r="C72" s="71" t="e">
        <f>Basis!#REF!</f>
        <v>#REF!</v>
      </c>
    </row>
    <row r="73" spans="1:4" ht="33.75" customHeight="1" x14ac:dyDescent="0.2">
      <c r="A73" s="71" t="s">
        <v>1470</v>
      </c>
      <c r="B73" s="61"/>
      <c r="C73" s="64" t="e">
        <f>Basis!#REF!</f>
        <v>#REF!</v>
      </c>
    </row>
    <row r="74" spans="1:4" ht="22.5" customHeight="1" x14ac:dyDescent="0.2">
      <c r="A74" s="71" t="s">
        <v>1471</v>
      </c>
      <c r="B74" s="61"/>
      <c r="C74" s="71" t="e">
        <f>Basis!#REF!</f>
        <v>#REF!</v>
      </c>
    </row>
    <row r="75" spans="1:4" x14ac:dyDescent="0.2">
      <c r="A75" s="71" t="s">
        <v>67</v>
      </c>
      <c r="B75" s="61"/>
      <c r="C75" s="71" t="e">
        <f>Basis!#REF!</f>
        <v>#REF!</v>
      </c>
    </row>
    <row r="76" spans="1:4" x14ac:dyDescent="0.2">
      <c r="A76" s="71" t="s">
        <v>68</v>
      </c>
      <c r="B76" s="61"/>
      <c r="C76" s="71" t="e">
        <f>Basis!#REF!</f>
        <v>#REF!</v>
      </c>
    </row>
    <row r="77" spans="1:4" x14ac:dyDescent="0.2">
      <c r="A77" s="71" t="s">
        <v>1472</v>
      </c>
      <c r="B77" s="61"/>
      <c r="C77" s="71" t="e">
        <f>Basis!#REF!</f>
        <v>#REF!</v>
      </c>
    </row>
    <row r="78" spans="1:4" x14ac:dyDescent="0.2">
      <c r="A78" s="71" t="s">
        <v>70</v>
      </c>
      <c r="B78" s="61"/>
      <c r="C78" s="71" t="e">
        <f>Basis!#REF!</f>
        <v>#REF!</v>
      </c>
    </row>
    <row r="79" spans="1:4" x14ac:dyDescent="0.2">
      <c r="A79" s="71" t="s">
        <v>571</v>
      </c>
      <c r="B79" s="61"/>
      <c r="C79" s="71" t="e">
        <f>Basis!#REF!</f>
        <v>#REF!</v>
      </c>
      <c r="D79" s="71" t="e">
        <f>C79-Basis!#REF!</f>
        <v>#REF!</v>
      </c>
    </row>
    <row r="80" spans="1:4" x14ac:dyDescent="0.2">
      <c r="A80" s="71" t="s">
        <v>72</v>
      </c>
      <c r="B80" s="61"/>
      <c r="C80" s="71" t="e">
        <f>Basis!#REF!</f>
        <v>#REF!</v>
      </c>
    </row>
    <row r="81" spans="1:3" ht="22.5" customHeight="1" x14ac:dyDescent="0.2">
      <c r="A81" s="71" t="s">
        <v>73</v>
      </c>
      <c r="B81" s="61"/>
      <c r="C81" s="71" t="e">
        <f>Basis!#REF!</f>
        <v>#REF!</v>
      </c>
    </row>
    <row r="82" spans="1:3" ht="22.5" customHeight="1" x14ac:dyDescent="0.2">
      <c r="A82" s="71" t="s">
        <v>74</v>
      </c>
      <c r="B82" s="61" t="s">
        <v>1465</v>
      </c>
      <c r="C82" s="71" t="e">
        <f>Basis!#REF!</f>
        <v>#REF!</v>
      </c>
    </row>
    <row r="83" spans="1:3" x14ac:dyDescent="0.2">
      <c r="B83" s="61" t="s">
        <v>1473</v>
      </c>
      <c r="C83" s="71" t="e">
        <f>Basis!#REF!</f>
        <v>#REF!</v>
      </c>
    </row>
    <row r="84" spans="1:3" x14ac:dyDescent="0.2">
      <c r="B84" s="61" t="s">
        <v>1474</v>
      </c>
      <c r="C84" s="71" t="e">
        <f>Basis!#REF!</f>
        <v>#REF!</v>
      </c>
    </row>
    <row r="85" spans="1:3" ht="22.5" customHeight="1" x14ac:dyDescent="0.2">
      <c r="A85" s="71" t="s">
        <v>76</v>
      </c>
      <c r="B85" s="61"/>
    </row>
  </sheetData>
  <mergeCells count="1">
    <mergeCell ref="A1:B1"/>
  </mergeCells>
  <pageMargins left="0.7" right="0.7" top="0.78740157499999996" bottom="0.78740157499999996" header="0.3" footer="0.3"/>
  <pageSetup paperSize="9" orientation="portrait"/>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dimension ref="A1:F73"/>
  <sheetViews>
    <sheetView topLeftCell="A13" zoomScaleNormal="100" workbookViewId="0">
      <selection activeCell="D28" sqref="D28"/>
    </sheetView>
  </sheetViews>
  <sheetFormatPr baseColWidth="10" defaultRowHeight="11.4" x14ac:dyDescent="0.2"/>
  <cols>
    <col min="2" max="2" width="62.19921875" style="58" customWidth="1"/>
    <col min="3" max="3" width="44.59765625" style="58" customWidth="1"/>
    <col min="4" max="4" width="34.3984375" style="58" customWidth="1"/>
    <col min="6" max="6" width="36.19921875" style="58" customWidth="1"/>
  </cols>
  <sheetData>
    <row r="1" spans="1:1" ht="14.25" customHeight="1" x14ac:dyDescent="0.25">
      <c r="A1" s="1" t="s">
        <v>1475</v>
      </c>
    </row>
    <row r="6" spans="1:1" x14ac:dyDescent="0.2">
      <c r="A6" t="s">
        <v>1476</v>
      </c>
    </row>
    <row r="7" spans="1:1" x14ac:dyDescent="0.2">
      <c r="A7" t="s">
        <v>1477</v>
      </c>
    </row>
    <row r="9" spans="1:1" x14ac:dyDescent="0.2">
      <c r="A9" s="2" t="s">
        <v>1478</v>
      </c>
    </row>
    <row r="13" spans="1:1" x14ac:dyDescent="0.2">
      <c r="A13" t="s">
        <v>1479</v>
      </c>
    </row>
    <row r="14" spans="1:1" x14ac:dyDescent="0.2">
      <c r="A14" t="s">
        <v>1480</v>
      </c>
    </row>
    <row r="15" spans="1:1" x14ac:dyDescent="0.2">
      <c r="A15" t="s">
        <v>1481</v>
      </c>
    </row>
    <row r="18" spans="1:6" x14ac:dyDescent="0.2">
      <c r="A18" t="s">
        <v>1482</v>
      </c>
    </row>
    <row r="19" spans="1:6" x14ac:dyDescent="0.2">
      <c r="A19" s="40" t="s">
        <v>1483</v>
      </c>
      <c r="B19" s="40" t="s">
        <v>1484</v>
      </c>
      <c r="C19" s="52" t="s">
        <v>20</v>
      </c>
      <c r="D19" s="40" t="s">
        <v>22</v>
      </c>
      <c r="E19" s="40" t="s">
        <v>18</v>
      </c>
      <c r="F19" s="40" t="s">
        <v>1485</v>
      </c>
    </row>
    <row r="20" spans="1:6" x14ac:dyDescent="0.2">
      <c r="A20" s="43"/>
      <c r="B20" s="43" t="s">
        <v>137</v>
      </c>
      <c r="C20" s="43" t="s">
        <v>186</v>
      </c>
      <c r="D20" s="43" t="s">
        <v>68</v>
      </c>
      <c r="E20" s="43" t="s">
        <v>121</v>
      </c>
      <c r="F20" s="43" t="s">
        <v>150</v>
      </c>
    </row>
    <row r="21" spans="1:6" x14ac:dyDescent="0.2">
      <c r="A21" s="43"/>
      <c r="B21" s="43" t="s">
        <v>120</v>
      </c>
      <c r="C21" s="43" t="s">
        <v>358</v>
      </c>
      <c r="D21" s="43" t="s">
        <v>123</v>
      </c>
      <c r="E21" s="43" t="s">
        <v>216</v>
      </c>
      <c r="F21" s="43" t="s">
        <v>122</v>
      </c>
    </row>
    <row r="22" spans="1:6" x14ac:dyDescent="0.2">
      <c r="A22" s="43"/>
      <c r="B22" s="43" t="s">
        <v>308</v>
      </c>
      <c r="C22" s="43" t="s">
        <v>1486</v>
      </c>
      <c r="D22" s="43" t="s">
        <v>209</v>
      </c>
      <c r="E22" s="43" t="s">
        <v>252</v>
      </c>
      <c r="F22" s="43" t="s">
        <v>436</v>
      </c>
    </row>
    <row r="23" spans="1:6" x14ac:dyDescent="0.2">
      <c r="A23" s="43"/>
      <c r="B23" s="43" t="s">
        <v>232</v>
      </c>
      <c r="C23" t="s">
        <v>1262</v>
      </c>
      <c r="D23" s="43" t="s">
        <v>1487</v>
      </c>
      <c r="E23" s="43" t="s">
        <v>286</v>
      </c>
    </row>
    <row r="24" spans="1:6" x14ac:dyDescent="0.2">
      <c r="A24" s="43"/>
      <c r="B24" s="43" t="s">
        <v>1396</v>
      </c>
      <c r="C24" s="43" t="s">
        <v>373</v>
      </c>
      <c r="D24" s="43" t="s">
        <v>1488</v>
      </c>
    </row>
    <row r="25" spans="1:6" x14ac:dyDescent="0.2">
      <c r="A25" s="43"/>
      <c r="B25" s="43" t="s">
        <v>149</v>
      </c>
      <c r="C25" s="43" t="s">
        <v>1489</v>
      </c>
      <c r="D25" s="43" t="s">
        <v>1472</v>
      </c>
    </row>
    <row r="26" spans="1:6" x14ac:dyDescent="0.2">
      <c r="A26" s="43"/>
      <c r="B26" s="43" t="s">
        <v>165</v>
      </c>
      <c r="C26" s="43" t="s">
        <v>1490</v>
      </c>
      <c r="D26" s="43" t="s">
        <v>67</v>
      </c>
    </row>
    <row r="27" spans="1:6" x14ac:dyDescent="0.2">
      <c r="A27" s="43"/>
      <c r="B27" s="43" t="s">
        <v>192</v>
      </c>
      <c r="C27" s="55" t="s">
        <v>1491</v>
      </c>
      <c r="D27" s="43" t="s">
        <v>1492</v>
      </c>
    </row>
    <row r="28" spans="1:6" x14ac:dyDescent="0.2">
      <c r="A28" s="43"/>
      <c r="B28" s="43" t="s">
        <v>1493</v>
      </c>
      <c r="C28" s="43" t="s">
        <v>1494</v>
      </c>
      <c r="D28" s="53" t="s">
        <v>1495</v>
      </c>
    </row>
    <row r="29" spans="1:6" x14ac:dyDescent="0.2">
      <c r="A29" s="51"/>
      <c r="B29" s="51" t="s">
        <v>1496</v>
      </c>
      <c r="C29" s="55" t="s">
        <v>1497</v>
      </c>
    </row>
    <row r="30" spans="1:6" s="43" customFormat="1" x14ac:dyDescent="0.2">
      <c r="B30" s="43" t="s">
        <v>1498</v>
      </c>
      <c r="C30" s="43" t="s">
        <v>1499</v>
      </c>
    </row>
    <row r="31" spans="1:6" x14ac:dyDescent="0.2">
      <c r="A31" s="43"/>
      <c r="B31" s="43" t="s">
        <v>1500</v>
      </c>
      <c r="C31" s="43" t="s">
        <v>1501</v>
      </c>
    </row>
    <row r="32" spans="1:6" x14ac:dyDescent="0.2">
      <c r="A32" s="43"/>
      <c r="B32" s="43" t="s">
        <v>1502</v>
      </c>
      <c r="C32" s="43" t="s">
        <v>151</v>
      </c>
    </row>
    <row r="33" spans="1:4" x14ac:dyDescent="0.2">
      <c r="C33" s="43" t="s">
        <v>1503</v>
      </c>
    </row>
    <row r="34" spans="1:4" x14ac:dyDescent="0.2">
      <c r="C34" s="55" t="s">
        <v>1504</v>
      </c>
    </row>
    <row r="35" spans="1:4" x14ac:dyDescent="0.2">
      <c r="C35" s="43" t="s">
        <v>1505</v>
      </c>
    </row>
    <row r="36" spans="1:4" x14ac:dyDescent="0.2">
      <c r="A36" t="s">
        <v>1506</v>
      </c>
      <c r="C36" s="43" t="s">
        <v>1507</v>
      </c>
    </row>
    <row r="37" spans="1:4" x14ac:dyDescent="0.2">
      <c r="A37" s="40" t="s">
        <v>1508</v>
      </c>
      <c r="B37" s="40" t="s">
        <v>1509</v>
      </c>
      <c r="C37" s="43" t="s">
        <v>1510</v>
      </c>
    </row>
    <row r="38" spans="1:4" x14ac:dyDescent="0.2">
      <c r="A38" s="54"/>
      <c r="B38" s="54" t="s">
        <v>1511</v>
      </c>
      <c r="C38" s="40" t="s">
        <v>1512</v>
      </c>
    </row>
    <row r="39" spans="1:4" x14ac:dyDescent="0.2">
      <c r="A39" s="43"/>
      <c r="B39" s="43" t="s">
        <v>1513</v>
      </c>
      <c r="C39" s="43" t="s">
        <v>139</v>
      </c>
    </row>
    <row r="40" spans="1:4" x14ac:dyDescent="0.2">
      <c r="A40" s="43"/>
      <c r="B40" s="43" t="s">
        <v>1514</v>
      </c>
      <c r="C40" s="43" t="s">
        <v>1515</v>
      </c>
    </row>
    <row r="41" spans="1:4" x14ac:dyDescent="0.2">
      <c r="A41" s="43"/>
      <c r="B41" s="43" t="s">
        <v>1516</v>
      </c>
      <c r="C41" s="43"/>
    </row>
    <row r="42" spans="1:4" x14ac:dyDescent="0.2">
      <c r="A42" s="43"/>
      <c r="B42" s="43" t="s">
        <v>1517</v>
      </c>
      <c r="C42" s="43"/>
    </row>
    <row r="43" spans="1:4" x14ac:dyDescent="0.2">
      <c r="A43" s="43"/>
      <c r="B43" s="43" t="s">
        <v>1518</v>
      </c>
    </row>
    <row r="44" spans="1:4" x14ac:dyDescent="0.2">
      <c r="A44" s="43"/>
      <c r="B44" s="43" t="s">
        <v>1519</v>
      </c>
    </row>
    <row r="45" spans="1:4" x14ac:dyDescent="0.2">
      <c r="A45" s="43"/>
      <c r="B45" s="43" t="s">
        <v>1520</v>
      </c>
    </row>
    <row r="46" spans="1:4" x14ac:dyDescent="0.2">
      <c r="A46" s="43"/>
      <c r="B46" s="43" t="s">
        <v>234</v>
      </c>
      <c r="D46" s="43" t="s">
        <v>217</v>
      </c>
    </row>
    <row r="47" spans="1:4" x14ac:dyDescent="0.2">
      <c r="A47" s="43"/>
      <c r="B47" s="43"/>
      <c r="D47" s="43" t="s">
        <v>140</v>
      </c>
    </row>
    <row r="48" spans="1:4" x14ac:dyDescent="0.2">
      <c r="A48" s="43"/>
      <c r="B48" s="43" t="s">
        <v>1521</v>
      </c>
      <c r="D48" s="43" t="s">
        <v>124</v>
      </c>
    </row>
    <row r="49" spans="1:6" x14ac:dyDescent="0.2">
      <c r="A49" s="43"/>
      <c r="B49" s="43" t="s">
        <v>1522</v>
      </c>
      <c r="D49" t="s">
        <v>1523</v>
      </c>
    </row>
    <row r="50" spans="1:6" x14ac:dyDescent="0.2">
      <c r="A50" s="43"/>
      <c r="B50" s="43" t="s">
        <v>1524</v>
      </c>
      <c r="D50" t="s">
        <v>119</v>
      </c>
    </row>
    <row r="52" spans="1:6" x14ac:dyDescent="0.2">
      <c r="A52" t="s">
        <v>1525</v>
      </c>
    </row>
    <row r="53" spans="1:6" x14ac:dyDescent="0.2">
      <c r="A53" s="40" t="s">
        <v>1526</v>
      </c>
      <c r="B53" s="40" t="s">
        <v>1527</v>
      </c>
    </row>
    <row r="54" spans="1:6" ht="12.75" customHeight="1" x14ac:dyDescent="0.2">
      <c r="A54" s="44">
        <v>0</v>
      </c>
      <c r="B54" s="45" t="s">
        <v>1528</v>
      </c>
      <c r="D54" s="41"/>
      <c r="E54" s="41"/>
      <c r="F54" s="41"/>
    </row>
    <row r="55" spans="1:6" ht="12.75" customHeight="1" x14ac:dyDescent="0.2">
      <c r="A55" s="44">
        <v>1</v>
      </c>
      <c r="B55" s="45" t="s">
        <v>1529</v>
      </c>
      <c r="D55" s="41"/>
      <c r="E55" s="41"/>
      <c r="F55" s="41"/>
    </row>
    <row r="56" spans="1:6" ht="27.75" customHeight="1" x14ac:dyDescent="0.2">
      <c r="A56" s="44">
        <v>2</v>
      </c>
      <c r="B56" s="45" t="s">
        <v>1530</v>
      </c>
      <c r="D56" s="41"/>
      <c r="E56" s="41"/>
      <c r="F56" s="41"/>
    </row>
    <row r="57" spans="1:6" ht="24.75" customHeight="1" x14ac:dyDescent="0.2">
      <c r="A57" s="46">
        <v>3</v>
      </c>
      <c r="B57" s="45" t="s">
        <v>1531</v>
      </c>
      <c r="D57" s="41"/>
      <c r="E57" s="41"/>
      <c r="F57" s="41"/>
    </row>
    <row r="60" spans="1:6" x14ac:dyDescent="0.2">
      <c r="A60" s="47"/>
      <c r="B60" s="48"/>
    </row>
    <row r="61" spans="1:6" x14ac:dyDescent="0.2">
      <c r="A61" s="43"/>
      <c r="B61" s="49"/>
    </row>
    <row r="62" spans="1:6" x14ac:dyDescent="0.2">
      <c r="A62" s="43"/>
      <c r="B62" s="49"/>
    </row>
    <row r="63" spans="1:6" ht="12.75" customHeight="1" x14ac:dyDescent="0.2">
      <c r="A63" s="43"/>
      <c r="B63" s="43"/>
      <c r="C63" s="42"/>
    </row>
    <row r="64" spans="1:6" ht="12.75" customHeight="1" x14ac:dyDescent="0.2">
      <c r="A64" s="43"/>
      <c r="B64" s="49"/>
      <c r="C64" s="42"/>
    </row>
    <row r="65" spans="3:3" ht="12.75" customHeight="1" x14ac:dyDescent="0.2">
      <c r="C65" s="42"/>
    </row>
    <row r="66" spans="3:3" ht="12.75" customHeight="1" x14ac:dyDescent="0.2">
      <c r="C66" s="42"/>
    </row>
    <row r="69" spans="3:3" x14ac:dyDescent="0.2">
      <c r="C69" s="40"/>
    </row>
    <row r="70" spans="3:3" x14ac:dyDescent="0.2">
      <c r="C70" s="50"/>
    </row>
    <row r="71" spans="3:3" x14ac:dyDescent="0.2">
      <c r="C71" s="50"/>
    </row>
    <row r="72" spans="3:3" x14ac:dyDescent="0.2">
      <c r="C72" s="50"/>
    </row>
    <row r="73" spans="3:3" x14ac:dyDescent="0.2">
      <c r="C73" s="50"/>
    </row>
  </sheetData>
  <pageMargins left="0.70866141732283472" right="0.70866141732283472" top="0.78740157480314965" bottom="0.78740157480314965" header="0.31496062992125978" footer="0.31496062992125978"/>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M41"/>
  <sheetViews>
    <sheetView workbookViewId="0">
      <selection activeCell="E8" sqref="E8"/>
    </sheetView>
  </sheetViews>
  <sheetFormatPr baseColWidth="10" defaultRowHeight="11.4" x14ac:dyDescent="0.2"/>
  <cols>
    <col min="1" max="1" width="16" style="58" customWidth="1"/>
    <col min="2" max="3" width="11" style="12" customWidth="1"/>
    <col min="4" max="4" width="12.19921875" style="12" customWidth="1"/>
    <col min="5" max="5" width="11" style="12" customWidth="1"/>
    <col min="6" max="6" width="28.09765625" style="15" customWidth="1"/>
    <col min="7" max="7" width="4.69921875" style="58" customWidth="1"/>
    <col min="13" max="13" width="2.5" style="58" customWidth="1"/>
  </cols>
  <sheetData>
    <row r="1" spans="1:4" ht="14.25" customHeight="1" x14ac:dyDescent="0.25">
      <c r="A1" s="1" t="s">
        <v>1475</v>
      </c>
    </row>
    <row r="3" spans="1:4" x14ac:dyDescent="0.2">
      <c r="A3" s="30"/>
      <c r="B3" s="31"/>
      <c r="C3" s="31"/>
      <c r="D3" s="32"/>
    </row>
    <row r="4" spans="1:4" x14ac:dyDescent="0.2">
      <c r="A4" s="43"/>
      <c r="B4" s="10"/>
      <c r="C4" s="9"/>
      <c r="D4" s="8"/>
    </row>
    <row r="5" spans="1:4" x14ac:dyDescent="0.2">
      <c r="B5" s="14"/>
      <c r="D5" s="15"/>
    </row>
    <row r="6" spans="1:4" x14ac:dyDescent="0.2">
      <c r="A6" s="33"/>
      <c r="B6" s="31"/>
      <c r="C6" s="34"/>
      <c r="D6" s="35"/>
    </row>
    <row r="7" spans="1:4" x14ac:dyDescent="0.2">
      <c r="A7" s="3"/>
      <c r="B7" s="17"/>
      <c r="C7" s="27"/>
      <c r="D7" s="24"/>
    </row>
    <row r="8" spans="1:4" x14ac:dyDescent="0.2">
      <c r="A8" s="3"/>
      <c r="B8" s="17"/>
      <c r="C8" s="27"/>
      <c r="D8" s="25"/>
    </row>
    <row r="9" spans="1:4" x14ac:dyDescent="0.2">
      <c r="A9" s="3"/>
      <c r="B9" s="17"/>
      <c r="C9" s="27"/>
      <c r="D9" s="25"/>
    </row>
    <row r="10" spans="1:4" x14ac:dyDescent="0.2">
      <c r="A10" s="4"/>
      <c r="B10" s="18"/>
      <c r="C10" s="28"/>
      <c r="D10" s="26"/>
    </row>
    <row r="11" spans="1:4" x14ac:dyDescent="0.2">
      <c r="B11" s="19"/>
      <c r="C11" s="29"/>
      <c r="D11" s="15"/>
    </row>
    <row r="12" spans="1:4" x14ac:dyDescent="0.2">
      <c r="A12" s="30"/>
      <c r="B12" s="36"/>
      <c r="C12" s="37"/>
      <c r="D12" s="35"/>
    </row>
    <row r="13" spans="1:4" x14ac:dyDescent="0.2">
      <c r="A13" s="3"/>
      <c r="B13" s="20"/>
      <c r="C13" s="27"/>
      <c r="D13" s="24"/>
    </row>
    <row r="14" spans="1:4" x14ac:dyDescent="0.2">
      <c r="A14" s="3"/>
      <c r="B14" s="17"/>
      <c r="C14" s="27"/>
      <c r="D14" s="25"/>
    </row>
    <row r="15" spans="1:4" x14ac:dyDescent="0.2">
      <c r="A15" s="4"/>
      <c r="B15" s="18"/>
      <c r="C15" s="28"/>
      <c r="D15" s="26"/>
    </row>
    <row r="16" spans="1:4" x14ac:dyDescent="0.2">
      <c r="B16" s="19"/>
      <c r="C16" s="19"/>
      <c r="D16" s="15"/>
    </row>
    <row r="17" spans="1:4" x14ac:dyDescent="0.2">
      <c r="A17" s="30"/>
      <c r="B17" s="36"/>
      <c r="C17" s="38"/>
      <c r="D17" s="35"/>
    </row>
    <row r="18" spans="1:4" ht="12.75" customHeight="1" x14ac:dyDescent="0.2">
      <c r="A18" s="5"/>
      <c r="B18" s="21"/>
      <c r="C18" s="20"/>
      <c r="D18" s="24"/>
    </row>
    <row r="19" spans="1:4" ht="12.75" customHeight="1" x14ac:dyDescent="0.2">
      <c r="A19" s="6"/>
      <c r="B19" s="22"/>
      <c r="C19" s="17"/>
      <c r="D19" s="25"/>
    </row>
    <row r="20" spans="1:4" ht="12.75" customHeight="1" x14ac:dyDescent="0.2">
      <c r="A20" s="6"/>
      <c r="B20" s="22"/>
      <c r="C20" s="17"/>
      <c r="D20" s="25"/>
    </row>
    <row r="21" spans="1:4" ht="12.75" customHeight="1" x14ac:dyDescent="0.2">
      <c r="A21" s="6"/>
      <c r="B21" s="22"/>
      <c r="C21" s="17"/>
      <c r="D21" s="25"/>
    </row>
    <row r="22" spans="1:4" ht="12.75" customHeight="1" x14ac:dyDescent="0.2">
      <c r="A22" s="6"/>
      <c r="B22" s="22"/>
      <c r="C22" s="17"/>
      <c r="D22" s="25"/>
    </row>
    <row r="23" spans="1:4" ht="12.75" customHeight="1" x14ac:dyDescent="0.2">
      <c r="A23" s="6"/>
      <c r="B23" s="22"/>
      <c r="C23" s="17"/>
      <c r="D23" s="25"/>
    </row>
    <row r="24" spans="1:4" ht="12.75" customHeight="1" x14ac:dyDescent="0.2">
      <c r="A24" s="6"/>
      <c r="B24" s="22"/>
      <c r="C24" s="17"/>
      <c r="D24" s="25"/>
    </row>
    <row r="25" spans="1:4" ht="12.75" customHeight="1" x14ac:dyDescent="0.2">
      <c r="A25" s="6"/>
      <c r="B25" s="22"/>
      <c r="C25" s="17"/>
      <c r="D25" s="25"/>
    </row>
    <row r="26" spans="1:4" ht="12.75" customHeight="1" x14ac:dyDescent="0.2">
      <c r="A26" s="7"/>
      <c r="B26" s="23"/>
      <c r="C26" s="18"/>
      <c r="D26" s="26"/>
    </row>
    <row r="27" spans="1:4" x14ac:dyDescent="0.2">
      <c r="B27" s="19"/>
      <c r="C27" s="19"/>
      <c r="D27" s="15"/>
    </row>
    <row r="28" spans="1:4" x14ac:dyDescent="0.2">
      <c r="A28" s="39"/>
      <c r="B28" s="36"/>
      <c r="C28" s="38"/>
      <c r="D28" s="35"/>
    </row>
    <row r="29" spans="1:4" ht="12.75" customHeight="1" x14ac:dyDescent="0.2">
      <c r="A29" s="5"/>
      <c r="B29" s="21"/>
      <c r="C29" s="20"/>
      <c r="D29" s="24"/>
    </row>
    <row r="30" spans="1:4" ht="12.75" customHeight="1" x14ac:dyDescent="0.2">
      <c r="A30" s="6"/>
      <c r="B30" s="22"/>
      <c r="C30" s="17"/>
      <c r="D30" s="25"/>
    </row>
    <row r="31" spans="1:4" ht="12.75" customHeight="1" x14ac:dyDescent="0.2">
      <c r="A31" s="6"/>
      <c r="B31" s="22"/>
      <c r="C31" s="17"/>
      <c r="D31" s="25"/>
    </row>
    <row r="32" spans="1:4" ht="12.75" customHeight="1" x14ac:dyDescent="0.2">
      <c r="A32" s="6"/>
      <c r="B32" s="22"/>
      <c r="C32" s="17"/>
      <c r="D32" s="25"/>
    </row>
    <row r="33" spans="1:4" ht="12.75" customHeight="1" x14ac:dyDescent="0.2">
      <c r="A33" s="6"/>
      <c r="B33" s="22"/>
      <c r="C33" s="17"/>
      <c r="D33" s="25"/>
    </row>
    <row r="34" spans="1:4" ht="12.75" customHeight="1" x14ac:dyDescent="0.2">
      <c r="A34" s="6"/>
      <c r="B34" s="22"/>
      <c r="C34" s="17"/>
      <c r="D34" s="25"/>
    </row>
    <row r="35" spans="1:4" ht="12.75" customHeight="1" x14ac:dyDescent="0.2">
      <c r="A35" s="6"/>
      <c r="B35" s="22"/>
      <c r="C35" s="17"/>
      <c r="D35" s="25"/>
    </row>
    <row r="36" spans="1:4" ht="12.75" customHeight="1" x14ac:dyDescent="0.2">
      <c r="A36" s="6"/>
      <c r="B36" s="22"/>
      <c r="C36" s="17"/>
      <c r="D36" s="25"/>
    </row>
    <row r="37" spans="1:4" ht="12.75" customHeight="1" x14ac:dyDescent="0.2">
      <c r="A37" s="7"/>
      <c r="B37" s="13"/>
      <c r="C37" s="11"/>
      <c r="D37" s="26"/>
    </row>
    <row r="40" spans="1:4" x14ac:dyDescent="0.2">
      <c r="B40" s="16"/>
    </row>
    <row r="41" spans="1:4" x14ac:dyDescent="0.2">
      <c r="B41" s="16"/>
    </row>
  </sheetData>
  <pageMargins left="0.70866141732283472" right="0.70866141732283472" top="0.78740157480314965" bottom="0.78740157480314965" header="0.31496062992125978" footer="0.31496062992125978"/>
  <pageSetup paperSize="9" scale="67" orientation="portrai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6</vt:i4>
      </vt:variant>
    </vt:vector>
  </HeadingPairs>
  <TitlesOfParts>
    <vt:vector size="6" baseType="lpstr">
      <vt:lpstr>Basis</vt:lpstr>
      <vt:lpstr>Infos zu dieser Mappe</vt:lpstr>
      <vt:lpstr>Legende_Thomschke</vt:lpstr>
      <vt:lpstr>Datentransfer</vt:lpstr>
      <vt:lpstr>Legende</vt:lpstr>
      <vt:lpstr>Zusammenfassung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Schuhmann, Katharina</dc:creator>
  <cp:lastModifiedBy>Wendler, André</cp:lastModifiedBy>
  <cp:lastPrinted>2020-09-18T09:32:13Z</cp:lastPrinted>
  <dcterms:created xsi:type="dcterms:W3CDTF">2015-02-11T08:00:51Z</dcterms:created>
  <dcterms:modified xsi:type="dcterms:W3CDTF">2022-11-26T09:54:53Z</dcterms:modified>
</cp:coreProperties>
</file>