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fileRecoveryPr repairLoad="1"/>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<sst xmlns="http://schemas.openxmlformats.org/spreadsheetml/2006/main" count="10763" uniqueCount="2988">
  <si>
    <t>Gruppe</t>
  </si>
  <si>
    <t>digi</t>
  </si>
  <si>
    <t>Restaurierung</t>
  </si>
  <si>
    <t>Whitelist</t>
  </si>
  <si>
    <t>Lfd Nr.</t>
  </si>
  <si>
    <t>Link zum Portal</t>
  </si>
  <si>
    <t>bbg</t>
  </si>
  <si>
    <t>AKZ</t>
  </si>
  <si>
    <t>IDN</t>
  </si>
  <si>
    <t>signatur_g</t>
  </si>
  <si>
    <t>signatur_a</t>
  </si>
  <si>
    <t>Signatur</t>
  </si>
  <si>
    <t>steht bei
/ Anm.
zur
Signatur</t>
  </si>
  <si>
    <t>titel</t>
  </si>
  <si>
    <t>stuecktitel</t>
  </si>
  <si>
    <t>Provenienzmerkmal</t>
  </si>
  <si>
    <t>wert</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</si>
  <si>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</si>
  <si>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</si>
  <si>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</si>
  <si>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</si>
  <si>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</si>
  <si>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</si>
  <si>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</si>
  <si>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</si>
  <si>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</si>
  <si>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</si>
  <si>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</si>
  <si>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</si>
  <si>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</si>
  <si>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</si>
  <si>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</si>
  <si>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</si>
  <si>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</si>
  <si>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</si>
  <si>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</si>
  <si>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</si>
  <si>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</si>
  <si>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</si>
  <si>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</si>
  <si>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</si>
  <si>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</si>
  <si>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</si>
  <si>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</si>
  <si>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</si>
  <si>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</si>
  <si>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</si>
  <si>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</si>
  <si>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</si>
  <si>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</si>
  <si>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</si>
  <si>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</si>
  <si>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</si>
  <si>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</si>
  <si>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</si>
  <si>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</si>
  <si>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</si>
  <si>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</si>
  <si>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</si>
  <si>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</si>
  <si>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</si>
  <si>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</si>
  <si>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</si>
  <si>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</si>
  <si>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</si>
  <si>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</si>
  <si>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</si>
  <si>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</si>
  <si>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</si>
  <si>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</si>
  <si>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</si>
  <si>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</si>
  <si>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</si>
  <si>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</si>
  <si>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</si>
  <si>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</si>
  <si>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</si>
  <si>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</si>
  <si>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</si>
  <si>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</si>
  <si>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</si>
  <si>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</si>
  <si>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</si>
  <si>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</si>
  <si>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</si>
  <si>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</si>
  <si>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</si>
  <si>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</si>
  <si>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</si>
  <si>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</si>
  <si>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</si>
  <si>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</si>
  <si>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</si>
  <si>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</si>
  <si>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</si>
  <si>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</si>
  <si>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</si>
  <si>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</si>
  <si>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</si>
  <si>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</si>
  <si>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</si>
  <si>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</si>
  <si>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</si>
  <si>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</si>
  <si>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</si>
  <si>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</si>
  <si>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</si>
  <si>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</si>
  <si>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</si>
  <si>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</si>
  <si>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</si>
  <si>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Bö M</t>
  </si>
  <si>
    <t>Aal</t>
  </si>
  <si>
    <t>L-1688-181273209</t>
  </si>
  <si>
    <t>1003962874</t>
  </si>
  <si>
    <t>Bö M 1</t>
  </si>
  <si>
    <t>Bö M 1</t>
  </si>
  <si>
    <t>Der @Neu=Sprossende Teutsche Palmbaum : oder ausführlicher Bericht, Von der Hochlöblichen Fruchtbringenden Gesellschaft, ... samt ... Verzeichnüß alle</t>
  </si>
  <si>
    <t xml:space="preserve"> : </t>
  </si>
  <si>
    <t>Pergamentband</t>
  </si>
  <si>
    <t>bis 25 cm</t>
  </si>
  <si>
    <t>nur sehr geringer Öffnungswinkel</t>
  </si>
  <si>
    <t>hohler Rücken, Schrift bis in den Falz, erhabene Illuminationen</t>
  </si>
  <si>
    <t>nicht auflegen</t>
  </si>
  <si>
    <t>Signaturfahne austauschen</t>
  </si>
  <si>
    <t>Pg</t>
  </si>
  <si>
    <t>h</t>
  </si>
  <si>
    <t>Pa</t>
  </si>
  <si>
    <t>x</t>
  </si>
  <si>
    <t>n</t>
  </si>
  <si>
    <t>L-1626-181298007</t>
  </si>
  <si>
    <t>1003987001</t>
  </si>
  <si>
    <t>Bö M 2</t>
  </si>
  <si>
    <t>Bö M 2</t>
  </si>
  <si>
    <t>Theōnos Sophistu Progymnasmata : in usum Scholarum Hollandiae West-Friesiaeque [griech. u. lat.]</t>
  </si>
  <si>
    <t>X</t>
  </si>
  <si>
    <t>80° bis 110°, einseitig digitalisierbar?</t>
  </si>
  <si>
    <t>welliger Buchblock</t>
  </si>
  <si>
    <t xml:space="preserve">Papierumschlag </t>
  </si>
  <si>
    <t>Ja, Signaturfahne austauschen</t>
  </si>
  <si>
    <t>x sauer</t>
  </si>
  <si>
    <t>Box (Buch sperrt)</t>
  </si>
  <si>
    <t>L-1610-181083752</t>
  </si>
  <si>
    <t>1003854826</t>
  </si>
  <si>
    <t>Bö M 3</t>
  </si>
  <si>
    <t>Bö M 3</t>
  </si>
  <si>
    <t>Die @Allerschöneste Companey auff Erden : über das H. Evang. am 3. Sonntage nach der H. Dreyfaltigkeit, Lucae C. 15</t>
  </si>
  <si>
    <t>Papier- oder Pappeinband</t>
  </si>
  <si>
    <t>hohler Rücken</t>
  </si>
  <si>
    <t>HPg</t>
  </si>
  <si>
    <t>h/E</t>
  </si>
  <si>
    <t>L-1621-181151669</t>
  </si>
  <si>
    <t>1003900852</t>
  </si>
  <si>
    <t>Bö M 4</t>
  </si>
  <si>
    <t>Bö M 4</t>
  </si>
  <si>
    <t xml:space="preserve">Gewissens Spiegel aller Eigennützigen Käuffer und Verkäuffer ... : </t>
  </si>
  <si>
    <t>180°</t>
  </si>
  <si>
    <t>Qd</t>
  </si>
  <si>
    <t>L-1599-783807511</t>
  </si>
  <si>
    <t>1262275857</t>
  </si>
  <si>
    <t>Bö M 5</t>
  </si>
  <si>
    <t xml:space="preserve">Sammelband mit zwei Leichenpredigten : </t>
  </si>
  <si>
    <t>Halbpergamentband</t>
  </si>
  <si>
    <t>Aaf</t>
  </si>
  <si>
    <t>L-1599-315493968</t>
  </si>
  <si>
    <t>1066963746</t>
  </si>
  <si>
    <t>Bö M 5 aus</t>
  </si>
  <si>
    <t>Bö M 5 aus</t>
  </si>
  <si>
    <t>Eine @Predigt|| Vber der Leiche des|| Achtbarn ... Herrn M.|| Georgij Dobers/ gewesenen Burgermeisters zu|| Olsnitz/ so an vnsers HErrn Christi Himel=</t>
  </si>
  <si>
    <t>L-1631-180645617</t>
  </si>
  <si>
    <t>1003797741</t>
  </si>
  <si>
    <t>Bö M 6</t>
  </si>
  <si>
    <t>Bö M 6</t>
  </si>
  <si>
    <t>Divi Aurelii Augustini ... Meditationes, Soliloquia et Manuale. Meditationes B. Anselmi cum tractatu de humani generis redemptione, D. Bernardi, Idiot</t>
  </si>
  <si>
    <t>Einband mit Schutz- oder Stoßkanten, hohler Rücken</t>
  </si>
  <si>
    <t>Nein</t>
  </si>
  <si>
    <t>max 110</t>
  </si>
  <si>
    <t>Gewebe</t>
  </si>
  <si>
    <t>L-1601-181068354</t>
  </si>
  <si>
    <t>1003839622</t>
  </si>
  <si>
    <t>Bö M 7</t>
  </si>
  <si>
    <t>Bö M 7</t>
  </si>
  <si>
    <t xml:space="preserve">Leichpredigt|| Über den Custodierten D. Nicolaum Krell, Welcher den 9. Octobris ... zu Dreßden entheuptet worden : </t>
  </si>
  <si>
    <t>L-1695-18127504X</t>
  </si>
  <si>
    <t>1003964729</t>
  </si>
  <si>
    <t>Bö M 8</t>
  </si>
  <si>
    <t>Bö M 8</t>
  </si>
  <si>
    <t xml:space="preserve">Hercules Prodicius seu Carolus Juliae, Cliviae ac Montium Princeps in Joanne Wilhelmo Comite Palatino Rheni nepote post saeculum redivivus : </t>
  </si>
  <si>
    <t>Ledereinband</t>
  </si>
  <si>
    <t>fester Rücken mit Schmuckprägung, welliger Buchblock</t>
  </si>
  <si>
    <t>L</t>
  </si>
  <si>
    <t>f</t>
  </si>
  <si>
    <t>max 60</t>
  </si>
  <si>
    <t>historisch?</t>
  </si>
  <si>
    <t>x Buntpapier mit Gewebe kaschiert</t>
  </si>
  <si>
    <t>Umschlag: Buntpapier kaschiert mit Gewebe</t>
  </si>
  <si>
    <t>L-1672-181212536</t>
  </si>
  <si>
    <t>1003943349</t>
  </si>
  <si>
    <t>Bö M 9</t>
  </si>
  <si>
    <t>Bö M 9</t>
  </si>
  <si>
    <t>Möglichst kürtzeste/ jedoch gründliche Genealogische Herführung/ Von uralter Her- und Ankunfft Beyder Hoch-Fürstlichen Häuser Baden und HolsteinBenebe</t>
  </si>
  <si>
    <t>bis 42 cm</t>
  </si>
  <si>
    <t>gefaltete Blätter, hohler Rücken</t>
  </si>
  <si>
    <t>Ja</t>
  </si>
  <si>
    <t>f/V</t>
  </si>
  <si>
    <t>B: 23x36
F: 76x36</t>
  </si>
  <si>
    <t>ja vor</t>
  </si>
  <si>
    <t>Afl</t>
  </si>
  <si>
    <t>L-1646-427678498</t>
  </si>
  <si>
    <t>1147898448</t>
  </si>
  <si>
    <t>Bö M 10</t>
  </si>
  <si>
    <t>Bö M 10</t>
  </si>
  <si>
    <t>Jo. Petri Lotichii Rerum Germanicarum, sub Matthia, Ferdinandis II. &amp; III. Impp. gestarum, libri LV.</t>
  </si>
  <si>
    <t>1,1 : Liber I-XIIX</t>
  </si>
  <si>
    <t>bis 35 cm</t>
  </si>
  <si>
    <t>hohler Rücken, gefaltete Blätter</t>
  </si>
  <si>
    <t>L-1624-783808437</t>
  </si>
  <si>
    <t>1262276780</t>
  </si>
  <si>
    <t>Bö M 11</t>
  </si>
  <si>
    <t>Bö M 11</t>
  </si>
  <si>
    <t xml:space="preserve">Sammelband : </t>
  </si>
  <si>
    <t>QF
(26x18,5)</t>
  </si>
  <si>
    <t>L-1622-181212994</t>
  </si>
  <si>
    <t>1003943853</t>
  </si>
  <si>
    <t>Bö M 12</t>
  </si>
  <si>
    <t>Bö M 12</t>
  </si>
  <si>
    <t>Jahreszeiten : 12 Monate</t>
  </si>
  <si>
    <t>L-1687-181298449</t>
  </si>
  <si>
    <t>1003987435</t>
  </si>
  <si>
    <t>Bö M 13</t>
  </si>
  <si>
    <t>Bö M 13</t>
  </si>
  <si>
    <t>Jacobi Tolli Fortuita : in quibus, praeter critica nonnulla, tota fabularis historia Graeca, Phoenicia, Aegyptiaca, ad Chemiam pertinere asseritur</t>
  </si>
  <si>
    <t>hohler Rücken, welliger Buchblock</t>
  </si>
  <si>
    <t>L-1649-426018907</t>
  </si>
  <si>
    <t>1144984351</t>
  </si>
  <si>
    <t>Bö M 14</t>
  </si>
  <si>
    <t>Bö M 14</t>
  </si>
  <si>
    <t xml:space="preserve">Sammelband Topographia Provinciarum Austriacarum : </t>
  </si>
  <si>
    <t>durchgehende Tafeln und sehr "eng" gebunden</t>
  </si>
  <si>
    <t>L-1650-181215799</t>
  </si>
  <si>
    <t>1003946658</t>
  </si>
  <si>
    <t>Bö M 15</t>
  </si>
  <si>
    <t>Bö M 15</t>
  </si>
  <si>
    <t>Topographia Bohemiae, Moraviae Et Silesiae das ist, Beschreibung und eigentliche Abbildung der Vornehmsten, und bekandtisten Stätte, und Plätze, in de</t>
  </si>
  <si>
    <t>L-1644-181215128</t>
  </si>
  <si>
    <t>1003945953</t>
  </si>
  <si>
    <t>Bö M 16</t>
  </si>
  <si>
    <t>Bö M 16</t>
  </si>
  <si>
    <t>Topographia Bavariae das ist Beschreib: und Aigentliche Abbildung der Vornembsten Stätt und Orth, in Ober und NiederBeyern, Der ObernPfaltz, Und ander</t>
  </si>
  <si>
    <t>nur 110</t>
  </si>
  <si>
    <t>L-1643-181271060</t>
  </si>
  <si>
    <t>1003960766</t>
  </si>
  <si>
    <t>Bö M 17</t>
  </si>
  <si>
    <t>Bö M 17</t>
  </si>
  <si>
    <t>Topographia Sueviae das ist Beschreib: und Aigentliche Abcontrafeitung der fürnembste[n] Stätt und Plätz in Ober und Nider Schwaben, Hertzogthum Würte</t>
  </si>
  <si>
    <t>L-1644-181213265</t>
  </si>
  <si>
    <t>1003944124</t>
  </si>
  <si>
    <t>Bö M 18</t>
  </si>
  <si>
    <t>Bö M 18</t>
  </si>
  <si>
    <t>Topographia Alsatiae, &amp;c. Das ist/ Beschreibung unnd eygentliche Abbildung der vornehmbsten Stätt und Oerther/ im Obern und Untern Elsaß/ auch den ben</t>
  </si>
  <si>
    <t>L-1645-181219395</t>
  </si>
  <si>
    <t>1003950051</t>
  </si>
  <si>
    <t>Bö M 19</t>
  </si>
  <si>
    <t>Bö M 19</t>
  </si>
  <si>
    <t>Topographia Palatinatus Rheni et Vicinarum Regionum Das ist, Beschreibung und Eigentliche Abbildung der Vornemsten Statte &amp; Plätz der Untern Pfaltz am</t>
  </si>
  <si>
    <t xml:space="preserve">x sauer </t>
  </si>
  <si>
    <t>L-1646-181218844</t>
  </si>
  <si>
    <t>1003949487</t>
  </si>
  <si>
    <t>Bö M 20</t>
  </si>
  <si>
    <t>Bö M 20</t>
  </si>
  <si>
    <t xml:space="preserve">Topographia Archiepiscopatuum Moguntinensis, Trevirensis, et Coloniensis, Das ist Beschreibung der Vornembsten Stätt und Plätz, in denen Ertzbistumen </t>
  </si>
  <si>
    <t>L-1648-181216884</t>
  </si>
  <si>
    <t>1003947638</t>
  </si>
  <si>
    <t>Bö M 21</t>
  </si>
  <si>
    <t>Bö M 21</t>
  </si>
  <si>
    <t>Topographia Franconiae, Das ist/ Beschreibung, Und Eygentliche Contrafactur der Vornembsten Stätte/ Und Plätze des Franckenlandes/ und Deren/ die Zu D</t>
  </si>
  <si>
    <t>hohler Rücken, Einband mit Schutz- oder Stoßkanten, gefaltete Blätter</t>
  </si>
  <si>
    <t>L-1646-426020154</t>
  </si>
  <si>
    <t>1144987067</t>
  </si>
  <si>
    <t>Bö M 22</t>
  </si>
  <si>
    <t xml:space="preserve">Sammelband Topographia Hassiae et Regionum Vicinarum : </t>
  </si>
  <si>
    <t>L-1647-181271400</t>
  </si>
  <si>
    <t>1003961096</t>
  </si>
  <si>
    <t>Bö M 23</t>
  </si>
  <si>
    <t>Bö M 23</t>
  </si>
  <si>
    <t xml:space="preserve">Topographia Westphaliae. Das ist, Beschreibung der Vornembsten, und bekantisten Stätte, und Plätz, im Hochlöbl: Westphälischen Craiße : </t>
  </si>
  <si>
    <t>Halbledereinband</t>
  </si>
  <si>
    <t>L-1653-181219549</t>
  </si>
  <si>
    <t>1003950183</t>
  </si>
  <si>
    <t>Bö M 24</t>
  </si>
  <si>
    <t>Bö M 24</t>
  </si>
  <si>
    <t>Topographia Saxoniae Inferioris : das ist Beschreibung der vornehmsten Stätte vnnd Plätz in dem hochl. Nider Sachß. Crayß</t>
  </si>
  <si>
    <t>fester Rücken mit Schmuckprägung, gefaltete Blätter</t>
  </si>
  <si>
    <t>B: 22x35
F: 50x35</t>
  </si>
  <si>
    <t xml:space="preserve">
Tafel bei 110, aber nur Tafel!</t>
  </si>
  <si>
    <t>Umschlag (Leder pudert)</t>
  </si>
  <si>
    <t>v/h</t>
  </si>
  <si>
    <t>L-1654-181216027</t>
  </si>
  <si>
    <t>1003946844</t>
  </si>
  <si>
    <t>Bö M 25</t>
  </si>
  <si>
    <t>Bö M 25</t>
  </si>
  <si>
    <t>Topographia und Eigentliche Beschreibung Der Vornembsten Stäte, Schlösser auch anderer Plätze und Örter in denen Hertzogthümer[n] Braunschweig und Lün</t>
  </si>
  <si>
    <t>L-1650-181219719</t>
  </si>
  <si>
    <t>1003950396</t>
  </si>
  <si>
    <t>Bö M 26</t>
  </si>
  <si>
    <t>Bö M 26</t>
  </si>
  <si>
    <t>M.Z. @Topographia Superioris Saxoniae Thüringiae/ Misniae Lusatiae etc: Das ist Beschreibung der Vorn[embste]n und Bekantesten Stätt/ und Plätz/ in Ch</t>
  </si>
  <si>
    <t>B: 22x34
F: 50x34</t>
  </si>
  <si>
    <t>Tafeln teilweise nachleimen, da Papier sehr wattig</t>
  </si>
  <si>
    <t>L-1680-185133150</t>
  </si>
  <si>
    <t>1005791945</t>
  </si>
  <si>
    <t>Bö M 27</t>
  </si>
  <si>
    <t>Bö M 27</t>
  </si>
  <si>
    <t xml:space="preserve">M Z: @Topographia Electorat[us] Brandenburgici et Ducatus Pomeraniae. [et]c. das ist Beschreibung der Vornembsten und bekantisten Stätte und Plätz in </t>
  </si>
  <si>
    <t>L-1642-181217708</t>
  </si>
  <si>
    <t>1003948413</t>
  </si>
  <si>
    <t>Bö M 28</t>
  </si>
  <si>
    <t>Bö M 28</t>
  </si>
  <si>
    <t>Topographia Helvetiae, Rhaetiae, Et Valesiae, Das ist, Beschreibung und Eigentliche Abbildung der Vornembsten Stätte und Plätz in der Hochlöblichen Ey</t>
  </si>
  <si>
    <t>4161,00 EUR</t>
  </si>
  <si>
    <t>gereinigt</t>
  </si>
  <si>
    <t>B: 22x32
F: 55x32</t>
  </si>
  <si>
    <t>o/u</t>
  </si>
  <si>
    <t>L-1654-181216574</t>
  </si>
  <si>
    <t>1003947328</t>
  </si>
  <si>
    <t>Bö M 29</t>
  </si>
  <si>
    <t>Bö M 29</t>
  </si>
  <si>
    <t>Topographia Circuli Burgundici: Das ist/ Beschreibung deß Burgundisch- und Niederländischen Craises; Oder der XVII. Niederländischen Provintzen/ und w</t>
  </si>
  <si>
    <t>B: 20x30
F: 64x30</t>
  </si>
  <si>
    <t>x max 110</t>
  </si>
  <si>
    <t>Falten in letzten Seiten glätten, Ränder trockenreinigen, Tafeln auf Risse und Lösung der Verklebung überprüfen (z.B. Tafel nach S. 144), Rest.-Aufwand daher nur ganz grob geschätzt --&gt; muss genauer angeschaut werden</t>
  </si>
  <si>
    <t>L-1655-181210088</t>
  </si>
  <si>
    <t>1003940870</t>
  </si>
  <si>
    <t>Bö M 30 - 1</t>
  </si>
  <si>
    <t>Bö M 30 - 1</t>
  </si>
  <si>
    <t>Topographia Galliae, Oder Beschreibung und Contrafaitung der vornehmbsten/ und bekantisten Oerter/ in dem mächtigen/ und grossen Königreich Franckreic</t>
  </si>
  <si>
    <t xml:space="preserve">Theil 1 - 5 : </t>
  </si>
  <si>
    <t>gefaltete Blätter, fester Rücken mit Schmuckprägung</t>
  </si>
  <si>
    <t>HL</t>
  </si>
  <si>
    <t>x durchgehend</t>
  </si>
  <si>
    <t>L-1657-426023579</t>
  </si>
  <si>
    <t>1144993644</t>
  </si>
  <si>
    <t>Bö M 30 - 2</t>
  </si>
  <si>
    <t>Bö M 30 - 2</t>
  </si>
  <si>
    <t xml:space="preserve">Theil 6 - 13 : </t>
  </si>
  <si>
    <t>B: 21x31
F: 35x21</t>
  </si>
  <si>
    <t>L-1688-18121797X</t>
  </si>
  <si>
    <t>1003948715</t>
  </si>
  <si>
    <t>Bö M 31</t>
  </si>
  <si>
    <t>Bö M 31</t>
  </si>
  <si>
    <t>Topographia Italiae, Das ist: Warhaffte und Curiöse Beschreibung Von gantz Italien/ Darinnen nach Historischer Warheit/ die berühmtesten Städte/ Vestu</t>
  </si>
  <si>
    <t>B: 22x35
F: 74x35</t>
  </si>
  <si>
    <t>Box (sperrt)</t>
  </si>
  <si>
    <t>L-1635-180648268</t>
  </si>
  <si>
    <t>1003800165</t>
  </si>
  <si>
    <t>Bö M 32</t>
  </si>
  <si>
    <t>Bö M 32</t>
  </si>
  <si>
    <t xml:space="preserve">Newer Beichtform, Das ist: Geistliche underrichtung ... : </t>
  </si>
  <si>
    <t>L-1683-181188279</t>
  </si>
  <si>
    <t>1003920497</t>
  </si>
  <si>
    <t>Bö M 33</t>
  </si>
  <si>
    <t>Bö M 33</t>
  </si>
  <si>
    <t>Histoire du Calvinisme &amp; celle du Papisme mises en parallele</t>
  </si>
  <si>
    <t xml:space="preserve">Pt. 1 : </t>
  </si>
  <si>
    <t>fester Rücken mit Schmuckprägung, Schrift bis in den Falz</t>
  </si>
  <si>
    <t>Mappe</t>
  </si>
  <si>
    <t>max 45</t>
  </si>
  <si>
    <t>ist vollrest., Rücken steif! --&gt; Digit. ohne Textverlust nicht möglich; 12°</t>
  </si>
  <si>
    <t>Box</t>
  </si>
  <si>
    <t>L-1684-181117045</t>
  </si>
  <si>
    <t>1003867928</t>
  </si>
  <si>
    <t>Bö M 34</t>
  </si>
  <si>
    <t>Bö M 34</t>
  </si>
  <si>
    <t xml:space="preserve">Costuymen van s'Hertogen-Bossche : </t>
  </si>
  <si>
    <t>hat Vergoldung, aber alles ist sehr beweglich und weich --&gt; Digit. möglich</t>
  </si>
  <si>
    <t>L-1629-78380797X</t>
  </si>
  <si>
    <t>1262276454</t>
  </si>
  <si>
    <t>Bö M 35</t>
  </si>
  <si>
    <t>Schrift bis in den Falz</t>
  </si>
  <si>
    <t>L-1661-181142058</t>
  </si>
  <si>
    <t>1003891322</t>
  </si>
  <si>
    <t>Bö M 36 a</t>
  </si>
  <si>
    <t>Bö M 36 a</t>
  </si>
  <si>
    <t xml:space="preserve">Volrad Fürstenholds Politisches Bedenken Über das Eigenhändige Unterschreiben Grosser Herren ... : </t>
  </si>
  <si>
    <t>L-1671-181285533</t>
  </si>
  <si>
    <t>1003974899</t>
  </si>
  <si>
    <t>Bö M 36 b</t>
  </si>
  <si>
    <t>Bö M 36 b</t>
  </si>
  <si>
    <t>Wilhelm Schröters|| Illustrissimae Regiae Societat. Bri-||tann. Assessoris|| : Dissertatio|| de Ministrissimo</t>
  </si>
  <si>
    <t>Ungebunden, Mappen</t>
  </si>
  <si>
    <t>oE</t>
  </si>
  <si>
    <t>L-1642-181195763</t>
  </si>
  <si>
    <t>100392705X</t>
  </si>
  <si>
    <t>Bö M 36 c</t>
  </si>
  <si>
    <t>Bö M 36 c</t>
  </si>
  <si>
    <t xml:space="preserve">Jo. Petri Lotichii De Opinione Oratio : </t>
  </si>
  <si>
    <t>L-1661-181131625</t>
  </si>
  <si>
    <t>1003880878</t>
  </si>
  <si>
    <t>Bö M 36 d</t>
  </si>
  <si>
    <t>Bö M 36 d</t>
  </si>
  <si>
    <t>Johannis Pauli Felwinger/ Professoris Altdorphini, Dissertationes Politicae : Series Materiarum post Praefationem reperietur ; Cum indice Rerum &amp; Verb</t>
  </si>
  <si>
    <t>ist vollrest., Rücken steif</t>
  </si>
  <si>
    <t>L-1560-18111769X</t>
  </si>
  <si>
    <t>100386838X</t>
  </si>
  <si>
    <t>Bö M 37</t>
  </si>
  <si>
    <t>Bö M 37</t>
  </si>
  <si>
    <t xml:space="preserve">Dionysii Halicarnassei de Thucydidis Historia Judicium : </t>
  </si>
  <si>
    <t>L-1619-181117061</t>
  </si>
  <si>
    <t>1003867944</t>
  </si>
  <si>
    <t>Bö M 38</t>
  </si>
  <si>
    <t>Bö M 38</t>
  </si>
  <si>
    <t xml:space="preserve">Costumen der Stede van Brugghe : </t>
  </si>
  <si>
    <t>hohler Rücken, Schrift bis in den Falz</t>
  </si>
  <si>
    <t xml:space="preserve">
flexibler Pg.</t>
  </si>
  <si>
    <t>Box (flexibler Pg)</t>
  </si>
  <si>
    <t>L-1808-181299259</t>
  </si>
  <si>
    <t>1003988164</t>
  </si>
  <si>
    <t>Bö M 39 (Großformate)</t>
  </si>
  <si>
    <t>Bö M 39</t>
  </si>
  <si>
    <t>Bö M 39</t>
  </si>
  <si>
    <t xml:space="preserve">Tryphiodōru Iliu Halōsio : </t>
  </si>
  <si>
    <t>500,00 EUR</t>
  </si>
  <si>
    <t>&gt; 42 cm</t>
  </si>
  <si>
    <t>fester Rücken mit Schmuckprägung</t>
  </si>
  <si>
    <t xml:space="preserve">Mappe (liegt, ist abriebgefährdet) </t>
  </si>
  <si>
    <t>L-1633-181288095</t>
  </si>
  <si>
    <t>1003977170</t>
  </si>
  <si>
    <t>Bö M 40</t>
  </si>
  <si>
    <t>Bö M 40</t>
  </si>
  <si>
    <t xml:space="preserve">Adriani Spigelii Isagoges in rem herbarium libri duo : </t>
  </si>
  <si>
    <t>Vergrößerungsbox</t>
  </si>
  <si>
    <t>L-1668-181189747</t>
  </si>
  <si>
    <t>1003921698</t>
  </si>
  <si>
    <t>Bö M 41</t>
  </si>
  <si>
    <t>Bö M 41</t>
  </si>
  <si>
    <t xml:space="preserve">D. Jun. Juvenalis et Auli Persii Flacii Satyrae : </t>
  </si>
  <si>
    <t>hohler Rücken, welliger Buchblock, Einband mit Schutz- oder Stoßkanten</t>
  </si>
  <si>
    <t>L-1651-181295059</t>
  </si>
  <si>
    <t>1003983944</t>
  </si>
  <si>
    <t>Bö M 42</t>
  </si>
  <si>
    <t>Bö M 42</t>
  </si>
  <si>
    <t xml:space="preserve">Pub. Terentii Comoediae Sex : </t>
  </si>
  <si>
    <t>L-1622-181152533</t>
  </si>
  <si>
    <t>100390162X</t>
  </si>
  <si>
    <t>Bö M 43</t>
  </si>
  <si>
    <t>Bö M 43</t>
  </si>
  <si>
    <t>Hesiodi Ascraei quae extant. Daniel Heinsivs interpretationem haud paucis locis emendavit. Introductionem in Opera [et] Dies, in qua Hesiodi philosoph</t>
  </si>
  <si>
    <t>L-1694-181187868</t>
  </si>
  <si>
    <t>1003920195</t>
  </si>
  <si>
    <t>Bö M 44</t>
  </si>
  <si>
    <t>Bö M 44</t>
  </si>
  <si>
    <t xml:space="preserve">Francisci Junii F. F. de Pictura Veterum libri tres ... accedit Catalogus, adhuc ineditus, Architectorum, Mechanicorum ... : </t>
  </si>
  <si>
    <t>Ecken stabilisieren, Gelenke mit JP-Gewebelaminat unterlegen</t>
  </si>
  <si>
    <t>L-1642-180635697</t>
  </si>
  <si>
    <t>1003787630</t>
  </si>
  <si>
    <t>Bö M 45</t>
  </si>
  <si>
    <t>Bö M 45</t>
  </si>
  <si>
    <t>Jo. Ludovici Gottfridi Historische Chronica, Oder Beschreibung der Fürnemsten Geschichten/ so sich von Anfang der Welt/ biß auff unsere Zeiten zugetra</t>
  </si>
  <si>
    <t>enthält getrocknete Pflanzen</t>
  </si>
  <si>
    <t>L-1649-18063500X</t>
  </si>
  <si>
    <t>1003786944</t>
  </si>
  <si>
    <t>(ÜF / 4. OG: R42/6/4)</t>
  </si>
  <si>
    <t>Bö M 46</t>
  </si>
  <si>
    <t>Bö M 46</t>
  </si>
  <si>
    <t>Es gibt bei den Überformaten 3 Kassetten mit montierten Grafiken, die ehemals in diesem Druck waren und bei der Restaurierung herausgelöst worden.</t>
  </si>
  <si>
    <t>Archontologia Cosmica, Sive Imperiorum, Regnorum, Principatuum, Rerumque Publicarum omnium per totum Terrarum Orbem Commentarii LuculentissimiQuibus C</t>
  </si>
  <si>
    <t>4000,00 EUR</t>
  </si>
  <si>
    <t>Ledereinband, Schließen, erhabene Buchbeschläge</t>
  </si>
  <si>
    <t>Holzdeckel</t>
  </si>
  <si>
    <t>HD</t>
  </si>
  <si>
    <t>xx</t>
  </si>
  <si>
    <t>Bö M 46 Tafeln 1-65</t>
  </si>
  <si>
    <t>von FT neu aufgenommen</t>
  </si>
  <si>
    <t>40x50</t>
  </si>
  <si>
    <t>EB</t>
  </si>
  <si>
    <t>Bö M 46 Tafeln 66-126</t>
  </si>
  <si>
    <t>Bö M 46 Tafeln 127-183</t>
  </si>
  <si>
    <t>L-1660-181299534</t>
  </si>
  <si>
    <t>1003988458</t>
  </si>
  <si>
    <t>Bö M 47</t>
  </si>
  <si>
    <t>Bö M 47</t>
  </si>
  <si>
    <t xml:space="preserve">Amoris divini emblemata : </t>
  </si>
  <si>
    <t>nach Rest. Öffnungswinkel nochmal prüfen, aber ws. bleibt es bei 45°</t>
  </si>
  <si>
    <t>v</t>
  </si>
  <si>
    <t>fester Rücken ist fast hohl --&gt; ganz ablösen, mit JP-Gewebe-Laminat unterstützen und hohl belassen</t>
  </si>
  <si>
    <t>L-1627-180644920</t>
  </si>
  <si>
    <t>1003797199</t>
  </si>
  <si>
    <t>Bö M 48</t>
  </si>
  <si>
    <t>Bö M 48</t>
  </si>
  <si>
    <t xml:space="preserve">De Lactibus Sive Lacteis Venis Quarto Vasorum Maesaraicorum genere ... : </t>
  </si>
  <si>
    <t>hohler Rücken, gefaltete Blätter, welliger Buchblock</t>
  </si>
  <si>
    <t xml:space="preserve">
flexibler Pergamentband</t>
  </si>
  <si>
    <t>B: 18x23
F: 28x42</t>
  </si>
  <si>
    <t>K</t>
  </si>
  <si>
    <t>flexibler Pergamentband</t>
  </si>
  <si>
    <t>L-1613-180647148</t>
  </si>
  <si>
    <t>1003798918</t>
  </si>
  <si>
    <t>Bö M 49</t>
  </si>
  <si>
    <t>Bö M 49</t>
  </si>
  <si>
    <t xml:space="preserve">Astronomique discours : </t>
  </si>
  <si>
    <t xml:space="preserve">
enthält beschädigte Volvellen</t>
  </si>
  <si>
    <t>enthält mehrere beschädigte Volvellen</t>
  </si>
  <si>
    <t>Mehrere Vovellen sind beschädigt!</t>
  </si>
  <si>
    <t>L-1726-181210770</t>
  </si>
  <si>
    <t>1003941494</t>
  </si>
  <si>
    <t>(ÜF / 4. OG: R42/6/5)</t>
  </si>
  <si>
    <t>Bö M 50</t>
  </si>
  <si>
    <t>Bö M 50</t>
  </si>
  <si>
    <t xml:space="preserve">Mariae Sibillae Merian Dissertatio de generatione et metamorphosibus insectorum Surinamensium ... : </t>
  </si>
  <si>
    <t>38x54</t>
  </si>
  <si>
    <t>L-1730-783804822</t>
  </si>
  <si>
    <t>1262273439</t>
  </si>
  <si>
    <t>Bö M 51</t>
  </si>
  <si>
    <t>38x53</t>
  </si>
  <si>
    <t>L-1620-181196786</t>
  </si>
  <si>
    <t>1003928005</t>
  </si>
  <si>
    <t>Bö M 52</t>
  </si>
  <si>
    <t>Bö M 52</t>
  </si>
  <si>
    <t xml:space="preserve">De rerum natura : </t>
  </si>
  <si>
    <t>hohler Rücken, Einband mit Schutz- oder Stoßkanten</t>
  </si>
  <si>
    <t>L-1680-181069202</t>
  </si>
  <si>
    <t>1003840507</t>
  </si>
  <si>
    <t>Bö M 53</t>
  </si>
  <si>
    <t>Bö M 53</t>
  </si>
  <si>
    <t xml:space="preserve">De sacrificio Missae, tractatus asceticus ... : </t>
  </si>
  <si>
    <t>x 110</t>
  </si>
  <si>
    <t>L-1607-181198207</t>
  </si>
  <si>
    <t>1003929176</t>
  </si>
  <si>
    <t>Bö M 54</t>
  </si>
  <si>
    <t>Bö M 54</t>
  </si>
  <si>
    <t xml:space="preserve">Macrobii Ambrosii Aurelii Theodosii viri consularis &amp; illustris in Somnium Scipionis, Lib. II., Saturnaliorum, Lib. VII : </t>
  </si>
  <si>
    <t xml:space="preserve">
wegen Rücken</t>
  </si>
  <si>
    <t>L-1626-180648810</t>
  </si>
  <si>
    <t>1003800785</t>
  </si>
  <si>
    <t>Bö M 55</t>
  </si>
  <si>
    <t>Bö M 55</t>
  </si>
  <si>
    <t>wo steht das? Ist weder bei NF noch GF.</t>
  </si>
  <si>
    <t xml:space="preserve">De gemitu Columbae sive De bono lacrymarum, libri tres : </t>
  </si>
  <si>
    <t>L-1672-181122235</t>
  </si>
  <si>
    <t>1003872638</t>
  </si>
  <si>
    <t>Bö M 56</t>
  </si>
  <si>
    <t>Bö M 56</t>
  </si>
  <si>
    <t>Le @Monde ou la geographie universelle ...</t>
  </si>
  <si>
    <t xml:space="preserve">P. 1 : </t>
  </si>
  <si>
    <t>fester Rücken mit Schmuckprägung, gefaltete Blätter, erhabene Illuminationen</t>
  </si>
  <si>
    <t xml:space="preserve">
Frage an DL: Wie geht das mit der Falttafel?</t>
  </si>
  <si>
    <t>Wie geht das mit der Falttafel (Doppelblatt an Falz und 60°)?</t>
  </si>
  <si>
    <t>Umschlag</t>
  </si>
  <si>
    <t>L-1624-181303388</t>
  </si>
  <si>
    <t>100399234X</t>
  </si>
  <si>
    <t>Bö M 57</t>
  </si>
  <si>
    <t>Bö M 57</t>
  </si>
  <si>
    <t xml:space="preserve">Emblematum ethico-politicorum centuria Julii Guilielmi Zincgrefii : </t>
  </si>
  <si>
    <t>hohler Rücken, erhabene Illuminationen</t>
  </si>
  <si>
    <t>L-1666-181303787</t>
  </si>
  <si>
    <t>1003992730</t>
  </si>
  <si>
    <t>Bö M 58</t>
  </si>
  <si>
    <t>Bö M 58</t>
  </si>
  <si>
    <t xml:space="preserve">Emblematum ethico-politicorum centuria : </t>
  </si>
  <si>
    <t>L-1653-181182386</t>
  </si>
  <si>
    <t>1003915108</t>
  </si>
  <si>
    <t>Bö M 59</t>
  </si>
  <si>
    <t>Bö M 59</t>
  </si>
  <si>
    <t xml:space="preserve">Jesus meine Liebe gecreutziget ... in 59 ... Andachten : </t>
  </si>
  <si>
    <t>hohler Rücken, Schrift bis in den Falz, stark deformiertes Objekt</t>
  </si>
  <si>
    <t xml:space="preserve">
Grenzfall wegen Rücken</t>
  </si>
  <si>
    <t>Digi-Grenzfall: Rücken mit Längsbruch, aber sehr stabil --&gt; würde ich wagen</t>
  </si>
  <si>
    <t>L-1549-181295873</t>
  </si>
  <si>
    <t>1003984738</t>
  </si>
  <si>
    <t>Bö M 60</t>
  </si>
  <si>
    <t>Bö M 60</t>
  </si>
  <si>
    <t>Tēs @Kainēs Diathēkēs Apanta : Ex Bibliotheca Regia</t>
  </si>
  <si>
    <t>L-1600-181285010</t>
  </si>
  <si>
    <t>1003974392</t>
  </si>
  <si>
    <t>Bö M 61</t>
  </si>
  <si>
    <t xml:space="preserve">Itinerari Italiae rerumq[ue] romanarum libri tres : </t>
  </si>
  <si>
    <t>hohler Rücken, Einband mit Schutz- oder Stoßkanten, welliger Buchblock</t>
  </si>
  <si>
    <t>L-1629-181274655</t>
  </si>
  <si>
    <t>1003964338</t>
  </si>
  <si>
    <t>Bö M 62</t>
  </si>
  <si>
    <t>Bö M 62</t>
  </si>
  <si>
    <t xml:space="preserve">Pub[lii] Ovidii Nasonis opera : </t>
  </si>
  <si>
    <t>L-1605-181150344</t>
  </si>
  <si>
    <t>100389951X</t>
  </si>
  <si>
    <t>Bö M 63</t>
  </si>
  <si>
    <t>Bö M 63</t>
  </si>
  <si>
    <t xml:space="preserve">Mespris de la cour, et louange de la vie rustique : </t>
  </si>
  <si>
    <t>L-1626-181293692</t>
  </si>
  <si>
    <t>1003982700</t>
  </si>
  <si>
    <t>Bö M 64</t>
  </si>
  <si>
    <t>Bö M 64</t>
  </si>
  <si>
    <t>Sulpiti Severi Historia Sacra continuata Ex Johannis Sleydani libro De Quatuor summis Imperiis : edita In usum Scholarum Hollandicarum &amp; West-Frisicar</t>
  </si>
  <si>
    <t>Einband mit Schutz- oder Stoßkanten, welliger Buchblock, Schrift bis in den Falz</t>
  </si>
  <si>
    <t>x 45</t>
  </si>
  <si>
    <t>L-1604-181117894</t>
  </si>
  <si>
    <t>1003868568</t>
  </si>
  <si>
    <t>Bö M 65</t>
  </si>
  <si>
    <t>Bö M 65</t>
  </si>
  <si>
    <t xml:space="preserve">Scholia Sive Dilvcidationes Ervditissimae In Latinos Plerosqve Historiae Romanae Scriptores Quorum nomina versa : </t>
  </si>
  <si>
    <t>Schrift bis in den Falz, welliger Buchblock</t>
  </si>
  <si>
    <t>Schaden stabil</t>
  </si>
  <si>
    <t>L-1636-181300370</t>
  </si>
  <si>
    <t>1003989381</t>
  </si>
  <si>
    <t>Bö M 66</t>
  </si>
  <si>
    <t>Bö M 66</t>
  </si>
  <si>
    <t xml:space="preserve">P[ublii] Virgilii Maronis opera nunc emendatiora : </t>
  </si>
  <si>
    <t>Nein, Signaturfahne austauschen</t>
  </si>
  <si>
    <t>L-1601-181192470</t>
  </si>
  <si>
    <t>1003924077</t>
  </si>
  <si>
    <t>Bö M 67</t>
  </si>
  <si>
    <t>Bö M 67</t>
  </si>
  <si>
    <t xml:space="preserve">Samuelis Latochii secundi, Cognomento Sommerhelti ...Laurifolia, sive carminum lib. XII. ... : </t>
  </si>
  <si>
    <t>ist vollrest., Rücken steif --&gt; Textverlust</t>
  </si>
  <si>
    <t>L-1600-315493062</t>
  </si>
  <si>
    <t>1066962731</t>
  </si>
  <si>
    <t>Bö M 68</t>
  </si>
  <si>
    <t>Bö M 68</t>
  </si>
  <si>
    <t>HORATII|| TVRSELLINI|| ROMANI|| E SOCIETATE IESV|| LAVRETANAE|| HISTORIAE, LIBRI|| QVINQVE.|| AD ILLVSTRISS. D.|| PETRVM ALDOBRAN-||DINVM S.R.E. CARD.</t>
  </si>
  <si>
    <t>Gewebeeinband</t>
  </si>
  <si>
    <t>Schrift bis in den Falz, hohler Rücken</t>
  </si>
  <si>
    <t>mit Original Buchdeckel</t>
  </si>
  <si>
    <t>G</t>
  </si>
  <si>
    <t>L-1629-783807783</t>
  </si>
  <si>
    <t>1262276209</t>
  </si>
  <si>
    <t>Bö M 69</t>
  </si>
  <si>
    <t>L-1743-181146533</t>
  </si>
  <si>
    <t>1003895549</t>
  </si>
  <si>
    <t>Bö M 70</t>
  </si>
  <si>
    <t>Bö M 70</t>
  </si>
  <si>
    <t xml:space="preserve">[Wernigerödisches Gesangbuch : </t>
  </si>
  <si>
    <t xml:space="preserve">
geprägter und bemalter Perg.band</t>
  </si>
  <si>
    <t xml:space="preserve">
nur knapp über 90° öffnen</t>
  </si>
  <si>
    <t>L-1606-78381044X</t>
  </si>
  <si>
    <t>1262278775</t>
  </si>
  <si>
    <t>Bö M 71</t>
  </si>
  <si>
    <t>L-1657-181139693</t>
  </si>
  <si>
    <t>1003888895</t>
  </si>
  <si>
    <t>Bö M 72</t>
  </si>
  <si>
    <t>Bö M 72</t>
  </si>
  <si>
    <t xml:space="preserve">[Rerum Romanorum libri IV.] : </t>
  </si>
  <si>
    <t>L-9999-414747062</t>
  </si>
  <si>
    <t>1138242179</t>
  </si>
  <si>
    <t>Bö M 73</t>
  </si>
  <si>
    <t>800,00 EUR</t>
  </si>
  <si>
    <t>Schaden stabil, Perg. ist sehr steif und eingerissen --&gt; Buch geht gut auf</t>
  </si>
  <si>
    <t>L-1651-181116383</t>
  </si>
  <si>
    <t>1003867375</t>
  </si>
  <si>
    <t>Bö M 74</t>
  </si>
  <si>
    <t>Bö M 74</t>
  </si>
  <si>
    <t>Tractatus De Vero Sale Secreto Philosophorum, &amp; de universali Mundi SpirituGallice primo scriptus in supplementum diu desiderati tertii principii Cosm</t>
  </si>
  <si>
    <t>L-1669-394262808</t>
  </si>
  <si>
    <t>1124489959</t>
  </si>
  <si>
    <t>Bö M 75</t>
  </si>
  <si>
    <t>Bö M 75</t>
  </si>
  <si>
    <t>Jacobi Bornitii emblemata ethico politica Ingenua atque erudita interpretatione nunc primum illustrata</t>
  </si>
  <si>
    <t>1 : Jocobi Bornitii Emblematum sylloge prima</t>
  </si>
  <si>
    <t>L-1674-181116545</t>
  </si>
  <si>
    <t>1003867502</t>
  </si>
  <si>
    <t>Bö M 76</t>
  </si>
  <si>
    <t>Bö M 76</t>
  </si>
  <si>
    <t>Philologicarum epistolarum centuria una diversorum a renatis literis doctissimorum virorum ... insuper Richardi de Buri ... Philobiblion et Bessarioni</t>
  </si>
  <si>
    <t>L-1691-181084953</t>
  </si>
  <si>
    <t>1003856071</t>
  </si>
  <si>
    <t>Bö M 77</t>
  </si>
  <si>
    <t>Bö M 77</t>
  </si>
  <si>
    <t xml:space="preserve">Bibliotheca Succincta Et Portatilis, Sive Directorium Concionatorum In Duos Tomos Distributum, Quorum Primus Continet Synopsim, Sive Summam Generalem </t>
  </si>
  <si>
    <t xml:space="preserve">
ggf., falls doch auf 110 und Rücken ausfüllen</t>
  </si>
  <si>
    <t>dicker Perg.bd. (8-10cm), enger Bundsteg --&gt; evtl. Rücken mit Schaumstoff o.ä. ausfüllen und Digit. begleiten</t>
  </si>
  <si>
    <t>L-1631-181280884</t>
  </si>
  <si>
    <t>1003970443</t>
  </si>
  <si>
    <t>Bö M 78</t>
  </si>
  <si>
    <t>Bö M 78</t>
  </si>
  <si>
    <t xml:space="preserve">Responsa Medica De Probatione, facultate &amp; usu Acidularum Ac Fontium Schwalbaci susurrantium, a celeberrimis aliquot Medicis : </t>
  </si>
  <si>
    <t xml:space="preserve">
Neueinband, Falttafel</t>
  </si>
  <si>
    <t>L-1623-181140365</t>
  </si>
  <si>
    <t>100388962X</t>
  </si>
  <si>
    <t>Bö M 79</t>
  </si>
  <si>
    <t>Bö M 79</t>
  </si>
  <si>
    <t xml:space="preserve">Pompa funebris optimi potentissimq[ue] principis Alberti Pii, Archiducus Austriae ... : </t>
  </si>
  <si>
    <t>gefaltete Blätter, Schrift bis in den Falz, stark brüchiges Einbandmaterial</t>
  </si>
  <si>
    <t>QF (42x32)</t>
  </si>
  <si>
    <t>B: 42x32
F: 93x70</t>
  </si>
  <si>
    <t xml:space="preserve">
einseitig!</t>
  </si>
  <si>
    <t>ggf. wg. losen Buchdeckel</t>
  </si>
  <si>
    <t>VD</t>
  </si>
  <si>
    <t>Ecken und Kanten festigen, Leder zurückkleben, VD lose lassen (hat Kassette, sonst alles stabil, zu großer Eingriff)</t>
  </si>
  <si>
    <t>Tafel 47 c. stabilisieren, Falten vorn glätten, insg. nur das Nötigste</t>
  </si>
  <si>
    <t>L-1647-181149028</t>
  </si>
  <si>
    <t>100389819X</t>
  </si>
  <si>
    <t>Bö M 80</t>
  </si>
  <si>
    <t>Bö M 80</t>
  </si>
  <si>
    <t>Divi Gregorii Nazianzeni Theologi, Poemata Quaedam Selectiora In usum studiorum Graecae linguae &amp; sincerae pietatis seorsum edita pro Scholis Lunaebur</t>
  </si>
  <si>
    <t>L-1605-181131277</t>
  </si>
  <si>
    <t>1003880487</t>
  </si>
  <si>
    <t>Bö M 81 - 1</t>
  </si>
  <si>
    <t>Bö M 81 - 1</t>
  </si>
  <si>
    <t>Coniecturae iuris civilis</t>
  </si>
  <si>
    <t>1-6 : Antonii Fabri ... coniecturarum juris civilis libri sex priores ...</t>
  </si>
  <si>
    <t>hohler Rücken, welliger Buchblock, Mehrfacheinbände innerhalb eines Buches</t>
  </si>
  <si>
    <t>Box (Buch sperrt, flexibler Einband)</t>
  </si>
  <si>
    <t>L-1599-430351992</t>
  </si>
  <si>
    <t>1149404639</t>
  </si>
  <si>
    <t>Bö M 81 - 2</t>
  </si>
  <si>
    <t>Bö M 81 - 2</t>
  </si>
  <si>
    <t>Standort?</t>
  </si>
  <si>
    <t>7-10 : Antonii Fabri ... coniecturarum iuris civilis libri septimus, octavus, nonus, decimus</t>
  </si>
  <si>
    <t>L-1600-430352190</t>
  </si>
  <si>
    <t>1149404868</t>
  </si>
  <si>
    <t>Bö M 81 - 3</t>
  </si>
  <si>
    <t>Bö M 81 - 3</t>
  </si>
  <si>
    <t>11-12 : Antonii Fabri ... coniecturarum iuris civilis lib. XI. &amp; XII.</t>
  </si>
  <si>
    <t>L-1704-181067382</t>
  </si>
  <si>
    <t>1003838677</t>
  </si>
  <si>
    <t>Bö M 82</t>
  </si>
  <si>
    <t>Bö M 82</t>
  </si>
  <si>
    <t>Biblia, Das ist, Die gantze heilige Schrifft Alten und Neuen Testaments Verteutscht durch D. Martin Luther. Jetzo abermal Nach dem letzten im Jahr 154</t>
  </si>
  <si>
    <t>stark brüchiges Einbandmaterial</t>
  </si>
  <si>
    <t>Rücken oben sichern (JP unterlegen)</t>
  </si>
  <si>
    <t>L-1607-181189135</t>
  </si>
  <si>
    <t>1003921124</t>
  </si>
  <si>
    <t>Bö M 83</t>
  </si>
  <si>
    <t>Bö M 83</t>
  </si>
  <si>
    <t>Corpus iuris civilis</t>
  </si>
  <si>
    <t>Tomus II : Codicis Iustiniani D.N. Sacratissimi Principis PP. AVG. Repetitae praelectionis libri XII</t>
  </si>
  <si>
    <t>ggf. Einbandrest. lassen, am BB aber durchführen</t>
  </si>
  <si>
    <t>Trockenreinigung, Ecken und Kanten stabilisieren, Fehlstelle an Kante VD belassen; ggf. Einbandrest. lassen (ist trotzt allem noch recht stabil)</t>
  </si>
  <si>
    <t>Vorsätze und zu klebende Bereiche reinigen, Eselohren auslegen, wattierte Bereich festigen, nur das Nötigste,</t>
  </si>
  <si>
    <t>L-1607-427358361</t>
  </si>
  <si>
    <t>1147722870</t>
  </si>
  <si>
    <t>Bö M 83 (angebunden)</t>
  </si>
  <si>
    <t>Tomus V : Tractatvs ad ivs varii ...</t>
  </si>
  <si>
    <t>hohler Rücken, welliger Buchblock, Schrift bis in den Falz</t>
  </si>
  <si>
    <t>L-1607-427358272</t>
  </si>
  <si>
    <t>114772265X</t>
  </si>
  <si>
    <t>Tomus III : Authenticae sev novellae constitutiones Dn. Ivstiniani Sacratis. Principis</t>
  </si>
  <si>
    <t>L-1607-427358302</t>
  </si>
  <si>
    <t>1147722773</t>
  </si>
  <si>
    <t>Tomus IV : Fevdorvm consvetvdines partim ex editione Vvlgata, partim ex Cuiaciana, vulgatae appositae ...</t>
  </si>
  <si>
    <t>L-1607-427358280</t>
  </si>
  <si>
    <t>Bö M 84</t>
  </si>
  <si>
    <t>Bö M 84</t>
  </si>
  <si>
    <t>Buch konnte ich lt. Vertreter nicht finden. Identisch mit Bö M 83 (gleiche IDN)?</t>
  </si>
  <si>
    <t>welliger Buchblock, hohler Rücken</t>
  </si>
  <si>
    <t>L-1607-42735837X</t>
  </si>
  <si>
    <t>L-1607-427358310</t>
  </si>
  <si>
    <t>L-1607-186728832</t>
  </si>
  <si>
    <t>L-1651-181196735</t>
  </si>
  <si>
    <t>1003927939</t>
  </si>
  <si>
    <t>Bö M 85</t>
  </si>
  <si>
    <t>Bö M 85</t>
  </si>
  <si>
    <t xml:space="preserve">M.[arci] Annaei Lucani Pharsalia, sive de bello civili Caesaris et Pompeii Lib. X. : </t>
  </si>
  <si>
    <t>L-1705-783806655</t>
  </si>
  <si>
    <t>1262274907</t>
  </si>
  <si>
    <t>Bö M 86</t>
  </si>
  <si>
    <t>defekter Schmuckperleneinband</t>
  </si>
  <si>
    <t>Perlen</t>
  </si>
  <si>
    <t xml:space="preserve">
stark beschädigter Perleneinband</t>
  </si>
  <si>
    <t>ganz schrecklicher Umschlag! Buch hab ich noch nicht genauer angeschaut, ist extrem fragil</t>
  </si>
  <si>
    <t>Perleneinband, ist extrem fragil, Restaurierungsaufwand genauer anschauen</t>
  </si>
  <si>
    <t>L-1742-18115031X</t>
  </si>
  <si>
    <t>100389948X</t>
  </si>
  <si>
    <t>Bö M 87</t>
  </si>
  <si>
    <t>Bö M 87</t>
  </si>
  <si>
    <t xml:space="preserve">Heilige Andachts-Flammen Eines Würdigen Communicanten Bey der Liebes-Tafel Jesu, erwecket : </t>
  </si>
  <si>
    <t xml:space="preserve">
beprägt und bemalt</t>
  </si>
  <si>
    <t>L-1759-181068850</t>
  </si>
  <si>
    <t>1003840140</t>
  </si>
  <si>
    <t>Bö M 88</t>
  </si>
  <si>
    <t>Bö M 88</t>
  </si>
  <si>
    <t>Beicht- und Communionbuch ... : Nebst einem Anhang einiger Kirchen ... und anderen Gebeten und Liedern ...</t>
  </si>
  <si>
    <t>Box (bes. Einband)</t>
  </si>
  <si>
    <t>L-1548-783812531</t>
  </si>
  <si>
    <t>1262280885</t>
  </si>
  <si>
    <t>Bö M 89</t>
  </si>
  <si>
    <t xml:space="preserve">Sammelband mit zwei Werken von Galenus : </t>
  </si>
  <si>
    <t>Textverlust wegen Bauch</t>
  </si>
  <si>
    <t>L-1599-181206463</t>
  </si>
  <si>
    <t>1003937128</t>
  </si>
  <si>
    <t>Bö M 90</t>
  </si>
  <si>
    <t>Bö M 90</t>
  </si>
  <si>
    <t xml:space="preserve">Martiani ... Capellae ... satyricon, in quo De nuptiis Philologiae &amp; Mercurii libri duo, &amp; De septem artibus liberalibus libri singulares : </t>
  </si>
  <si>
    <t xml:space="preserve">
beprägt und bemalt, mit vegetabil gegerbten Lederbünden</t>
  </si>
  <si>
    <t>L-1571-181281589</t>
  </si>
  <si>
    <t>1003971172</t>
  </si>
  <si>
    <t>Bö M 91</t>
  </si>
  <si>
    <t>Bö M 91</t>
  </si>
  <si>
    <t xml:space="preserve">IN RELIQVIAS|| ACADEMI=||CARVM QVAE=||STIONVM M. TVLLII|| Ciceronis, &amp; eiusdem quinque|| Libros de Finibus, IOHANNIS|| ROSAE Commen-||tarius.|| : </t>
  </si>
  <si>
    <t xml:space="preserve">
beprägt und bemalt, mit zisiliertem roten Farbschnitt</t>
  </si>
  <si>
    <t>Wellpappe</t>
  </si>
  <si>
    <t>L-1518-181276631</t>
  </si>
  <si>
    <t>1003966217</t>
  </si>
  <si>
    <t>Bö M 92</t>
  </si>
  <si>
    <t>Bö M 92</t>
  </si>
  <si>
    <t>PLVTAR-||chi Chaeronẽsis opuscula quaedã,|| Des. Erasmo Roterodamo,|| Stephano Nigro,|| Angelo Barbato,|| Bilibaldo Pirckheymero, &amp;|| Philippo Melanch</t>
  </si>
  <si>
    <t>nur sichern</t>
  </si>
  <si>
    <t>ggf. sehr wattige Stellen im Papier nachleimen/übervliesen</t>
  </si>
  <si>
    <t>L-1574-181153866</t>
  </si>
  <si>
    <t>100390291X</t>
  </si>
  <si>
    <t>Bö M 94</t>
  </si>
  <si>
    <t>Bö M 94</t>
  </si>
  <si>
    <t>Homēru Odysseia : Eiusdem Batrachomyomachia, &amp; Hymni</t>
  </si>
  <si>
    <t>Schrift bis in den Falz, Schrift bis in den Falz</t>
  </si>
  <si>
    <t>L-1612-181294370</t>
  </si>
  <si>
    <t>1003983278</t>
  </si>
  <si>
    <t>Bö M 95</t>
  </si>
  <si>
    <t>Bö M 95</t>
  </si>
  <si>
    <t xml:space="preserve">C[aii] Cornelii Taciti opera Latina, cum versione Germanica, Jacobi Micylli [d.i. Jakob Moltzer ...] : </t>
  </si>
  <si>
    <t>welliger Buchblock, Schrift bis in den Falz</t>
  </si>
  <si>
    <t>Buch ist extrem eng gebunden und geht kaum auf</t>
  </si>
  <si>
    <t>L-1688-181197553</t>
  </si>
  <si>
    <t>1003928617</t>
  </si>
  <si>
    <t>Bö M 96</t>
  </si>
  <si>
    <t>Bö M 96</t>
  </si>
  <si>
    <t>Martin Luthers Kleiner Catechismus ... : vom Ministerio zum H. Creutz in Dreßden ... erläutert ... und ... in Kirchen u. Schulen zum allgemeinen Gebra</t>
  </si>
  <si>
    <t>unbedingt neues SB wegen Schließennägeln: am besten Box</t>
  </si>
  <si>
    <t>Box (wg. Schließe)</t>
  </si>
  <si>
    <t>L-1707-180647997</t>
  </si>
  <si>
    <t>1003799868</t>
  </si>
  <si>
    <t>Bö M 97</t>
  </si>
  <si>
    <t>Bö M 97</t>
  </si>
  <si>
    <t xml:space="preserve">Der @Andächtig=Gott=ergebenen Jungfer Tägliches Hand= und Gebeth=Buch ... mit ... Kupffern versehen : </t>
  </si>
  <si>
    <t>Schließen, erhabene Buchbeschläge, Pergamentband</t>
  </si>
  <si>
    <t xml:space="preserve">
durchbrochener Perg.band mit farbigen Papier/Gewebe? unterlegt</t>
  </si>
  <si>
    <t>45 oder 0</t>
  </si>
  <si>
    <t xml:space="preserve">
beraten mit Stephanie, ggf. nach Rest. Entscheiden oder besser gleich 0</t>
  </si>
  <si>
    <t>sternförmig durchbrochener Pergamentband, der mit farbigen Papier/Gewebe? unterlegt ist (Achtung: Fragmente stecken im Rücken); am besten ablehnen oder nach Rest. beurteilen (beraten mit Stephanie)</t>
  </si>
  <si>
    <t>loses Material sichern</t>
  </si>
  <si>
    <t>ca.15-20 Seiten haben Bearbeitung nötig</t>
  </si>
  <si>
    <t>L-1516-181274914</t>
  </si>
  <si>
    <t>1003964591</t>
  </si>
  <si>
    <t>Bö M 98</t>
  </si>
  <si>
    <t>Bö M 98</t>
  </si>
  <si>
    <t xml:space="preserve">P. Ouidij Nasonis uita per Aldum ex ipsius libris excerpta. Heroidum epistolae. Amorum libri 3. De arte amandi libri 3. De remedio amoris libri 2. De </t>
  </si>
  <si>
    <t>3. : Quae Hoc Volumine Continentur: Annotationes in omnia Ovidii opera, Index fabularum, et caeterorum, quae insunt hoc libro secundum ordinem alphabeticum, Ovidii Metamorphoseon Libri XV</t>
  </si>
  <si>
    <t>Umschlag ist zu groß; was machen wir damit???</t>
  </si>
  <si>
    <t>L-1828-181154064</t>
  </si>
  <si>
    <t>100390307X</t>
  </si>
  <si>
    <t>Bö M 99</t>
  </si>
  <si>
    <t>Bö M 99</t>
  </si>
  <si>
    <t xml:space="preserve">Quinti Horatii Flacci Opera : </t>
  </si>
  <si>
    <t xml:space="preserve">
ggf., winziges Buch</t>
  </si>
  <si>
    <t>Minibuch</t>
  </si>
  <si>
    <t>L-1755-181190990</t>
  </si>
  <si>
    <t>1003922767</t>
  </si>
  <si>
    <t>Bö M 100</t>
  </si>
  <si>
    <t>im CBS als fehlt markiert</t>
  </si>
  <si>
    <t>Minibuch, Kassette viel zu groß, ggf. anpassen</t>
  </si>
  <si>
    <t>L-1550-181288893</t>
  </si>
  <si>
    <t>100397788X</t>
  </si>
  <si>
    <t>Bö M 101</t>
  </si>
  <si>
    <t>Bö M 101</t>
  </si>
  <si>
    <t xml:space="preserve">Statvti della Honoranda Vniuersità de Mercatanti della Inclita Città di Bologna, Riformati lʹAnno M.D.L. : </t>
  </si>
  <si>
    <t>L-1585-315487275</t>
  </si>
  <si>
    <t>1066956618</t>
  </si>
  <si>
    <t>Bö M 102</t>
  </si>
  <si>
    <t>Bö M 102</t>
  </si>
  <si>
    <t>Der @Ander Teil|| aller deudscher B#[ue]cher vnd Schriff=||ten des thewren/ seligen Mans Gottes D. Mart. Lutheri/|| vom XXII. Jar an/ bis auff den ...</t>
  </si>
  <si>
    <t>Schaden am Einband belassen (ist stabil genug)</t>
  </si>
  <si>
    <t>L-1558-315487585</t>
  </si>
  <si>
    <t>1066956979</t>
  </si>
  <si>
    <t>Bö M 103 - 2</t>
  </si>
  <si>
    <t>Bö M 103 - 2</t>
  </si>
  <si>
    <t>Der @Ander Teil|| aller B#[ue]cher vnd Schrifften ...|| Doct. Mart.Lutheri/ vom XXII|| Jar an/ bis auff den ... Abschied aus diesem|| Leben/ des ... H</t>
  </si>
  <si>
    <t>Box (v.a. wenn Buch nicht rest. wird)</t>
  </si>
  <si>
    <t>Fehlstellen mit Kittmasse ersetzen (Stäbchen nicht so geeignet), am VD Fragment mit Hakenteil wieder positionieren (Hakenteil nicht ablösen)</t>
  </si>
  <si>
    <t>L-1558-315488603</t>
  </si>
  <si>
    <t>1066957967</t>
  </si>
  <si>
    <t>Bö M 103 - 8</t>
  </si>
  <si>
    <t>Bö M 103 - 8</t>
  </si>
  <si>
    <t xml:space="preserve">Der @Achte Teil|| vnd letzte aller B#[ue]cher vnd Schriff||ten des thewren seligen Mans Gottes/ Doctoris Martini|| Lutheri/ vom XLII.Jar an/ bis auff </t>
  </si>
  <si>
    <t>Deckel nur zum Teil "ausziehen" und Fehlstellen mit Paste und Stäbchen ergänzen</t>
  </si>
  <si>
    <t>L-1503-181281112</t>
  </si>
  <si>
    <t>1003970656</t>
  </si>
  <si>
    <t>Bö M 104 /4°</t>
  </si>
  <si>
    <t>Bö M 104 /4°</t>
  </si>
  <si>
    <t xml:space="preserve">MAgnencij Rabani|| Mauri De Laudib#[us] sancte Crucis|| opus. erudicione versu prosa#[que]|| mirificum.|| : </t>
  </si>
  <si>
    <t>L-9999-414745248</t>
  </si>
  <si>
    <t>1138239534</t>
  </si>
  <si>
    <t>Bö M 105</t>
  </si>
  <si>
    <t>2000,00 EUR</t>
  </si>
  <si>
    <t>L-1505-181148854</t>
  </si>
  <si>
    <t>1003898033</t>
  </si>
  <si>
    <t>Bö M 106/4°</t>
  </si>
  <si>
    <t>Bö M 106/4°</t>
  </si>
  <si>
    <t>Epistole ex registro beatissimi Gregorij pape primi. Cum inhibitione sanctissimi B.B. Iulij pape 2. sub pena excomunicationis late sententie : quam co</t>
  </si>
  <si>
    <t>Originalband separat</t>
  </si>
  <si>
    <t>Einbandreste liegen bei</t>
  </si>
  <si>
    <t>L-1510-315469773</t>
  </si>
  <si>
    <t>1066942137</t>
  </si>
  <si>
    <t>Bö M 107</t>
  </si>
  <si>
    <t>Bö M 107</t>
  </si>
  <si>
    <t>JN Gotz Namen Amen Kunt sy allen vnd yecklichen den ghenen die dit vnt|| gainwordige offenbare jnstrument sullen sien off hoeren lesen/ dat jn dem jar</t>
  </si>
  <si>
    <t>L-1524-315487402</t>
  </si>
  <si>
    <t>1066956782</t>
  </si>
  <si>
    <t>Bö M 108</t>
  </si>
  <si>
    <t>Bö M 108</t>
  </si>
  <si>
    <t>FLAVII IOSE||PHI HEBRAEI, HISTORIO-||graphi clariss. opera, ...|| recognita &amp; castigata: ...|| Antiquitatum Iudaicarum li.XX.|| De bello Iudaico li.VI</t>
  </si>
  <si>
    <t>welliger Buchblock, stark brüchiges Einbandmaterial</t>
  </si>
  <si>
    <t>Rücken fehlt</t>
  </si>
  <si>
    <t>ggf. wg. Schaden</t>
  </si>
  <si>
    <t>ja vor und nach</t>
  </si>
  <si>
    <t>Digit. am besten vor dem Ableimen (BB öffnet besser), aber RD stabilisieren und Hinterklebung provisorisch sichern --&gt; ca. 3 Std. (Digit. mit Umschlag)</t>
  </si>
  <si>
    <t>Umschlag (wg. Schaden) und Box (wg. Schließen, die nicht mehr schließen)</t>
  </si>
  <si>
    <t>RD</t>
  </si>
  <si>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</si>
  <si>
    <t>L-9999-18065022X</t>
  </si>
  <si>
    <t>100380232X</t>
  </si>
  <si>
    <t>Bö M 109/4°</t>
  </si>
  <si>
    <t>Bö M 109/4°</t>
  </si>
  <si>
    <t xml:space="preserve">Aemylii Probi de Vita excellentium imperatorum, ad T. Pompomium Atticum : </t>
  </si>
  <si>
    <t>Teile aus Seiten ausgeschnitten</t>
  </si>
  <si>
    <t>mit Stephanie besprechen, Initialien sind rausgeschnitten --&gt; Schnitte sichern? (s. Fotos) --&gt; nein
kaputtes Gelenk belassen (ist stabil)</t>
  </si>
  <si>
    <t>L-1559-181198339</t>
  </si>
  <si>
    <t>1003929311</t>
  </si>
  <si>
    <t>Bö M 110/4°</t>
  </si>
  <si>
    <t>Bö M 110/4°</t>
  </si>
  <si>
    <t xml:space="preserve">COMMENTARIORVM|| VRBANORVM RAPHAELIS VOLATER||RANI, OCTO ET TRIGINTA LIBRI, ACCVRATIVS QVA`M|| antehac excusi, praemissis eorundem Indicibus secundum </t>
  </si>
  <si>
    <t>L-1650-181196301</t>
  </si>
  <si>
    <t>1003927556</t>
  </si>
  <si>
    <t>Bö M 111 - 1,2</t>
  </si>
  <si>
    <t>Bö M 111 - 1,2</t>
  </si>
  <si>
    <t>1,2 : Liber XIX-LV</t>
  </si>
  <si>
    <t>Schrift bis in den Falz, gefaltete Blätter, welliger Buchblock, hohler Rücken</t>
  </si>
  <si>
    <t>B: 22x35
F: 72x35</t>
  </si>
  <si>
    <t>L-1650-181196344</t>
  </si>
  <si>
    <t>1003927602</t>
  </si>
  <si>
    <t>Bö M 111 - 2,1</t>
  </si>
  <si>
    <t>Bö M 111 - 2,1</t>
  </si>
  <si>
    <t>Jo. Petri Lotichii Rerum Germanicarum, Sub Matthia, Ferdinandis II. &amp; III. Impp. gestarum, Libri .... Excurrens Libris LXII. Quibus Dicta, Factaque ..</t>
  </si>
  <si>
    <t>2,1 : Liber I-XXX</t>
  </si>
  <si>
    <t>L-1650-181196417</t>
  </si>
  <si>
    <t>100392767X</t>
  </si>
  <si>
    <t>Bö M 111 - 2,2</t>
  </si>
  <si>
    <t>Bö M 111 - 2,2</t>
  </si>
  <si>
    <t>2,2 : Ab excessu Ferdinandi II. Imperatoris, Liber I-XXXII</t>
  </si>
  <si>
    <t>L-1525-427679788</t>
  </si>
  <si>
    <t>1147901104</t>
  </si>
  <si>
    <t>Bö M 112</t>
  </si>
  <si>
    <t xml:space="preserve">Sammelband mit Werken von Charles Du Moulin : </t>
  </si>
  <si>
    <t>Af</t>
  </si>
  <si>
    <t>L-9999-40696632X</t>
  </si>
  <si>
    <t>1132649080</t>
  </si>
  <si>
    <t>Bö M 113</t>
  </si>
  <si>
    <t>Bö M 113</t>
  </si>
  <si>
    <t xml:space="preserve">OMNIA || D. BASILII MAGNI || ARCHIEPISCOPI CAESAREAE CAP/||PADOCIAE, QVAE EXTANT, OPERA, IVXTA ARGVMEN/||torum congruentiam in Tomos partita quatuor, </t>
  </si>
  <si>
    <t>2 : Tomus secvndus</t>
  </si>
  <si>
    <t>Gelenk vorn belassen (ist stabil), loses Leder fixieren/sichern, kleine Fehlstellen im Deckel pasten</t>
  </si>
  <si>
    <t>L-9999-406966338</t>
  </si>
  <si>
    <t>1132649099</t>
  </si>
  <si>
    <t>3 : Tomvs tertivs</t>
  </si>
  <si>
    <t>L-9999-406966311</t>
  </si>
  <si>
    <t>1132649072</t>
  </si>
  <si>
    <t>1 : [I]</t>
  </si>
  <si>
    <t>L-9999-406966354</t>
  </si>
  <si>
    <t>1132649102</t>
  </si>
  <si>
    <t>4 : Tomvs qvartvs</t>
  </si>
  <si>
    <t>L-1569-181209551</t>
  </si>
  <si>
    <t>1003940358</t>
  </si>
  <si>
    <t>Bö M 114 /4°</t>
  </si>
  <si>
    <t>Bö M 114 /4°</t>
  </si>
  <si>
    <t>CHRONOLOGIA.|| HOC EST,|| TEMPORVM DE=||MONSTRATIO EXACTISSIMA, AB|| INITIO MVNDI, VSQVE AD ANNVM DOMI-||NI M.D.LXVIII. EX ECLIPSIBVS ET OBSERVATIONIB</t>
  </si>
  <si>
    <t>L-1551-315177144</t>
  </si>
  <si>
    <t>1066754675</t>
  </si>
  <si>
    <t>Bö M 115</t>
  </si>
  <si>
    <t>Bö M 115</t>
  </si>
  <si>
    <t>POIESEIS OME-||RU AMPHO E TE ILIAS KAI E|| ODYSSEIA, YPO TE IAKOBU TU MIKYLLU|| kai Ioacheimu Kamerariou ...|| paraskeuastheisai.#=g|| OPVS VTRVMQVE H</t>
  </si>
  <si>
    <t>1. Lage locker, aber fest verbunden (hat keinen Platz im Einband, da Leder geschrumpft)</t>
  </si>
  <si>
    <t>L-1578-315464747</t>
  </si>
  <si>
    <t>1066936919</t>
  </si>
  <si>
    <t>Bö M 116</t>
  </si>
  <si>
    <t>Bö M 116</t>
  </si>
  <si>
    <t>PRACTICA=||RVM OBSERVATIO=||NVM TAM AD PROCESSVM IVDICIARIVM|| PRAESERTIM IMPERIALIS CAMERAE, QVAM CAVSA-||RVM DECISIONES PERTINENTIVM,|| LIBRI DVO.||</t>
  </si>
  <si>
    <t>Ecken am RD stabilisieren, Gelenke belassen (sind stabil)</t>
  </si>
  <si>
    <t>Spiegel zurückkleben</t>
  </si>
  <si>
    <t>L-1507-181282208</t>
  </si>
  <si>
    <t>1003971741</t>
  </si>
  <si>
    <t>Bö M 117/4°</t>
  </si>
  <si>
    <t>Bö M 117/4°</t>
  </si>
  <si>
    <t>Croniche che tractano de la origine de Veneti. E del principio de la cita. E de tutte le guere da mare e terra facte in Italia Dalmacia Grecia e contr</t>
  </si>
  <si>
    <t>L-1538-406961077</t>
  </si>
  <si>
    <t>1132643635</t>
  </si>
  <si>
    <t>Bö M 118</t>
  </si>
  <si>
    <t>Bö M 118</t>
  </si>
  <si>
    <t>Omnia Qvotqvot Extant Divi Ambrosii Episcopi Mediolanensis Opera Cvm Per Des. Erasmvm Roterodamvm, Tvm per alios eruditos uiros, accurata diuersorum c</t>
  </si>
  <si>
    <t xml:space="preserve">3. : </t>
  </si>
  <si>
    <t>L-1538-406961050</t>
  </si>
  <si>
    <t>1132643619</t>
  </si>
  <si>
    <t xml:space="preserve">1. : </t>
  </si>
  <si>
    <t>Registermarken als Streifen</t>
  </si>
  <si>
    <t>L-1538-406961069</t>
  </si>
  <si>
    <t>1132643627</t>
  </si>
  <si>
    <t xml:space="preserve">2. : </t>
  </si>
  <si>
    <t>L-1541-315487887</t>
  </si>
  <si>
    <t>1066957258</t>
  </si>
  <si>
    <t>Bö M 119</t>
  </si>
  <si>
    <t>Bö M 119</t>
  </si>
  <si>
    <t>CLAVDII PTO-||LEMAEI PELVSIENSIS ALEXANDRI-||NI OMNIA, QVAE EXTANT, OPERA, GEO-||graphia excepta, quam seorsim quo#[que] hac || forma impressimus.|| A</t>
  </si>
  <si>
    <t>welliger Buchblock, erhabene Illuminationen</t>
  </si>
  <si>
    <t>I</t>
  </si>
  <si>
    <t>L-1521-315308605</t>
  </si>
  <si>
    <t>1066849587</t>
  </si>
  <si>
    <t>Bö M 120</t>
  </si>
  <si>
    <t>Bö M 120</t>
  </si>
  <si>
    <t>OPERA|| Q. SEPTIMII FLORENTIS TERTVL/||liani inter Latinos ecclesiae scriptores primi, sine quorum le||ctione nullum diem intermittebat olim diuus Cyp</t>
  </si>
  <si>
    <t>L-1510-31548845X</t>
  </si>
  <si>
    <t>1066957835</t>
  </si>
  <si>
    <t>Bö M 121</t>
  </si>
  <si>
    <t>Bö M 121</t>
  </si>
  <si>
    <t xml:space="preserve">Euclidis Megarensis philosophi Platonicj mathematicarum disciplinarum Ianitoris Habent in hoc volumine quicumque ad mathematicam substantia aspirant: </t>
  </si>
  <si>
    <t>L-1521-315470119</t>
  </si>
  <si>
    <t>1066942501</t>
  </si>
  <si>
    <t>Bö M 122</t>
  </si>
  <si>
    <t>Bö M 122</t>
  </si>
  <si>
    <t xml:space="preserve">HESYCHIU LEXIKON : </t>
  </si>
  <si>
    <t>Archivkarton</t>
  </si>
  <si>
    <t>L-1584-181286963</t>
  </si>
  <si>
    <t>1003976174</t>
  </si>
  <si>
    <t>Bö M 123/4°</t>
  </si>
  <si>
    <t>Bö M 123/4°</t>
  </si>
  <si>
    <t xml:space="preserve">CAROLI SIGONII|| Von Ge=||schichtenn des K#[oe]=||nigreichs Jtalie/ F#[ue]nffze=||hen B#[ue]cher.|| Jn sich begreiffend die|| Herrliche Historien vom </t>
  </si>
  <si>
    <t>L-1550-18112968X</t>
  </si>
  <si>
    <t>1003879004</t>
  </si>
  <si>
    <t>Bö M 124/4°</t>
  </si>
  <si>
    <t>Bö M 124/4°</t>
  </si>
  <si>
    <t>Las @quatrocientas respuestas a otras tantas preguntas, quel Illustrissimo señor don Fadrique enrriquez Almira[n]te de Castilla y otras personas, embi</t>
  </si>
  <si>
    <t>Pergamentband, Schließen, erhabene Buchbeschläge</t>
  </si>
  <si>
    <t>L-9999-429339356</t>
  </si>
  <si>
    <t>1148790519</t>
  </si>
  <si>
    <t>Bö M 125</t>
  </si>
  <si>
    <t xml:space="preserve">Sammelband mit zwei Werken von Johannes Calvin : </t>
  </si>
  <si>
    <t>Ecken noch stabil genug</t>
  </si>
  <si>
    <t>L-1743-181148749</t>
  </si>
  <si>
    <t>1003897894</t>
  </si>
  <si>
    <t>Bö M 126/4°</t>
  </si>
  <si>
    <t>Bö M 126/4°</t>
  </si>
  <si>
    <t>Johann Ludwig Gottfrieds historische Chronik oder Beschreibung der merckwürdigsten Geschichte, so sich von Anfang der Welt bis auf das Jahr Christi 17</t>
  </si>
  <si>
    <t xml:space="preserve">Theil 1[-8] : </t>
  </si>
  <si>
    <t>Gelenke mit JP+Gewebe unterlegen, ggf. Rücken zurückkleben</t>
  </si>
  <si>
    <t>L-1738-181121697</t>
  </si>
  <si>
    <t>1003872166</t>
  </si>
  <si>
    <t>Bö M 127/4°</t>
  </si>
  <si>
    <t>Bö M 127/4°</t>
  </si>
  <si>
    <t>Tasbēṣ : ... šeʼelot u-tešuvot we-ḥiddušim be-feruse halak̲ot u-šemaʻtot u-fesaqim bi-šeloša qalaqim : ... Ḥuṭ ham-mešulaš</t>
  </si>
  <si>
    <t xml:space="preserve">
bemalter Perg.band</t>
  </si>
  <si>
    <t>L-9999-414986482</t>
  </si>
  <si>
    <t>1138380075</t>
  </si>
  <si>
    <t>Bö M 128/4°</t>
  </si>
  <si>
    <t xml:space="preserve">Sammelband mit sechs Werken von Marcus Tullius Cicero : </t>
  </si>
  <si>
    <t>Box (abriebgefährdet)</t>
  </si>
  <si>
    <t>L-1531-181117096</t>
  </si>
  <si>
    <t>1003867979</t>
  </si>
  <si>
    <t>Bö M 129/4°</t>
  </si>
  <si>
    <t>Bö M 129/4°</t>
  </si>
  <si>
    <t>Dits die excellente Cronike van Vlaenderen, beghinnende van Liederick Buc den eersten forestier ... tot desen onsen doorluchtichsten ... Keyser Karolo</t>
  </si>
  <si>
    <t>hohler Rücken, welliger Buchblock, gefaltete Blätter</t>
  </si>
  <si>
    <t>Pg (Mak.)</t>
  </si>
  <si>
    <t>Umschlag (bes. Einband)</t>
  </si>
  <si>
    <t>L-1581-315488573</t>
  </si>
  <si>
    <t>1066957932</t>
  </si>
  <si>
    <t>Bö M 130</t>
  </si>
  <si>
    <t>Bö M 130</t>
  </si>
  <si>
    <t>TOMVS SE=||CVNDVS OMNI=||VM OPERVM REVEREN=||di Patris,viri Dei, D.Mart.Luth. quae|| edidit ab anni vicesimi parte quadam|| vs´q; ad annum vicesimum q</t>
  </si>
  <si>
    <t>nur Ecke unten vorn stabilisieren</t>
  </si>
  <si>
    <t>L-1528-315492988</t>
  </si>
  <si>
    <t>1066962642</t>
  </si>
  <si>
    <t>Bö M 131</t>
  </si>
  <si>
    <t>Bö M 131</t>
  </si>
  <si>
    <t>OPERA|| Q. SEPTIMII FLOREN-||TIS TERTVLLIANI INTER LATINOS ECCLESIAE|| scriptores primi, sine quoru lectione nullum diem intermittebat olim di/||uus C</t>
  </si>
  <si>
    <t>mit Kette</t>
  </si>
  <si>
    <t>Kettenbuch</t>
  </si>
  <si>
    <t>L-1515-343788357</t>
  </si>
  <si>
    <t>999799924</t>
  </si>
  <si>
    <t>Bö M 132</t>
  </si>
  <si>
    <t>L-1796-181299720</t>
  </si>
  <si>
    <t>100398861X</t>
  </si>
  <si>
    <t>Bö M 133/4°</t>
  </si>
  <si>
    <t>Bö M 133/4°</t>
  </si>
  <si>
    <t>Leggi delle XII Tavole</t>
  </si>
  <si>
    <t xml:space="preserve">Tom 1 : </t>
  </si>
  <si>
    <t>L-1790-181300168</t>
  </si>
  <si>
    <t>100398908X</t>
  </si>
  <si>
    <t>Bö M 134/4°</t>
  </si>
  <si>
    <t>Bö M 134/4°</t>
  </si>
  <si>
    <t xml:space="preserve">I @Pianti dʹelicona su la tomba di Teresa Ventura Venier : </t>
  </si>
  <si>
    <t>nach Festigung Gelenke mit JP überfangen</t>
  </si>
  <si>
    <t>L-1707-181193744</t>
  </si>
  <si>
    <t>1003925332</t>
  </si>
  <si>
    <t>Bö M 135/4°</t>
  </si>
  <si>
    <t>Bö M 135/4°</t>
  </si>
  <si>
    <t>Scriptores Rervm Brunsvicensium illvstrationi inservientes, antiqvi omnes et religionis reformatione priores: Opvs, in qvo nonnvlla chronica hvivs vic</t>
  </si>
  <si>
    <t>L-1597-430080735</t>
  </si>
  <si>
    <t>997039531</t>
  </si>
  <si>
    <t>Bö M 136</t>
  </si>
  <si>
    <t>L-1551-430082444</t>
  </si>
  <si>
    <t>1066960186</t>
  </si>
  <si>
    <t>Bö M 137 - Fragm.</t>
  </si>
  <si>
    <t>Bö M 137 - Fragm.</t>
  </si>
  <si>
    <t>RVDIMENTA|| Mathematica.|| Haec in duos digeruntur libros, quorum pri-||OR GEOMETRIAE TRADIT PRIN=||cipia seu prima elementa, unà cum rerum &amp; uariarum</t>
  </si>
  <si>
    <t>L-1811-181297485</t>
  </si>
  <si>
    <t>1003986471</t>
  </si>
  <si>
    <t>Bö M 138/4°</t>
  </si>
  <si>
    <t>Bö M 138/4°</t>
  </si>
  <si>
    <t xml:space="preserve">Theokritu ta sozomena : </t>
  </si>
  <si>
    <t>hohler Rücken, welliger Buchblock, stark brüchiges Einbandmaterial</t>
  </si>
  <si>
    <t>L-1518-181144166</t>
  </si>
  <si>
    <t>1003893422</t>
  </si>
  <si>
    <t>Bö M 139/4°</t>
  </si>
  <si>
    <t>Bö M 139/4°</t>
  </si>
  <si>
    <t xml:space="preserve">Prodictiones [!] siue pronostica Hyppocratis cum commentariis Claudii Galeni, interprete Laurentio Laurentiano florentino, viro clarissimo : </t>
  </si>
  <si>
    <t>L-1518-315487011</t>
  </si>
  <si>
    <t>1066956324</t>
  </si>
  <si>
    <t>Bö M 140</t>
  </si>
  <si>
    <t>Bö M 140</t>
  </si>
  <si>
    <t>Summa Jo/||annis gezogen ausz|| den Euangelien vnd Geystlichen|| vnd Weltlichen rechten/auß der|| ein yeglicher in seim standt/ be||riecht nemen mag//</t>
  </si>
  <si>
    <t>welliger Buchblock, Schrift bis in den Falz, stark brüchiges Einbandmaterial</t>
  </si>
  <si>
    <t>Gelenk mit JP+Gewebe unterlegen</t>
  </si>
  <si>
    <t>Ränder trocken reinigen</t>
  </si>
  <si>
    <t>L-1509-181272512</t>
  </si>
  <si>
    <t>100396219X</t>
  </si>
  <si>
    <t>Bö M 141/4°</t>
  </si>
  <si>
    <t>Bö M 141/4°</t>
  </si>
  <si>
    <t xml:space="preserve">Petri Montii exercitiorum atque artis militaris collectanea in tris libros distincta : </t>
  </si>
  <si>
    <t xml:space="preserve">
flexibler Lederbd.</t>
  </si>
  <si>
    <t>Box (flexibler Einband)</t>
  </si>
  <si>
    <t>L-1519-181116448</t>
  </si>
  <si>
    <t>1003867448</t>
  </si>
  <si>
    <t>Bö M 142/4°</t>
  </si>
  <si>
    <t>Bö M 142/4°</t>
  </si>
  <si>
    <t xml:space="preserve">Scholastica historia magistri|| Petri comestoris: sacre scri||pture seriem breuem ni=||mis:et expositam ex||ponentis|| : </t>
  </si>
  <si>
    <t>L-1774-181129817</t>
  </si>
  <si>
    <t>1003879144</t>
  </si>
  <si>
    <t>Bö M 143/4°</t>
  </si>
  <si>
    <t>Bö M 143/4°</t>
  </si>
  <si>
    <t xml:space="preserve">DellʹOrigine e delle regole della musica colla storia del suo progresso, decadenza, e rinnovazione : </t>
  </si>
  <si>
    <t>fester Rücken mit Schmuckprägung, gefaltete Blätter, stark brüchiges Einbandmaterial</t>
  </si>
  <si>
    <t>B: 23x28
F: 42x28</t>
  </si>
  <si>
    <t>L-1701-181117355</t>
  </si>
  <si>
    <t>1003868134</t>
  </si>
  <si>
    <t>Bö M 144/4°</t>
  </si>
  <si>
    <t>Bö M 144/4°</t>
  </si>
  <si>
    <t xml:space="preserve">Philippiques de Demosthene avec des remarques : </t>
  </si>
  <si>
    <t>fester Rücken mit Schmuckprägung, stark brüchiges Einbandmaterial, welliger Buchblock</t>
  </si>
  <si>
    <t>Umschlag (abriebgefährdet)</t>
  </si>
  <si>
    <t>Gelenk mit JP unterlegen</t>
  </si>
  <si>
    <t>L-1740-181182173</t>
  </si>
  <si>
    <t>1003914896</t>
  </si>
  <si>
    <t>Bö M 145/4°</t>
  </si>
  <si>
    <t>Bö M 145/4°</t>
  </si>
  <si>
    <t>La @Religion, chrétienne prouvée par les faits</t>
  </si>
  <si>
    <t xml:space="preserve">Tome 3 : </t>
  </si>
  <si>
    <t>L-9999-430200986</t>
  </si>
  <si>
    <t>1149267690</t>
  </si>
  <si>
    <t>Bö M 146</t>
  </si>
  <si>
    <t xml:space="preserve">Sammelband mit zwei Werken von Hector Pinto : </t>
  </si>
  <si>
    <t>1000,00 EUR</t>
  </si>
  <si>
    <t>Umschlag (Velourleder)</t>
  </si>
  <si>
    <t>Bünde anlängen, Gelenk mit JP unterlegen</t>
  </si>
  <si>
    <t>L-1594-181117371</t>
  </si>
  <si>
    <t>1003868142</t>
  </si>
  <si>
    <t>Bö M 147/4°</t>
  </si>
  <si>
    <t>Bö M 147/4°</t>
  </si>
  <si>
    <t>EVROPAE|| TOTIVS ORBIS TER=||RARVM PARTIS PRAE=||STANTISSIMAE, VNI=||VERSALIS ET PARTI=||CVLARIS DESCRIPTIO|| Aere potes paruo Regiones visere multas|</t>
  </si>
  <si>
    <t>durchgängige Tafeln</t>
  </si>
  <si>
    <t>L-1500-181300982</t>
  </si>
  <si>
    <t>1003989993</t>
  </si>
  <si>
    <t>Bö M 148</t>
  </si>
  <si>
    <t>Bö M 148</t>
  </si>
  <si>
    <t xml:space="preserve">Publij Uergilij Maronis|| Mãtuani vatis Bucolica|| : </t>
  </si>
  <si>
    <t>Einbandfragmente liegen in extra Mappe dabei</t>
  </si>
  <si>
    <t>L-1512-181277131</t>
  </si>
  <si>
    <t>1003966713</t>
  </si>
  <si>
    <t>Bö M 149/4°</t>
  </si>
  <si>
    <t>Bö M 149/4°</t>
  </si>
  <si>
    <t>Omnium Angeli Politiani operum (que quidem extare nouimus) Tomus ...</t>
  </si>
  <si>
    <t xml:space="preserve">Tomus 1-2 : </t>
  </si>
  <si>
    <t>Initialen sind rausgeschnitten</t>
  </si>
  <si>
    <t>Buchschuh (wg. Schließen)</t>
  </si>
  <si>
    <t>Bö M 150</t>
  </si>
  <si>
    <t>kein Treffer im Katalog</t>
  </si>
  <si>
    <t>erhabene Illuminationen</t>
  </si>
  <si>
    <t>B</t>
  </si>
  <si>
    <t>Einband ähnelt einer Mappe mit Bändern und Kordeln</t>
  </si>
  <si>
    <t>Box (wg. Kordel)</t>
  </si>
  <si>
    <t>L-1544-315491957</t>
  </si>
  <si>
    <t>1066961565</t>
  </si>
  <si>
    <t>Bö M 151</t>
  </si>
  <si>
    <t>Bö M 151</t>
  </si>
  <si>
    <t>SOPHOKLEUS|| TRAGODIAI HEPTA ME-||ta scholion palaion kai pany ophelimon.||SOPHOCLIS TRAGOE/||DIAE SEPTEM, CVM INTER=||pretationibus uetustis et ualde</t>
  </si>
  <si>
    <t>v.a. Ecken festigen; am Rücken nur sichern</t>
  </si>
  <si>
    <t>L-1763-180653520</t>
  </si>
  <si>
    <t>1003805450</t>
  </si>
  <si>
    <t>Bö M 152/8°</t>
  </si>
  <si>
    <t>Bö M 152/8°</t>
  </si>
  <si>
    <t xml:space="preserve">R. P. Laurentii Alticotii Cortonensis Soc. Jesu presbyteri dissertatio historico-critica de antiquis, novisque Manichaeis : </t>
  </si>
  <si>
    <t>L-1523-180649000</t>
  </si>
  <si>
    <t>1003800963</t>
  </si>
  <si>
    <t>Bö M 153/8°</t>
  </si>
  <si>
    <t>Bö M 153/8°</t>
  </si>
  <si>
    <t>Miknē Avrām : Grammatica hebraea una cum latino nuper edita</t>
  </si>
  <si>
    <t xml:space="preserve">
flexibler Perg.bd.</t>
  </si>
  <si>
    <t>L-1569-181085224</t>
  </si>
  <si>
    <t>100385639X</t>
  </si>
  <si>
    <t>Bö M 154/8°</t>
  </si>
  <si>
    <t>Bö M 154/8°</t>
  </si>
  <si>
    <t xml:space="preserve">Institvtio christianae religionis : </t>
  </si>
  <si>
    <t>L-1558-180651005</t>
  </si>
  <si>
    <t>1003803210</t>
  </si>
  <si>
    <t>Bö M 156/8°</t>
  </si>
  <si>
    <t>Bö M 156/8°</t>
  </si>
  <si>
    <t>Co. Io. Hieronymi Albani equitis, et juris V. Consulti, ac Serenissimi Venetorum Dominii Collateralis Generalis, libri de potestate pape et concilii s</t>
  </si>
  <si>
    <t>L-1515-181282518</t>
  </si>
  <si>
    <t>1003972012</t>
  </si>
  <si>
    <t>Bö M 157/4°</t>
  </si>
  <si>
    <t>Bö M 157/4°</t>
  </si>
  <si>
    <t>Historia Hebreo/||rum ex elegãtissimis Marci Antonij Coccij Sabellici Enneadi||bus excerpta, eius gentis ritus/ leges &amp; gesta, ab orbe cõdito,|| ad Ie</t>
  </si>
  <si>
    <t>L-1518-181277891</t>
  </si>
  <si>
    <t>100396740X</t>
  </si>
  <si>
    <t>Bö M 158/8°</t>
  </si>
  <si>
    <t>Bö M 158/8° - 1</t>
  </si>
  <si>
    <t>Joannis Joviani Pontani Opera omnia soluta oratione composita</t>
  </si>
  <si>
    <t>(1.) : De obedientia libri V. De fortitudine libri II. Liber De principe. Liber de liberalitate. Liber de beneficentia. Liber de magnificentia. Liber de splendore. Liber de conuiuentia. De prudentia libri V. De magnanimitate libri II. De fortuna libri III. Liber de immanitate.</t>
  </si>
  <si>
    <t>L-1518-181278022</t>
  </si>
  <si>
    <t>1003967558</t>
  </si>
  <si>
    <t>Bö M 158/8° - 2</t>
  </si>
  <si>
    <t>(2.) : De aspiratione libri duo ; Charon dialogus ; Antonius dialogus ; Actius dialogus ; Aegidius dialogus ; Asinus dialogus ; De sermone libri sex ; Belli quod Ferdinandus senior Neapolitanus ... gessit libri sex</t>
  </si>
  <si>
    <t>L-1518-18127809X</t>
  </si>
  <si>
    <t>1003967639</t>
  </si>
  <si>
    <t>Bö M 158/8° - 3</t>
  </si>
  <si>
    <t>(3.) : Centum Ptolemaei Sententiae</t>
  </si>
  <si>
    <t>L-1545-315489723</t>
  </si>
  <si>
    <t>1066959102</t>
  </si>
  <si>
    <t>Bö M 159</t>
  </si>
  <si>
    <t>Bö M 159</t>
  </si>
  <si>
    <t>Die @Ordnung vber gemainer|| Lanndtschafft in Bayrn auff=||gerichte Hanndtuesst. Tausent|| Fünffhundert vnd im sechzehen=||den jar// zu Jngolstat besc</t>
  </si>
  <si>
    <t>Broschur, Halbledereinband</t>
  </si>
  <si>
    <t>L-1531-315493925</t>
  </si>
  <si>
    <t>1066963681</t>
  </si>
  <si>
    <t>Bö M 160</t>
  </si>
  <si>
    <t>Bö M 160</t>
  </si>
  <si>
    <t>Ain @laijsche/ anzaigung/ So|| allen Lanndtsässen/ vnd denen/ die #[oe]rdennlich/ oder beuolhen/|| oberkait haben/ als Hofmarch/ vnd gerichtsherren/ P</t>
  </si>
  <si>
    <t>L-1529-315493526</t>
  </si>
  <si>
    <t>1066963258</t>
  </si>
  <si>
    <t>Bö M 161</t>
  </si>
  <si>
    <t>Bö M 161</t>
  </si>
  <si>
    <t>Hierinn stadt geschriben vnd|| ist begriffen die ordnung/ erkantnuß/ gebott/ vnd|| Christenlich verbesserung/ von vns Burgermeyster klein vnd gros||se</t>
  </si>
  <si>
    <t>L-1500-181294818</t>
  </si>
  <si>
    <t>1003983707</t>
  </si>
  <si>
    <t>Bö M 162</t>
  </si>
  <si>
    <t>Bö M 162</t>
  </si>
  <si>
    <t xml:space="preserve">Taxe sacre Penitentiarie apostolice incipiunt : </t>
  </si>
  <si>
    <t>L-1825-167703102</t>
  </si>
  <si>
    <t>365094137</t>
  </si>
  <si>
    <t>Bö M 164</t>
  </si>
  <si>
    <t>Bö M 164</t>
  </si>
  <si>
    <t>Rheinisches Staedtebuch oder getreue Abbildung von 50 Städten ... wie sie solche ... v. Merian naturgetreu aufgenommen sind : Mit kurzen hist. Notizen</t>
  </si>
  <si>
    <t>L-1496-181139871</t>
  </si>
  <si>
    <t>1003889107</t>
  </si>
  <si>
    <t>Bö M 165 - Fragm.</t>
  </si>
  <si>
    <t>Bö M 165 - Fragm</t>
  </si>
  <si>
    <t>Bö M 165 - Fragm</t>
  </si>
  <si>
    <t xml:space="preserve">Chirii Consulti Fortunatiani Dialectica : </t>
  </si>
  <si>
    <t>L-1803-181114879</t>
  </si>
  <si>
    <t>1003866190</t>
  </si>
  <si>
    <t>Bö M 166/8°</t>
  </si>
  <si>
    <t>Bö M 166/8° - 1</t>
  </si>
  <si>
    <t>Premiers Élémens de la langue française, ou grammaire usuelle et complette, ...</t>
  </si>
  <si>
    <t xml:space="preserve">T. 1. : </t>
  </si>
  <si>
    <t xml:space="preserve">
Lederband mit Vergoldung und Lederauflage, Medaillons und weitere Bereiche auf den Deckeln mit Folie bzw. mit Folie abgedeckt</t>
  </si>
  <si>
    <t>Lederband mit Vergoldung und Lederauflage, Medaillons und weitere Bereiche auf den Deckeln mit Folie bzw. mit Folie abgedeckt, siehe beiliegenden Rest.bericht</t>
  </si>
  <si>
    <t>L-1803-396381138</t>
  </si>
  <si>
    <t>1125890789</t>
  </si>
  <si>
    <t>Bö M 166/8° - 2</t>
  </si>
  <si>
    <t xml:space="preserve">T. 2. : </t>
  </si>
  <si>
    <t xml:space="preserve">
Lederband mit Vergoldung und Lederauflage, Medaillons auf den Deckeln mit Folie abgedeckt</t>
  </si>
  <si>
    <t>Lederband mit Vergoldung und Lederauflage, Medaillons auf den Deckeln mit Folie abgedeckt</t>
  </si>
  <si>
    <t>L-1561-181116332</t>
  </si>
  <si>
    <t>1003867332</t>
  </si>
  <si>
    <t>Bö M 167/4°</t>
  </si>
  <si>
    <t>Bö M 167/4°</t>
  </si>
  <si>
    <t xml:space="preserve">Polygraphie et universelle escriture cabalistique : </t>
  </si>
  <si>
    <t>stark deformiertes Objekt, welliger Buchblock</t>
  </si>
  <si>
    <t xml:space="preserve">
flexibler Perg.band</t>
  </si>
  <si>
    <t xml:space="preserve">
oder besser 0, ist ein Grenzfall</t>
  </si>
  <si>
    <t>L-1599-315219165</t>
  </si>
  <si>
    <t>1066799075</t>
  </si>
  <si>
    <t>Bö M 168</t>
  </si>
  <si>
    <t>Bö M 168</t>
  </si>
  <si>
    <t>CONTINVATOR// TEMPORIS QVIN=//QVENNALIS.// Das ist:// Fünffjäriger Histori Er=//zehlung// ander// dritter vnnd vierdter Theil//// sampt warhafftiger B</t>
  </si>
  <si>
    <t>Kette an Buch</t>
  </si>
  <si>
    <t>Pergamentband mit Kette --&gt; Box</t>
  </si>
  <si>
    <t>Box (wg. Kette)</t>
  </si>
  <si>
    <t>L-1546-704952866</t>
  </si>
  <si>
    <t>1223000702</t>
  </si>
  <si>
    <t>Bö M 169</t>
  </si>
  <si>
    <t xml:space="preserve">
flexibler, grüner Perg.bd.</t>
  </si>
  <si>
    <t>Risse und Fehlstellen mit JP schließen, an Vorderkante des Rückdeckels leicht feuchten (Goretex) und glätten, ansonsten die Deckel belassen und ggf. nur an den Rändern feuchten und glätten (soweit es günstig für die restauratoische Bearbeitung ist)</t>
  </si>
  <si>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</si>
  <si>
    <t>L-1522-181084155</t>
  </si>
  <si>
    <t>1003855229</t>
  </si>
  <si>
    <t>Bö M 170</t>
  </si>
  <si>
    <t>Bö M 170</t>
  </si>
  <si>
    <t xml:space="preserve">Gvillielmi Bvdaei Parisiensis Se||cretarij Regij libri V. de Asse, &amp; partib. eius : </t>
  </si>
  <si>
    <t>Folie</t>
  </si>
  <si>
    <t>Unklar</t>
  </si>
  <si>
    <t>Umschlag aus Folie ist nicht sinnvoll --&gt; neu</t>
  </si>
  <si>
    <t>L-1509-181116014</t>
  </si>
  <si>
    <t>100386712X</t>
  </si>
  <si>
    <t>Bö M 171/8°</t>
  </si>
  <si>
    <t>Bö M 171/8°</t>
  </si>
  <si>
    <t xml:space="preserve">Marci Tullii Ciceronis quaestionum Tusculanarum libri 5 : </t>
  </si>
  <si>
    <t>L-1729-181190176</t>
  </si>
  <si>
    <t>1003921965</t>
  </si>
  <si>
    <t>Bö M 172/8°</t>
  </si>
  <si>
    <t>Bö M 172/8°</t>
  </si>
  <si>
    <t xml:space="preserve">Christlicher Seelen-Schatz Außerlesener Gebetter : </t>
  </si>
  <si>
    <t>Gewebeeinband, Originale Schutzhülle</t>
  </si>
  <si>
    <t>erhabener Schmuck auf Einband</t>
  </si>
  <si>
    <t xml:space="preserve">
Seideneinband</t>
  </si>
  <si>
    <t>x mit Samt und Buntpapier</t>
  </si>
  <si>
    <t>Seideneinband mit Metallstickerei, gesamtes Buch besteht aus Kupfertafeln (nur Text, keine Abb.); Besprechen, was mit Umschlag wird</t>
  </si>
  <si>
    <t>L-1559-315493410</t>
  </si>
  <si>
    <t>1066963134</t>
  </si>
  <si>
    <t>Bö M 174</t>
  </si>
  <si>
    <t>Bö M 174</t>
  </si>
  <si>
    <t xml:space="preserve">EX ACTIS SYNODICIS ET ALIIS|| DILIGENTER ET FIDELI=||TER COLLECTA|| EXPOSITIO|| EORVM, QVAE THEO=||LOGI ACADEMIAE VVITEBER=||gensis et harum Regionum </t>
  </si>
  <si>
    <t>L-9999-414281322</t>
  </si>
  <si>
    <t>1137965673</t>
  </si>
  <si>
    <t>Bö M 175</t>
  </si>
  <si>
    <t xml:space="preserve">Sammelband Reformationsschriften : </t>
  </si>
  <si>
    <t>L-1724-181275988</t>
  </si>
  <si>
    <t>1003965652</t>
  </si>
  <si>
    <t>Bö M 176/8°</t>
  </si>
  <si>
    <t>Bö M 176/8°</t>
  </si>
  <si>
    <t>im Buch steht Bö M 175 als Signatur…?</t>
  </si>
  <si>
    <t xml:space="preserve">Director spiritualis, seu modus dirigendi animas in via perfectionis christianae ... : </t>
  </si>
  <si>
    <t>L-1777-181187280</t>
  </si>
  <si>
    <t>1003919650</t>
  </si>
  <si>
    <t>Bö M 177/8°</t>
  </si>
  <si>
    <t>Bö M 177/8°</t>
  </si>
  <si>
    <t>Grüssauisches Josephbuch, welches zu Vermehrung der Andacht gegen die heilige erschaffene Dreyfaltigkeit Jesus, Maria, Joseph, und zu sonderbarem Gebr</t>
  </si>
  <si>
    <t xml:space="preserve">
bemalt und lackiert?</t>
  </si>
  <si>
    <t>Box (bes. Perg.bd.)</t>
  </si>
  <si>
    <t>L-1613-397300867</t>
  </si>
  <si>
    <t>1003922198</t>
  </si>
  <si>
    <t>Bö M 178</t>
  </si>
  <si>
    <t>Bö M 178</t>
  </si>
  <si>
    <t>Ander Theil der zwölff Andachten/ Darinnen begriffen/ die Geistliche Kampffschul : Welcher massen ein Christlicher Ritter/ durch hülff und beystand Go</t>
  </si>
  <si>
    <t xml:space="preserve">
Samteinband</t>
  </si>
  <si>
    <t>Samteinband</t>
  </si>
  <si>
    <t>Box (Samteinband)</t>
  </si>
  <si>
    <t>L-1769-181182572</t>
  </si>
  <si>
    <t>1003915280</t>
  </si>
  <si>
    <t>Bö M 179/8°</t>
  </si>
  <si>
    <t>Bö M 179/8°</t>
  </si>
  <si>
    <t xml:space="preserve">Pensées théologiques, relatives aux erreurs du temps : </t>
  </si>
  <si>
    <t>welliger Buchblock, stark brüchiges Einbandmaterial, Schrift bis in den Falz</t>
  </si>
  <si>
    <t>Umschlag (empfindl. Lederband)</t>
  </si>
  <si>
    <t>L-1676-181273721</t>
  </si>
  <si>
    <t>1003963382</t>
  </si>
  <si>
    <t>Bö M 180/8°</t>
  </si>
  <si>
    <t>Bö M 180/8°</t>
  </si>
  <si>
    <t>L ʹ@Officio di Maria vergine madre di Dio : Trasportato dalla latina allʹitaliana lingua per comandamento della Sacra Cesarea Real Maestra di Eleonora</t>
  </si>
  <si>
    <t>L-1535-315328800</t>
  </si>
  <si>
    <t>1066870926</t>
  </si>
  <si>
    <t>Bö M 181</t>
  </si>
  <si>
    <t>Bö M 181</t>
  </si>
  <si>
    <t>DIOGENIS|| LAERTII CLARISSIMI HISTO-||rici de uita, &amp; moribus philosophorum li-||bri decem, nouissime iam post oēs omnium|| castigationes noua diligen</t>
  </si>
  <si>
    <t xml:space="preserve">
ggf. Bauch abbinden</t>
  </si>
  <si>
    <t>L-1522-181279061</t>
  </si>
  <si>
    <t>1003968511</t>
  </si>
  <si>
    <t>Bö M 182</t>
  </si>
  <si>
    <t>Bö M 182</t>
  </si>
  <si>
    <t>Sefer Tehillim : [Gebetbuch. 150 Abschn. für Tage der Woche]</t>
  </si>
  <si>
    <t>Schaden am Rücken stabil, evtl. Umschlag anfertigen</t>
  </si>
  <si>
    <t>L-1855-181194139</t>
  </si>
  <si>
    <t>1003925723</t>
  </si>
  <si>
    <t>Bö M 183/8°</t>
  </si>
  <si>
    <t>Bö M 183/8°</t>
  </si>
  <si>
    <t>G[otthold] E[phraim] Lessingʹs gesammelte Werke</t>
  </si>
  <si>
    <t xml:space="preserve">Bd. 6. : </t>
  </si>
  <si>
    <t>L-1801-18118981X</t>
  </si>
  <si>
    <t>1003921752</t>
  </si>
  <si>
    <t>Bö M 184</t>
  </si>
  <si>
    <t>Bö M 184</t>
  </si>
  <si>
    <t>Kalender des Hochadelichen Baierischen Hausritterordens der Beschützer Göttlicher Ehre unter dem Schutze des Heiligen Erzengels Michael</t>
  </si>
  <si>
    <t xml:space="preserve">1801 : </t>
  </si>
  <si>
    <t xml:space="preserve">
Seideneinband?</t>
  </si>
  <si>
    <t>Seideneinband?</t>
  </si>
  <si>
    <t>Umschlag (textiler Einband)</t>
  </si>
  <si>
    <t>L-1801-397382154</t>
  </si>
  <si>
    <t>019005725</t>
  </si>
  <si>
    <t>Kalender des Hochadelichen Baierischen Hausritterordens der Beschützer Göttlicher Ehre unter dem Schutze des Heiligen Erzengels Michael : auf das Geme</t>
  </si>
  <si>
    <t>L-1764-397304277</t>
  </si>
  <si>
    <t>011221712</t>
  </si>
  <si>
    <t>Bö M 185</t>
  </si>
  <si>
    <t>Almanach des muses : ou choix des poésies fugitives</t>
  </si>
  <si>
    <t>L-1826-180652605</t>
  </si>
  <si>
    <t>1003804497</t>
  </si>
  <si>
    <t>Bö M 185/8°</t>
  </si>
  <si>
    <t>Bö M 185/8°</t>
  </si>
  <si>
    <t>Almanach des muses</t>
  </si>
  <si>
    <t xml:space="preserve">1827 : </t>
  </si>
  <si>
    <t>Schaden belassen, evtl. Umschlag anfertigen</t>
  </si>
  <si>
    <t>Umschlag (wg. Schaden)</t>
  </si>
  <si>
    <t>L-1802-181192608</t>
  </si>
  <si>
    <t>1003924220</t>
  </si>
  <si>
    <t>Bö M 186/8°</t>
  </si>
  <si>
    <t>Bö M 186/8° - 1</t>
  </si>
  <si>
    <t>Laure ou lʹAmour et les systèmes</t>
  </si>
  <si>
    <t xml:space="preserve">Tome 1 : </t>
  </si>
  <si>
    <t xml:space="preserve">
wegen Schaden</t>
  </si>
  <si>
    <t>L-1802-397569424</t>
  </si>
  <si>
    <t>1126761974</t>
  </si>
  <si>
    <t>Bö M 186/8° - 2</t>
  </si>
  <si>
    <t xml:space="preserve">Tome 2 : </t>
  </si>
  <si>
    <t>hohler Rücken, stark brüchiges Einbandmaterial</t>
  </si>
  <si>
    <t>Umschlag (empfindl. Leder)</t>
  </si>
  <si>
    <t>L-1802-397569483</t>
  </si>
  <si>
    <t>1126762180</t>
  </si>
  <si>
    <t>Bö M 186/8° - 3</t>
  </si>
  <si>
    <t>L-1802-397569602</t>
  </si>
  <si>
    <t>1126762407</t>
  </si>
  <si>
    <t>Bö M 186/8° - 4</t>
  </si>
  <si>
    <t xml:space="preserve">Tome 4 : </t>
  </si>
  <si>
    <t>alternativ Umschlag anfertigen (hinteres Gelenk ist noch stabil)</t>
  </si>
  <si>
    <t>L-1802-397569718</t>
  </si>
  <si>
    <t>1126762563</t>
  </si>
  <si>
    <t>Bö M 186/8° - 5</t>
  </si>
  <si>
    <t xml:space="preserve">Tome 5 : </t>
  </si>
  <si>
    <t>Schaden belassen (ist stabil), evtl. Umschlag anfertigen</t>
  </si>
  <si>
    <t>L-1534-181274337</t>
  </si>
  <si>
    <t>100396401X</t>
  </si>
  <si>
    <t>Bö M 187/8°</t>
  </si>
  <si>
    <t>Bö M 187/8° - 1</t>
  </si>
  <si>
    <t>[Werke]</t>
  </si>
  <si>
    <t>[1.] : P[ublii] Ovidii Nasonis Fastorum libri</t>
  </si>
  <si>
    <t>L-1534-181274450</t>
  </si>
  <si>
    <t>1003964117</t>
  </si>
  <si>
    <t>Bö M 187/8° - 2</t>
  </si>
  <si>
    <t>[2.] : P[ublii] Ovidii Nasonis Epistolarum Heroidum liber</t>
  </si>
  <si>
    <t>L-1581-315493747</t>
  </si>
  <si>
    <t>1066963495</t>
  </si>
  <si>
    <t>Bö M 188</t>
  </si>
  <si>
    <t>Bö M 188</t>
  </si>
  <si>
    <t>HESIODI|| ASCRAEI OPERA,|| Quae quidem extant, omnia|| Graecè, cum interpretatione Latina ere-||gionè, vt conferri à Graecae linguae|| studiosis citra</t>
  </si>
  <si>
    <t>Box (abgebrochenes Hakenteil); Sonstiger Schaden stabil</t>
  </si>
  <si>
    <t>L-1581-315493739</t>
  </si>
  <si>
    <t>Bö M 188 a</t>
  </si>
  <si>
    <t>Bö M 188 a</t>
  </si>
  <si>
    <t>L-1739-181117169</t>
  </si>
  <si>
    <t>1003868045</t>
  </si>
  <si>
    <t>Bö M 189/8°</t>
  </si>
  <si>
    <t>Bö M 189/8°</t>
  </si>
  <si>
    <t xml:space="preserve">Q[uinti] Curtii Rufi de Rebus gestis Alexandri Magni historia : </t>
  </si>
  <si>
    <t>L-1537-181280396</t>
  </si>
  <si>
    <t>1003969941</t>
  </si>
  <si>
    <t>Bö M 190 - 1</t>
  </si>
  <si>
    <t>Bö M 190 - 1</t>
  </si>
  <si>
    <t>Officinae Joannis Ravisii Textoris Nivernensis historicis poeticis ... pars ...</t>
  </si>
  <si>
    <t xml:space="preserve">Pars 1 : </t>
  </si>
  <si>
    <t>L-1537-181280418</t>
  </si>
  <si>
    <t>1003969968</t>
  </si>
  <si>
    <t>Bö M 190 - 2</t>
  </si>
  <si>
    <t>Bö M 190 - 2</t>
  </si>
  <si>
    <t xml:space="preserve">Pars 2 : </t>
  </si>
  <si>
    <t>L-1537-181280124</t>
  </si>
  <si>
    <t>1003969658</t>
  </si>
  <si>
    <t>Bö M 190 - 3</t>
  </si>
  <si>
    <t>Bö M 190 - 3</t>
  </si>
  <si>
    <t>[3] : Joannis Ravissi Textoris Nivernensis Cornucopiae, quo continentur locadiversis rebus per orbem abundantia, ...</t>
  </si>
  <si>
    <t>L-9999-181280736</t>
  </si>
  <si>
    <t>1003970281</t>
  </si>
  <si>
    <t>Bö M 191/8°</t>
  </si>
  <si>
    <t>L-1644-181117525</t>
  </si>
  <si>
    <t>100386824X</t>
  </si>
  <si>
    <t>Bö M 192/°</t>
  </si>
  <si>
    <t>Bö M 192/°</t>
  </si>
  <si>
    <t xml:space="preserve">Didymi Hermannovillani Disquisitiones ubiquisticae sive de Christo contra ubiquistas aliosque; ... : </t>
  </si>
  <si>
    <t>nur Ecken stabilisieren</t>
  </si>
  <si>
    <t>L-1756-18128829X</t>
  </si>
  <si>
    <t>1003977332</t>
  </si>
  <si>
    <t>Bö M 193/8°</t>
  </si>
  <si>
    <t>Bö M 193/8°</t>
  </si>
  <si>
    <t>Mémoires de Madame de Staal, écrits par ellemême ou Anecdotes de la Régence</t>
  </si>
  <si>
    <t xml:space="preserve">1 : </t>
  </si>
  <si>
    <t>L-1756-181288303</t>
  </si>
  <si>
    <t>1003977359</t>
  </si>
  <si>
    <t>Bö M 193/8° (angebunden)</t>
  </si>
  <si>
    <t xml:space="preserve">2 : </t>
  </si>
  <si>
    <t>L-1756-18128832X</t>
  </si>
  <si>
    <t>1003977383</t>
  </si>
  <si>
    <t xml:space="preserve">3 : </t>
  </si>
  <si>
    <t>L-1756-181288354</t>
  </si>
  <si>
    <t>1003977391</t>
  </si>
  <si>
    <t>4. : Oeuvres</t>
  </si>
  <si>
    <t>L-1547-783813252</t>
  </si>
  <si>
    <t>1262281903</t>
  </si>
  <si>
    <t>Bö M 194/8°</t>
  </si>
  <si>
    <t xml:space="preserve">Sammelband mit drei Werken von Galenus : </t>
  </si>
  <si>
    <t>L-1802-181281686</t>
  </si>
  <si>
    <t>1003971288</t>
  </si>
  <si>
    <t>Bö M 195/8°</t>
  </si>
  <si>
    <t>Bö M 195/8°</t>
  </si>
  <si>
    <t>Väterliche Winke an junge Frauenzimmer über ihre Bestimmung als Mädchen, Gattinnen, Hausfrauen und Mütter : allen edlen Töchtern Deutschlands gewidmet</t>
  </si>
  <si>
    <t>Abvz</t>
  </si>
  <si>
    <t>L-1843-181302047</t>
  </si>
  <si>
    <t>11961449</t>
  </si>
  <si>
    <t>Bö M 196/8°</t>
  </si>
  <si>
    <t>L-1753-181280698</t>
  </si>
  <si>
    <t>1003970222</t>
  </si>
  <si>
    <t>Bö M 197/8°</t>
  </si>
  <si>
    <t>Bö M 197/8° - 1</t>
  </si>
  <si>
    <t>Anecdotes historiques, militaires et politiques de lʹélevation de Charles-Quint au thrône de lʹempire, jusquʹau traité dʹAix-la-Chapelle en 1748</t>
  </si>
  <si>
    <t xml:space="preserve">T. 1 : </t>
  </si>
  <si>
    <t>L-1753-181280701</t>
  </si>
  <si>
    <t>1003970249</t>
  </si>
  <si>
    <t>Bö M 197/8° - 2</t>
  </si>
  <si>
    <t xml:space="preserve">T. 2 : </t>
  </si>
  <si>
    <t>L-1774-181149494</t>
  </si>
  <si>
    <t>100389867X</t>
  </si>
  <si>
    <t>Bö M 198/8°</t>
  </si>
  <si>
    <t>Bö M 198/8°</t>
  </si>
  <si>
    <t xml:space="preserve">Les @Causes du bonheur public </t>
  </si>
  <si>
    <t>L-1793-181271494</t>
  </si>
  <si>
    <t>1003961193</t>
  </si>
  <si>
    <t>Bö M 199/8°</t>
  </si>
  <si>
    <t>Bö M 199/8°</t>
  </si>
  <si>
    <t>Der @neue teutsche Merkur</t>
  </si>
  <si>
    <t xml:space="preserve">1793, Dritter Band : </t>
  </si>
  <si>
    <t>L-1718-181272377</t>
  </si>
  <si>
    <t>100396205X</t>
  </si>
  <si>
    <t>Bö M 200/8°</t>
  </si>
  <si>
    <t>Bö M 200/8°</t>
  </si>
  <si>
    <t>Les @Oeuvres de monsieur de Molière [Poquelin dit]</t>
  </si>
  <si>
    <t xml:space="preserve">Tom. 4 : </t>
  </si>
  <si>
    <t>Umschlag (Einband abriebgefährdet)</t>
  </si>
  <si>
    <t>L-1836-181115247</t>
  </si>
  <si>
    <t>1003866549</t>
  </si>
  <si>
    <t>Bö M 202/8°</t>
  </si>
  <si>
    <t>Bö M 202</t>
  </si>
  <si>
    <t>Bö M 202</t>
  </si>
  <si>
    <t>Bunte Scenerien aus dem Menschenleben : ein Bilderbuch ganz neuer Art</t>
  </si>
  <si>
    <t>gefaltete Blätter</t>
  </si>
  <si>
    <t xml:space="preserve">
wegen Rücken und Pop-ups</t>
  </si>
  <si>
    <t xml:space="preserve">
wegen Pop-ups</t>
  </si>
  <si>
    <t>Buch mit vier Pop-ups (siehe Foto)</t>
  </si>
  <si>
    <t>nur festigen</t>
  </si>
  <si>
    <t>Bändchen am 2. Pop-up montieren (liegt lose dabei)</t>
  </si>
  <si>
    <t>L-9999-185140637</t>
  </si>
  <si>
    <t>1005798427</t>
  </si>
  <si>
    <t>Bö M 203/8°</t>
  </si>
  <si>
    <t>Bö M 203/8°</t>
  </si>
  <si>
    <t>Liber proverbiorum : Ecclesiastes ; Canticum canticorum Salomonis ; Liber sapientiae ; in ecclesiasticum Jesu filii Sirach prologus ; Ecclesiasticus</t>
  </si>
  <si>
    <t xml:space="preserve">
sehr kleines Buch, sehr eng gebunden, wellig, Fuggerband!!</t>
  </si>
  <si>
    <t>papierbezogen</t>
  </si>
  <si>
    <t>Fuggerband!!, klein, eng gebunden, kein Bundsteg, wellig --&gt; was ist überhaupt auf dem Digitalisat zusehen?? --&gt; mit DBSM besprechen</t>
  </si>
  <si>
    <t>AFl</t>
  </si>
  <si>
    <t>L-1579-181281325</t>
  </si>
  <si>
    <t>1003970923</t>
  </si>
  <si>
    <t>Bö M 204/8°</t>
  </si>
  <si>
    <t>Bö M 204/8°</t>
  </si>
  <si>
    <t>Antonii Riccoboni Rhodigini de Historia liber : cum fragmentis historicorum veterum latinorum ... ab eodem collectis &amp; auctis</t>
  </si>
  <si>
    <t>L-1585-18105275X</t>
  </si>
  <si>
    <t>1003825265</t>
  </si>
  <si>
    <t>Bö M 205/8°</t>
  </si>
  <si>
    <t>Bö M 205/8°</t>
  </si>
  <si>
    <t>Aristotelis ... operum omnium pars prima [-septima], quam Logicam, seu organum appellant: cui addidimus argumenta, ac potius paraphrases, &amp; annotation</t>
  </si>
  <si>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</si>
  <si>
    <t>L-1545-181275287</t>
  </si>
  <si>
    <t>1003964966</t>
  </si>
  <si>
    <t>Bö M 206/8°</t>
  </si>
  <si>
    <t>Bö M 206</t>
  </si>
  <si>
    <t>Bö M 206/8°</t>
  </si>
  <si>
    <t xml:space="preserve">De discorsi del reuerendo monsignor Francesco Patritij sanese vescouo gaiettano, sopra alle cose appartenenti ad una città libera, e famiglia nobile; </t>
  </si>
  <si>
    <t>L-1770-181302314</t>
  </si>
  <si>
    <t>1003991246</t>
  </si>
  <si>
    <t>Bö M 207/8°</t>
  </si>
  <si>
    <t>historisch</t>
  </si>
  <si>
    <t>Schuber schützen, den evtl. restaurieren</t>
  </si>
  <si>
    <t>Box (Schuber schützen)</t>
  </si>
  <si>
    <t>L-1560-181205858</t>
  </si>
  <si>
    <t>1003936539</t>
  </si>
  <si>
    <t>Bö M 208/8°</t>
  </si>
  <si>
    <t>Bö M 208/8°</t>
  </si>
  <si>
    <t>M. Val. Martialis Epigrammaton libri XIIII : ex fide vetustissimorum exemplarium, quanta fieri potuit cura vigilatiaq., nunc recens emendati</t>
  </si>
  <si>
    <t>L-1506-315303808</t>
  </si>
  <si>
    <t>1066844291</t>
  </si>
  <si>
    <t>Bö M 209</t>
  </si>
  <si>
    <t>Bö M 209</t>
  </si>
  <si>
    <t>Autoritates notabiles|| De castitate et moribus gregori#[us] ambrosi#[us]|| Hic pius hic iustus|| augustin#[us] hieronymus|| Hic mistic#[us] hic#[que]</t>
  </si>
  <si>
    <t>Broschur</t>
  </si>
  <si>
    <t>Br</t>
  </si>
  <si>
    <t>R</t>
  </si>
  <si>
    <t>Jurismappe anfertigen</t>
  </si>
  <si>
    <t>Jurismappe</t>
  </si>
  <si>
    <t>L-1595-181054167</t>
  </si>
  <si>
    <t>1003826415</t>
  </si>
  <si>
    <t>Bö M 210/8°</t>
  </si>
  <si>
    <t>Bö M 210/8°</t>
  </si>
  <si>
    <t xml:space="preserve">D. Magni Ausonii ... opera, ex recognitione Iosephi Scaligeri : </t>
  </si>
  <si>
    <t>L-1600-181122391</t>
  </si>
  <si>
    <t>1003872751</t>
  </si>
  <si>
    <t>Bö M 211/8°</t>
  </si>
  <si>
    <t>Bö M 211/8°</t>
  </si>
  <si>
    <t xml:space="preserve">Le @Table allievr des reportes del tresreuerend Iudge Sir Ia. Dyer Chiualer, ... : </t>
  </si>
  <si>
    <t>L-1680-180649809</t>
  </si>
  <si>
    <t>1003801838</t>
  </si>
  <si>
    <t>Bö M 212/8</t>
  </si>
  <si>
    <t>Bö M 212/8</t>
  </si>
  <si>
    <t>Abdias hayerên. Id est: Obadias ArmenusQuo, Cum Analysi Vocum Armenicarum Grammatica, &amp; Collatione Versionis Armenicae cum Fontibus, aliisque, maximam</t>
  </si>
  <si>
    <t>L-1520-181276496</t>
  </si>
  <si>
    <t>1003966098</t>
  </si>
  <si>
    <t>Bö M 213/8°</t>
  </si>
  <si>
    <t>Bö M 213/8°</t>
  </si>
  <si>
    <t>Brevissima maxmieque [!] compendiaria co[n]ficiendarum epistolarum formula : studiosae juventuti admodum utilis ; ac necessaria, nunc primum typis exc</t>
  </si>
  <si>
    <t>L-1501-315487151</t>
  </si>
  <si>
    <t>1066956480</t>
  </si>
  <si>
    <t>Bö M 215</t>
  </si>
  <si>
    <t>Bö M 215</t>
  </si>
  <si>
    <t>Erariu aureum|| poetaru omnibus latine lingue. cuiusou#[que] eti fa||cultatis fuerint. professoribus accńmodu. immo|| et oim poetaru sine ipsis cńm?ta</t>
  </si>
  <si>
    <t>L-1588-181115271</t>
  </si>
  <si>
    <t>1003866573</t>
  </si>
  <si>
    <t>Bö M 216</t>
  </si>
  <si>
    <t>Bö M 216</t>
  </si>
  <si>
    <t xml:space="preserve">Dauidis Chytraej|| CHRONICON|| SAXONIAE|| &amp; vicini orbis Arctoj.|| PARS PRIMA.|| Ab anno Christi 1500.|| vs#[que] ad 1524.|| CVM INDICE.|| : </t>
  </si>
  <si>
    <t>hohler Rücken, gefaltete Blätter, Einband mit Schutz- oder Stoßkanten</t>
  </si>
  <si>
    <t>B: 10x16
F: 35x36</t>
  </si>
  <si>
    <t>ggf. Box (Buch sperrt)</t>
  </si>
  <si>
    <t>L-1520-31546979X</t>
  </si>
  <si>
    <t>1066942153</t>
  </si>
  <si>
    <t>Bö M 217</t>
  </si>
  <si>
    <t>Bö M 217</t>
  </si>
  <si>
    <t xml:space="preserve">Dialogi|| pueriles Christo=||phori Hegẽdorf=||fini.|| : </t>
  </si>
  <si>
    <t>L-1520-315487747</t>
  </si>
  <si>
    <t>1066957134</t>
  </si>
  <si>
    <t>Bö M 218</t>
  </si>
  <si>
    <t>Bö M 218</t>
  </si>
  <si>
    <t>Contra Romanistam fratrem|| Augustinu Alueldeñ. Fran=||ciscanu Lipsicu Canonis|| Biblici publicu lictor? #[et]|| tortor? eiusdem. F.|| Jones Lonice=||</t>
  </si>
  <si>
    <t xml:space="preserve">Jurismappe </t>
  </si>
  <si>
    <t>L-1536-315493135</t>
  </si>
  <si>
    <t>1066962839</t>
  </si>
  <si>
    <t>Bö M 219</t>
  </si>
  <si>
    <t>Bö M 219</t>
  </si>
  <si>
    <t xml:space="preserve">IOAN#||NIS LVDOVICI VI||uis Valentini, de Disciplinis|| Libri XX. in tres Tomos|| distincti ...|| Cum indice nouo ...|| : </t>
  </si>
  <si>
    <t>sehr viel Textverlust beim Digitalisieren</t>
  </si>
  <si>
    <t>L-9999-414171063</t>
  </si>
  <si>
    <t>1137888385</t>
  </si>
  <si>
    <t>Bö M 220</t>
  </si>
  <si>
    <t>L-1731-783804032</t>
  </si>
  <si>
    <t>1262272882</t>
  </si>
  <si>
    <t>Bö M 221/8°</t>
  </si>
  <si>
    <t>Bö M 222</t>
  </si>
  <si>
    <t>nicht im Katalog</t>
  </si>
  <si>
    <t>L-1559-31549087X</t>
  </si>
  <si>
    <t>1066960380</t>
  </si>
  <si>
    <t>Bö M 224</t>
  </si>
  <si>
    <t>Bö M 224</t>
  </si>
  <si>
    <t>DE HERBA||RVM VIRTVTIBVS AE=||MILII MACRI VERONENSIS ELE-||gantissima poësis, cum succincta admo=||dum difficilium &amp; obscurorum locorum,|| D.Georgij P</t>
  </si>
  <si>
    <t>L-9999-414832426</t>
  </si>
  <si>
    <t>1138315451</t>
  </si>
  <si>
    <t>Bö M 225</t>
  </si>
  <si>
    <t>L-1532-78380315X</t>
  </si>
  <si>
    <t>1262272084</t>
  </si>
  <si>
    <t>Bö M 226/8°</t>
  </si>
  <si>
    <t>L-1579-315494166</t>
  </si>
  <si>
    <t>1066963959</t>
  </si>
  <si>
    <t>Bö M 227</t>
  </si>
  <si>
    <t>Bö M 227</t>
  </si>
  <si>
    <t>Ein @Nye|| Christlick vnde|| n#[ue]tte B#eede=||b#[oe]ck.|| Vth den Olden Lerers|| der Kercken/ Alse Augustino Am=||brosio, Cypriano, Cyrillo, Bern-||</t>
  </si>
  <si>
    <t>L-1551-181068729</t>
  </si>
  <si>
    <t>1003840019</t>
  </si>
  <si>
    <t>Bö M 228/8°</t>
  </si>
  <si>
    <t>Bö M 228/8°</t>
  </si>
  <si>
    <t>I @casi de gli huomini illustri opera di m. Giouan Boccaccio partita in noue libri ne quali si trattano molti accidenti di diuersi prencipi, incominci</t>
  </si>
  <si>
    <t>L-9999-414284461</t>
  </si>
  <si>
    <t>1137971231</t>
  </si>
  <si>
    <t>Bö M 229</t>
  </si>
  <si>
    <t>L-1562-315493283</t>
  </si>
  <si>
    <t>1066963010</t>
  </si>
  <si>
    <t>Bö M 230</t>
  </si>
  <si>
    <t>Bö M 230</t>
  </si>
  <si>
    <t>Vergilij|| Maronis dreyze||hen B#[ue]cher von dem|| tewren Helden Enea/|| was der zu Wasser vnnd|| Land bestanden.|| Jetzund von newem wi=||derumb vbe</t>
  </si>
  <si>
    <t>L-1526-181144301</t>
  </si>
  <si>
    <t>1003893554</t>
  </si>
  <si>
    <t>Bö M 231/8°</t>
  </si>
  <si>
    <t>Bö M 231/8°</t>
  </si>
  <si>
    <t xml:space="preserve">GALENI PER||GAMENSIS, MEDICO||rum omniu ferè princi=||pis, de sanitate tuenda li||bri sex, interprete Tho=||ma Linacro Anglo: é#[que] : </t>
  </si>
  <si>
    <t xml:space="preserve">
nur 110, wegen Schaden</t>
  </si>
  <si>
    <t>Rücken wurde bereits mit Leder unterzogen, ist aber in den Gelenken gerissen; für Digit. Umschlag o.ä. anfertigen um Deckel abzustützen, eigentliche Rest. erst nach der Digit. oder ggf. Interim belassen</t>
  </si>
  <si>
    <t>für Digit. Umschlag oder ähnliches anfertigen</t>
  </si>
  <si>
    <t>L-1526-315468920</t>
  </si>
  <si>
    <t>1066941203</t>
  </si>
  <si>
    <t>Bö M 232</t>
  </si>
  <si>
    <t>Bö M 232</t>
  </si>
  <si>
    <t>A. GELLII LV||CVLENTISSIMI SCRI-||PTORIS NOCTES|| ATTICAE.|| (ANNOTA/||TIONES PETRI MOSELLA/||ni Protogensis in clarissimas|| Auli Gellij Noctes|| Att</t>
  </si>
  <si>
    <t>Rest. In den Gelenken bereits wieder kaputt, aber trotzdem stabil --&gt; belassen (nur festigen)</t>
  </si>
  <si>
    <t>loses Leder zurückkleben, Rest belassen, ggf. Umschlag anfertigen</t>
  </si>
  <si>
    <t>L-1750-181141159</t>
  </si>
  <si>
    <t>1003890490</t>
  </si>
  <si>
    <t>Bö M 233/8°</t>
  </si>
  <si>
    <t>Bö M 233/8°</t>
  </si>
  <si>
    <t xml:space="preserve">Mémoires pour servir a lʹhistoire de Brandebourg : </t>
  </si>
  <si>
    <t>L-1679-181117843</t>
  </si>
  <si>
    <t>1003868525</t>
  </si>
  <si>
    <t>Bö M 234/8°</t>
  </si>
  <si>
    <t>Bö M 234/8°</t>
  </si>
  <si>
    <t xml:space="preserve">Mémoires pour servir a lʹhistoire des plantes : </t>
  </si>
  <si>
    <t xml:space="preserve"> </t>
  </si>
  <si>
    <t>L-1564-181208350</t>
  </si>
  <si>
    <t>100393904X</t>
  </si>
  <si>
    <t>Bö M 235/8°</t>
  </si>
  <si>
    <t>Bö M 235/8°</t>
  </si>
  <si>
    <t>In M. T. Ciceronis epistolas, quae familiares vocantur, argumenta ...</t>
  </si>
  <si>
    <t>Tom 2 : IN M. T. CICE=||RONIS EPISTOLAS,|| QVAE FAMILIARES VOCAN-||TVR, ARGVMENTA, QVAE TVM ORDI-||nem scriptorum, &amp; seriem Historiarum,|| tum locos Rhetoricos complectuntur, ex</t>
  </si>
  <si>
    <t>Schließen, erhabene Buchbeschläge</t>
  </si>
  <si>
    <t>Schrift bis in den Falz, welliger Buchblock, Schrift bis in den Falz</t>
  </si>
  <si>
    <t>ca. 15 Seiten stark von Schimmel angegriffen, weitere teilweise wattig</t>
  </si>
  <si>
    <t>L-1502-181053624</t>
  </si>
  <si>
    <t>100382594X</t>
  </si>
  <si>
    <t>Bö M 236/8</t>
  </si>
  <si>
    <t>Bö M 236/8</t>
  </si>
  <si>
    <t>Opuscula divi Augustini longe prestantissima</t>
  </si>
  <si>
    <t>welliger Buchblock, erhabene Illuminationen, stark brüchiges Einbandmaterial, Mehrfacheinbände innerhalb eines Buches</t>
  </si>
  <si>
    <t>Schaden am Rücken stabil</t>
  </si>
  <si>
    <t>L-1502-181053683</t>
  </si>
  <si>
    <t>1003826016</t>
  </si>
  <si>
    <t>Bö M 236/8°</t>
  </si>
  <si>
    <t>Bö M 236/8°</t>
  </si>
  <si>
    <t>Pars 2 : Secunda pars opusculo[rum] Diui Augustini qua haec continentur</t>
  </si>
  <si>
    <t>L-9999-414174321</t>
  </si>
  <si>
    <t>1137894911</t>
  </si>
  <si>
    <t>Bö M 237</t>
  </si>
  <si>
    <t>Mehrfacheinbände innerhalb eines Buches, Schrift bis in den Falz</t>
  </si>
  <si>
    <t>L-1544-315493615</t>
  </si>
  <si>
    <t>1066963355</t>
  </si>
  <si>
    <t>Bö M 238</t>
  </si>
  <si>
    <t>Bö M 238</t>
  </si>
  <si>
    <t>ARISTOTELIS|| DE REPV||BLICA, QVI POLITICO-||rum dicuntur, libri VIII. à IOA-||chimo Perionio Cormoeriace-||no nuper latinitate|| donati,|| AD FRANCIS</t>
  </si>
  <si>
    <t>Box (wg. Schaden)</t>
  </si>
  <si>
    <t>nur Rücken sichern, Ecken und RD lassen (ist stabil genug)</t>
  </si>
  <si>
    <t>Ränder reinigen, Insektenfraß sichern</t>
  </si>
  <si>
    <t>L-1599-315323914</t>
  </si>
  <si>
    <t>1066865639</t>
  </si>
  <si>
    <t>Bö M 239</t>
  </si>
  <si>
    <t>Bö M 239</t>
  </si>
  <si>
    <t xml:space="preserve">HISTORIAE|| PHILIPPI|| COMINAEI, EQVITIS|| AVRATI,|| Continentes res, quae olim inter : </t>
  </si>
  <si>
    <t>L-1544-181085437</t>
  </si>
  <si>
    <t>100385656X</t>
  </si>
  <si>
    <t>Bö M 240</t>
  </si>
  <si>
    <t>Bö M 240</t>
  </si>
  <si>
    <t>HISTORIA|| VITAE FORTVNAEQVE AESO=||PI, CVM FABVLIS ILLIVS|| pluribus quingentis, et alijs quibusdam narra=||tionibus, compositis studio et diligentia</t>
  </si>
  <si>
    <t>L-9999-414893476</t>
  </si>
  <si>
    <t>1138366714</t>
  </si>
  <si>
    <t>Bö M 241</t>
  </si>
  <si>
    <t>welliger Buchblock, Schrift bis in den Falz, Mehrfacheinbände innerhalb eines Buches</t>
  </si>
  <si>
    <t>L-1544-315063084</t>
  </si>
  <si>
    <t>1066674566</t>
  </si>
  <si>
    <t>Bö M 242</t>
  </si>
  <si>
    <t>Bö M 242</t>
  </si>
  <si>
    <t xml:space="preserve">VALERII|| MAXIMI FACTO-||RVM DICTORVMQVE|| memorabilium Libri Nouem.|| PRAETEREA CAII TITII|| Probi, in Decimum Lib. huius Ope=||ris, Epitome, etc.|| </t>
  </si>
  <si>
    <t>L-1544-18129995X</t>
  </si>
  <si>
    <t>1003988792</t>
  </si>
  <si>
    <t>Bö M 242/8°</t>
  </si>
  <si>
    <t>Bö M 242/8°</t>
  </si>
  <si>
    <t xml:space="preserve">Valerii Maximi factorum, ac dictorum memorabilium, libri 9 : </t>
  </si>
  <si>
    <t>L-9999-414746074</t>
  </si>
  <si>
    <t>1138240583</t>
  </si>
  <si>
    <t>Bö M 243</t>
  </si>
  <si>
    <t xml:space="preserve">Sammelband mit Werken von Johann Huttich : </t>
  </si>
  <si>
    <t>Schrift bis in den Falz, erhabene Illuminationen</t>
  </si>
  <si>
    <t>L-1546-315207841</t>
  </si>
  <si>
    <t>1066786240</t>
  </si>
  <si>
    <t>Bö M 244</t>
  </si>
  <si>
    <t>Bö M 244</t>
  </si>
  <si>
    <t xml:space="preserve">Apollōniu tu Rodiu Argonautika ... : </t>
  </si>
  <si>
    <t>fester Rücken inzwischen hohl</t>
  </si>
  <si>
    <t>L-1561-315327413</t>
  </si>
  <si>
    <t>106686943X</t>
  </si>
  <si>
    <t>Bö M 245</t>
  </si>
  <si>
    <t>Bö M 245</t>
  </si>
  <si>
    <t xml:space="preserve">Gregorii Tvronici Historiæ Francorum libri decem : In quibus non solum Francorum res gestae, sed etiam Martyrum cum fidelibus bella, et Ecclesiae cum </t>
  </si>
  <si>
    <t>welliger Buchblock, fester Rücken mit Schmuckprägung, stark brüchiges Einbandmaterial</t>
  </si>
  <si>
    <t>L-1553-18114929X</t>
  </si>
  <si>
    <t>1003898483</t>
  </si>
  <si>
    <t>Bö M 246/8°</t>
  </si>
  <si>
    <t>Bö M 246/8°</t>
  </si>
  <si>
    <t>D. Gregorii Nyssae pontificis, Magni Basilii fratris, Doctissimus in hexaemeron commentarius. Aliquot tum eiusdem, tum aliorum auctorum orationes pulc</t>
  </si>
  <si>
    <t>Originaleinband separat</t>
  </si>
  <si>
    <t>L-1567-181115379</t>
  </si>
  <si>
    <t>1003866670</t>
  </si>
  <si>
    <t>Bö M 247/8°</t>
  </si>
  <si>
    <t>Bö M 247/8°</t>
  </si>
  <si>
    <t xml:space="preserve">M[arci] Tullii Ciceronis epistolae, ad Atticum, ad Brutum, ad Q. fratrem : </t>
  </si>
  <si>
    <t>L-1715-181115840</t>
  </si>
  <si>
    <t>1003866999</t>
  </si>
  <si>
    <t>Bö M 248/8°</t>
  </si>
  <si>
    <t>Bö M 248/8°</t>
  </si>
  <si>
    <t>M[arci] Tullii Ciceronis orationes selectae : cum notis</t>
  </si>
  <si>
    <t xml:space="preserve">
flexibler Pg</t>
  </si>
  <si>
    <t>L-1592-181116391</t>
  </si>
  <si>
    <t>1003867383</t>
  </si>
  <si>
    <t>Bö M 249/8°</t>
  </si>
  <si>
    <t>Bö M 249/8°</t>
  </si>
  <si>
    <t xml:space="preserve">Comes rusticus ex optimis latinae linguae scriptoribus excerptus : </t>
  </si>
  <si>
    <t>Schrift bis in den Falz, gefaltete Blätter, fester Rücken mit Schmuckprägung</t>
  </si>
  <si>
    <t>B: 10x16
F: 10x30</t>
  </si>
  <si>
    <t>Achtung: ungewöhnliches Faltprinzip bei den Falttafeln</t>
  </si>
  <si>
    <t>Gelenke mit JP überfassen</t>
  </si>
  <si>
    <t>L-1683-163759405</t>
  </si>
  <si>
    <t>997387564</t>
  </si>
  <si>
    <t>Bö M 251</t>
  </si>
  <si>
    <t>Bö M 251</t>
  </si>
  <si>
    <t>Hevres Nouvelles : dédiées à Monseignevr Dauphin</t>
  </si>
  <si>
    <t>Box (Buch sperrt, besonderer Einband)</t>
  </si>
  <si>
    <t>L-1566-783812086</t>
  </si>
  <si>
    <t>1262280389</t>
  </si>
  <si>
    <t>Bö M 252/8°</t>
  </si>
  <si>
    <t>Schrift bis in den Falz, Mehrfacheinbände innerhalb eines Buches</t>
  </si>
  <si>
    <t>L-1526-306836645</t>
  </si>
  <si>
    <t>Bö M 253</t>
  </si>
  <si>
    <t>Bö M 253</t>
  </si>
  <si>
    <t xml:space="preserve">
wegen Klappe</t>
  </si>
  <si>
    <t>flexibler Perg.bd. mit Vorderklappe</t>
  </si>
  <si>
    <t>Box (wg. Klappe)</t>
  </si>
  <si>
    <t>L-1547-181143666</t>
  </si>
  <si>
    <t>1003892930</t>
  </si>
  <si>
    <t>Bö M 254/8°</t>
  </si>
  <si>
    <t>Bö M 254/8°</t>
  </si>
  <si>
    <t xml:space="preserve">Clavdii Galeni De simplicivm medicamentorvm facvltatibvs libri XI : </t>
  </si>
  <si>
    <t>Umschlag (Einband empfindl.)</t>
  </si>
  <si>
    <t>L-1547-181144085</t>
  </si>
  <si>
    <t>1003893333</t>
  </si>
  <si>
    <t>Bö M 255/8°</t>
  </si>
  <si>
    <t>Bö M 255/8°</t>
  </si>
  <si>
    <t xml:space="preserve">Cl[audii] Galeni Methodi medendi, vel de morbis curandis libri 14 : </t>
  </si>
  <si>
    <t>L-1611-181151618</t>
  </si>
  <si>
    <t>1003900801</t>
  </si>
  <si>
    <t>Bö M 256/8°</t>
  </si>
  <si>
    <t>Bö M 256/8°</t>
  </si>
  <si>
    <t>Heliodori Aethiopicorum libri X : Ad fidem Mss. ab Hieronymo Commelino emendati</t>
  </si>
  <si>
    <t>L-1567-315490500</t>
  </si>
  <si>
    <t>1066959986</t>
  </si>
  <si>
    <t>Bö M 257</t>
  </si>
  <si>
    <t>Bö M 257</t>
  </si>
  <si>
    <t>SEXTA|| Pars Homeliarum|| IN EVANGELIA DO=||MINICALIA ET DIES FESTOS,|| â Dominica septima post Tri-||nitatis, us#[que] ad Domini-||cam decimam quin-|</t>
  </si>
  <si>
    <t>L-1561-412305100</t>
  </si>
  <si>
    <t>1136805699</t>
  </si>
  <si>
    <t>Bö M 258</t>
  </si>
  <si>
    <t>Bö M 258</t>
  </si>
  <si>
    <t>Aristotelis Stagiritae Organvm, qvod logicam appellant</t>
  </si>
  <si>
    <t>1. : Tomus primus</t>
  </si>
  <si>
    <t>Bö M 259</t>
  </si>
  <si>
    <t>Link zum Portal nicht korrekt</t>
  </si>
  <si>
    <t>L-1810-181276038</t>
  </si>
  <si>
    <t>36758865X</t>
  </si>
  <si>
    <t>Bö M 259/8°</t>
  </si>
  <si>
    <t>Bö M 259/8°</t>
  </si>
  <si>
    <t>Pindari Carmina : Graece</t>
  </si>
  <si>
    <t>L-1615-181192020</t>
  </si>
  <si>
    <t>1003923704</t>
  </si>
  <si>
    <t>Bö M 260/8°</t>
  </si>
  <si>
    <t>Bö M 260/8°</t>
  </si>
  <si>
    <t xml:space="preserve">Résurrection et Triomphe de la Polette. Dédié à Messieurs les Officiers de France[Texte imprimé]  : </t>
  </si>
  <si>
    <t>L-1757-181114941</t>
  </si>
  <si>
    <t>1003866263</t>
  </si>
  <si>
    <t>Bö M 261/8°</t>
  </si>
  <si>
    <t>Bö M 261/8°</t>
  </si>
  <si>
    <t>Le @Livre de quatre couleurs : aux quatre-elements</t>
  </si>
  <si>
    <t>ist doppelt</t>
  </si>
  <si>
    <t>L-1521-181083620</t>
  </si>
  <si>
    <t>1003854729</t>
  </si>
  <si>
    <t>Bö M 262/8°</t>
  </si>
  <si>
    <t>Bö M 262/8°</t>
  </si>
  <si>
    <t xml:space="preserve">Eivsdem Caroli Bouilli Samarobrini Respōsiones ad nouē quesita Nicolai Paxii Maioricen̄. seu Balearici in arte Lullistarum peritissimi : </t>
  </si>
  <si>
    <t>L-1519-315330309</t>
  </si>
  <si>
    <t>1066872554</t>
  </si>
  <si>
    <t>Bö M 263</t>
  </si>
  <si>
    <t>Bö M 263</t>
  </si>
  <si>
    <t>AD RE||VERENDISSIMVM ATq[ue]|| illustrissimum principem, D.|| Albertum Archiepiscopum|| Moguntinu, Cardinale &amp;c.|| epl'a V. Fabritij Capitonis.|| [Sp.</t>
  </si>
  <si>
    <t>mit JP unterlegen</t>
  </si>
  <si>
    <t>L-1529-181273500</t>
  </si>
  <si>
    <t>1003963188</t>
  </si>
  <si>
    <t>Bö M 264/8°</t>
  </si>
  <si>
    <t>Bö M 264/8°</t>
  </si>
  <si>
    <t xml:space="preserve">Beatissimi patris Nili Episcopi et martyris antiquissimi Sententie morales e greco in latinum verse : </t>
  </si>
  <si>
    <t>L-1507-315321040</t>
  </si>
  <si>
    <t>1066862451</t>
  </si>
  <si>
    <t>Bö M 265</t>
  </si>
  <si>
    <t>Bö M 265</t>
  </si>
  <si>
    <t xml:space="preserve">[Vade mecum.|| Missale Jtinerātium|| ...] : </t>
  </si>
  <si>
    <t>nur Rücken sichern, Ecken lassen</t>
  </si>
  <si>
    <t>L-1518-181276429</t>
  </si>
  <si>
    <t>1003966012</t>
  </si>
  <si>
    <t>Bö M 266</t>
  </si>
  <si>
    <t>Bö M 266</t>
  </si>
  <si>
    <t xml:space="preserve">Epynomis: id=||est: legu app?dix v#[l] phyloso||phus Platonis: De vera|| sapi?tia et humana foe||licitate nõ tam vtilis|| #[qua...] necessarius.|| : </t>
  </si>
  <si>
    <t>L-1522-315487534</t>
  </si>
  <si>
    <t>1066956936</t>
  </si>
  <si>
    <t>Bö M 267</t>
  </si>
  <si>
    <t>Bö M 267</t>
  </si>
  <si>
    <t>LIBANII|| SOPHISTAE GRAECI|| declamatiunculae aliquot, eae-||dem´#[que] Latinae, per DES.|| ERASMVM ROT.|| Cum duabus orationibus|| Lysiae itidem uers</t>
  </si>
  <si>
    <t>Box anfertigen (Papierumschlag teils "lose")</t>
  </si>
  <si>
    <t>nur Rücken sichern, Rest belassen</t>
  </si>
  <si>
    <t>L-1575-315494441</t>
  </si>
  <si>
    <t>1066964211</t>
  </si>
  <si>
    <t>Bö M 268</t>
  </si>
  <si>
    <t>Bö M 268</t>
  </si>
  <si>
    <t>[POLYDORI|| VERGILII VRBI-||NATIS DE RERVM|| INVENTORIBVS LI-||BRI OCTO.|| Eiusdem in orationem Dominicam com-||mentariolum.|| Omnia nunc demum ab ips</t>
  </si>
  <si>
    <t>Seiten herausgerissen, Teile aus Seiten ausgeschnitten</t>
  </si>
  <si>
    <t>Initialen rausgeschnitten und teils Seiten rausgerissen</t>
  </si>
  <si>
    <t>L-1547-181294567</t>
  </si>
  <si>
    <t>1003983456</t>
  </si>
  <si>
    <t>Bö M 269/8°</t>
  </si>
  <si>
    <t>Bö M 269/8°</t>
  </si>
  <si>
    <t>Joan. Tagavltii Ambiani Vimaci, Parisiensis Medici, De chirvrgica institvtione libri qvinqve.  His accessit sextus liber de materia chirurgica, author</t>
  </si>
  <si>
    <t>Schrift bis in den Falz, welliger Buchblock, stark brüchiges Einbandmaterial</t>
  </si>
  <si>
    <t>L-9999-181083884</t>
  </si>
  <si>
    <t>100385494X</t>
  </si>
  <si>
    <t>Bö M 270/8°</t>
  </si>
  <si>
    <t>Bö M 270/8°</t>
  </si>
  <si>
    <t>Wie man sich|| Christlich zu dem sterben|| bereyten sol.|| Wie man Got rechtschaf=||fen dienen sol.|| Wie das vbel nachreden|| f#[ue]r ein schwere s#[</t>
  </si>
  <si>
    <t>Schrift bis in den Falz, welliger Buchblock, fester Rücken mit Schmuckprägung</t>
  </si>
  <si>
    <t>L-1523-181279622</t>
  </si>
  <si>
    <t>1003969119</t>
  </si>
  <si>
    <t>Bö M 271/8°</t>
  </si>
  <si>
    <t>Bö M 271/8°</t>
  </si>
  <si>
    <t xml:space="preserve">Avrea carmina Pythagoræ : </t>
  </si>
  <si>
    <t>L-1552-315487488</t>
  </si>
  <si>
    <t>106695688X</t>
  </si>
  <si>
    <t>Bö M 272</t>
  </si>
  <si>
    <t>Bö M 272</t>
  </si>
  <si>
    <t xml:space="preserve">PROPOSITIONES|| DE IVSTI=||FICATIONE|| FIDEI,|| FIDELITER|| CONSCRIPTAE, ET IN|| disputationem publicam propositae,|| contra pernitiosos ueterum ac|| </t>
  </si>
  <si>
    <t>L-1560-18105423X</t>
  </si>
  <si>
    <t>1003826466</t>
  </si>
  <si>
    <t>Bö M 273/8°</t>
  </si>
  <si>
    <t>Bö M 273/8°</t>
  </si>
  <si>
    <t xml:space="preserve">Antiqvitatum variarvm autores, Quorum catalogum sequens continet pagella : </t>
  </si>
  <si>
    <t>L-1616-181273993</t>
  </si>
  <si>
    <t>100396365X</t>
  </si>
  <si>
    <t>Bö M 274/8°</t>
  </si>
  <si>
    <t>Bö M 274/8°</t>
  </si>
  <si>
    <t>Ordonnance, statvt et placcart de noz sovverains seignevrs et princes les archidvcqz dʹAustrice, dvcqs de Brabant &amp;c. Sur le faict de l'Imprimerie, ve</t>
  </si>
  <si>
    <t>L-1785-784284660</t>
  </si>
  <si>
    <t>1262532264</t>
  </si>
  <si>
    <t>Bö M 275/8°</t>
  </si>
  <si>
    <t>L-1555-31549266X</t>
  </si>
  <si>
    <t>106696226X</t>
  </si>
  <si>
    <t>Bö M 276</t>
  </si>
  <si>
    <t>Bö M 276</t>
  </si>
  <si>
    <t>Freüdenspruch:|| Der allerheiligsten Dreifeltigkeyt|| Gottis zu Lob/ Ehr vnd danck/ für|| diese allerfreüdenreichste Hohenzeit vnd Christliche|| Heymf</t>
  </si>
  <si>
    <t>L-1805-181182718</t>
  </si>
  <si>
    <t>1003915418</t>
  </si>
  <si>
    <t>Bö M 277/8°</t>
  </si>
  <si>
    <t>Bö M 277/8°</t>
  </si>
  <si>
    <t>Chymische Versuche und Entdeckungen zur Ersparung einer großen Menge Getreides, zur Erleichterung u. Erweiterung der Viehzucht u. zur Verhüthung einer</t>
  </si>
  <si>
    <t>Qdl</t>
  </si>
  <si>
    <t>L-1781-181276380</t>
  </si>
  <si>
    <t>1003965970</t>
  </si>
  <si>
    <t>Bö M 278/8°</t>
  </si>
  <si>
    <t>Papiere von Johann Karl Wezel wider D. Ernst Platnern : [Sammelband zum Streit von Johann Karl Wezel und D. Ernst Platner]</t>
  </si>
  <si>
    <t>L-1575-181296535</t>
  </si>
  <si>
    <t>1003985432</t>
  </si>
  <si>
    <t>Bö M 279</t>
  </si>
  <si>
    <t>Bö M 279</t>
  </si>
  <si>
    <t xml:space="preserve">Das @newe Testament|| : </t>
  </si>
  <si>
    <t>L-1511-181297345</t>
  </si>
  <si>
    <t>1003986323</t>
  </si>
  <si>
    <t>Bö M 280 /8°</t>
  </si>
  <si>
    <t>Bö M 280 /8°</t>
  </si>
  <si>
    <t xml:space="preserve">Textus hymnorû/ In priscam for=||mam/ hoc est in metra ab Henrico|| Bebelio nouiter redactorum.|| : </t>
  </si>
  <si>
    <t>L-1517-31530667X</t>
  </si>
  <si>
    <t>1066847428</t>
  </si>
  <si>
    <t>Bö M 281</t>
  </si>
  <si>
    <t>Bö M 281</t>
  </si>
  <si>
    <t>Hoc in volumine infra=||scripta opuscula continentur.|| Marci Tullii Ciceronis oratoR principis/ oratio pro Milone ...|| Compendium Rhetorices/ ex Tul</t>
  </si>
  <si>
    <t>L-1743-181117177</t>
  </si>
  <si>
    <t>1003868053</t>
  </si>
  <si>
    <t>Bö M 282/8°</t>
  </si>
  <si>
    <t>Bö M 282/8°</t>
  </si>
  <si>
    <t xml:space="preserve">Tabvlarium Ecclesiae Romanae Secvli Decimi Sexti : In Qvo Monvmenta, Restitvti Calicis Evcharistici, Totivsqve Concilii Tridentini Historiam Mirifice </t>
  </si>
  <si>
    <t>L-1511-181145081</t>
  </si>
  <si>
    <t>1003894267</t>
  </si>
  <si>
    <t>Bö M 283/8°</t>
  </si>
  <si>
    <t>Bö M 283/8°</t>
  </si>
  <si>
    <t>A. Gellii Viri disertissimi Noctium atticarum libri XX : summa accuratione Joannis Connelli, Carnotensis, ad recognitionem Beroaldinam repositi, cum a</t>
  </si>
  <si>
    <t>L-1740-181151022</t>
  </si>
  <si>
    <t>1003900119</t>
  </si>
  <si>
    <t>Bö M 284/8°</t>
  </si>
  <si>
    <t>Bö M 284/8°</t>
  </si>
  <si>
    <t xml:space="preserve">Primordia superioritatis territorialis Saxonicae ex antiquis Saxonum et Francorum rebus erta ... : </t>
  </si>
  <si>
    <t xml:space="preserve">
Brokatpapier</t>
  </si>
  <si>
    <t>Überzug sichern</t>
  </si>
  <si>
    <t>L-1544-181283557</t>
  </si>
  <si>
    <t>100397290X</t>
  </si>
  <si>
    <t>Bö M 285/8°</t>
  </si>
  <si>
    <t>Bö M 285/8°</t>
  </si>
  <si>
    <t>C. Crispi Sallvstii de conivratione Catilinæ historia : eivsdem de bello Ivgvrthino</t>
  </si>
  <si>
    <t>L-1699-413057674</t>
  </si>
  <si>
    <t>1137279974</t>
  </si>
  <si>
    <t>Bö M 286/8°</t>
  </si>
  <si>
    <t>Bö M 286/8°</t>
  </si>
  <si>
    <t>Nouvelle explication dʹune medaille dʹor du cabinet du roy ...</t>
  </si>
  <si>
    <t>1. : Premiere lettre</t>
  </si>
  <si>
    <t>Box (Deckel verworfen, bes. Einband)</t>
  </si>
  <si>
    <t>L-1699-413057720</t>
  </si>
  <si>
    <t>1137280093</t>
  </si>
  <si>
    <t>Bö M 286/8° (angebunden)</t>
  </si>
  <si>
    <t>2. : Deuxieme lettre</t>
  </si>
  <si>
    <t>L-1566-181276925</t>
  </si>
  <si>
    <t>1003966500</t>
  </si>
  <si>
    <t>Bö M 288/8°</t>
  </si>
  <si>
    <t>Bö M 288/8° - 2</t>
  </si>
  <si>
    <t>Plutarchi Vitae comparatae</t>
  </si>
  <si>
    <t>L-1566-181276941</t>
  </si>
  <si>
    <t>1003966527</t>
  </si>
  <si>
    <t>Bö M 288/8° - 3</t>
  </si>
  <si>
    <t>L-1738-181146320</t>
  </si>
  <si>
    <t>1003895336</t>
  </si>
  <si>
    <t>Bö M 289/8°</t>
  </si>
  <si>
    <t>Bö M 289/8°</t>
  </si>
  <si>
    <t xml:space="preserve">Neu vermehrtes Sondershaeusisches Gesang-Buch, in welchem D. Martin Luthers, Gerhards, auch anderer ... Lieder ... zu finden ... : Deme beygefügt Ein </t>
  </si>
  <si>
    <t>hohler Rücken, welliger Buchblock, erhabene Illuminationen</t>
  </si>
  <si>
    <t>Gelacktes Papier</t>
  </si>
  <si>
    <t xml:space="preserve">
vergoldet, bemalt und mit Kupferstichen bekebt</t>
  </si>
  <si>
    <t>L-1559-18111559X</t>
  </si>
  <si>
    <t>1003866786</t>
  </si>
  <si>
    <t>Bö M 291/8°</t>
  </si>
  <si>
    <t>Bö M 291/8°</t>
  </si>
  <si>
    <t xml:space="preserve">Ciceronis De officiis libri III. Cato maior, uel De senectute, Laelius, uel De amicitia, Paradoxa ... : </t>
  </si>
  <si>
    <t>L-1508-315306475</t>
  </si>
  <si>
    <t>1066847177</t>
  </si>
  <si>
    <t>Bö M 292</t>
  </si>
  <si>
    <t>Bö M 292</t>
  </si>
  <si>
    <t>Svbnotata hic continentur Magni Athanasij in psalmos opusculum [Ange. pol. interprete]. Enchiridion Epicteti stoici. Basilij oratio de inuidia. Plutar</t>
  </si>
  <si>
    <t>L-1745-315321326</t>
  </si>
  <si>
    <t>1066862788</t>
  </si>
  <si>
    <t>Bö M 293</t>
  </si>
  <si>
    <t>Bö M 293</t>
  </si>
  <si>
    <t xml:space="preserve">De Successione inter coniuges ab intestato disquisitio iuris Germanici : </t>
  </si>
  <si>
    <t>L-1507-315491795</t>
  </si>
  <si>
    <t>1066961387</t>
  </si>
  <si>
    <t>Bö M 294</t>
  </si>
  <si>
    <t>Bö M 294</t>
  </si>
  <si>
    <t xml:space="preserve">Opusculum de sagis ma||leficis Martini Plantsch concio||natoris Tubingensis.|| [Hrsg.v. (Henrici Bebelij Iustingensis ...||)] : </t>
  </si>
  <si>
    <t>L-1524-315491973</t>
  </si>
  <si>
    <t>1066961581</t>
  </si>
  <si>
    <t>Bö M 295</t>
  </si>
  <si>
    <t>Bö M 295</t>
  </si>
  <si>
    <t>Mich wundert das|| kein gelt ihm|| land ist.|| Ein schimpflich doch vnschedlich ge=||sprech dreyer Landtfarer/ vber yetz ge=||melten tyttel.|| Leße da</t>
  </si>
  <si>
    <t>L-1721-181117444</t>
  </si>
  <si>
    <t>1003868207</t>
  </si>
  <si>
    <t>Bö M 296/8°</t>
  </si>
  <si>
    <t>Bö M 296/8°</t>
  </si>
  <si>
    <t>Diario di tutto quello successe nellʹultima guerra di Sicilia fra le due armate Allemana, e Spagnola</t>
  </si>
  <si>
    <t>hohler Rücken, gefaltete Blätter, welliger Buchblock, stark deformiertes Objekt</t>
  </si>
  <si>
    <t>B: 15x19
F: 43x33</t>
  </si>
  <si>
    <t>L-1721-181117452</t>
  </si>
  <si>
    <t>1003868215</t>
  </si>
  <si>
    <t>Bö M 296/8° (angebunden)</t>
  </si>
  <si>
    <t>L-1512-181282038</t>
  </si>
  <si>
    <t>1003971598</t>
  </si>
  <si>
    <t>Bö M 297/8°</t>
  </si>
  <si>
    <t>Bö M 297/8°</t>
  </si>
  <si>
    <t xml:space="preserve">Deuoti et venerabilis Ioanis Rusberi presbyteri/ canonici observantiæ beati Augustini/ de ornatu spiritualium nuptiarum libri tres : </t>
  </si>
  <si>
    <t>L-1727-181083337</t>
  </si>
  <si>
    <t>1003854486</t>
  </si>
  <si>
    <t>Bö M 298/8°</t>
  </si>
  <si>
    <t>Bö M 298/8° - 1</t>
  </si>
  <si>
    <t>Histoire de lʹancien gouvernement de la France avec 14 lettres historiques sur les parlemens ou états-généraux</t>
  </si>
  <si>
    <t>welliger Buchblock, fester Rücken mit Schmuckprägung</t>
  </si>
  <si>
    <t>Umschlag (Einband empfindlich)</t>
  </si>
  <si>
    <t>L-1727-181083418</t>
  </si>
  <si>
    <t>1003854540</t>
  </si>
  <si>
    <t>Bö M 298/8° - 2</t>
  </si>
  <si>
    <t>L-1741-181052075</t>
  </si>
  <si>
    <t>012671118</t>
  </si>
  <si>
    <t>Bö M 299/8°</t>
  </si>
  <si>
    <t xml:space="preserve">Belustigungen des Verstandes und Witzes : </t>
  </si>
  <si>
    <t>Halbgewebeband</t>
  </si>
  <si>
    <t>HG</t>
  </si>
  <si>
    <t>L-1735-181068990</t>
  </si>
  <si>
    <t>1003840299</t>
  </si>
  <si>
    <t>Bö M 300/8°</t>
  </si>
  <si>
    <t>Bö M 300/8°</t>
  </si>
  <si>
    <t>Les @Oeuvres de M. [Nicolas] Boileaux-Despréaux, avec des éclaircissemens historiques</t>
  </si>
  <si>
    <t xml:space="preserve">Tome 2. : </t>
  </si>
  <si>
    <t>L-1505-315490764</t>
  </si>
  <si>
    <t>1066960275</t>
  </si>
  <si>
    <t>Bö M 301</t>
  </si>
  <si>
    <t>Bö M 301</t>
  </si>
  <si>
    <t>Hic subnotata cõtinentur|| Vita. M. Catonis (per|| Cornelium Nepotem).|| Sextus Aurelius de vitis Caesarum.|| Beneuenutus de eadem re.|| Philippi Bero</t>
  </si>
  <si>
    <t>fester Rücken mit Schmuckprägung, erhabene Illuminationen</t>
  </si>
  <si>
    <t>L-1556-181303035</t>
  </si>
  <si>
    <t>100399203X</t>
  </si>
  <si>
    <t>Bö M 302/8°</t>
  </si>
  <si>
    <t>Bö M 302/8°</t>
  </si>
  <si>
    <t>Dn. Vdalrici Zasii ivreconsvlti Fribvrgen. in vsvs fevdorvm epitome, ordine et vtilitate commendabilis : Eiusdem orationes aliquot disertae, tum in la</t>
  </si>
  <si>
    <t>stark brüchiges Einbandmaterial, welliger Buchblock</t>
  </si>
  <si>
    <t>Bund verlängern, alte Rest. Lassen, Gelenk überfangen(?)</t>
  </si>
  <si>
    <t>L-1564-181288540</t>
  </si>
  <si>
    <t>1003977588</t>
  </si>
  <si>
    <t>Bö M 303/8°</t>
  </si>
  <si>
    <t>Bö M 303/8°</t>
  </si>
  <si>
    <t xml:space="preserve">Statvta synodalia : </t>
  </si>
  <si>
    <t>Schaden stabil genug</t>
  </si>
  <si>
    <t>L-1700-181302705</t>
  </si>
  <si>
    <t>1003991718</t>
  </si>
  <si>
    <t>Bö M 304/8°</t>
  </si>
  <si>
    <t>Bö M 304/8°</t>
  </si>
  <si>
    <t>Histoire de la decouverte et de la conquete du Pérou</t>
  </si>
  <si>
    <t>L-1700-181302764</t>
  </si>
  <si>
    <t>1003991793</t>
  </si>
  <si>
    <t>Bö M 304/8° (angebunden)</t>
  </si>
  <si>
    <t>L-9999-414828496</t>
  </si>
  <si>
    <t>1138311561</t>
  </si>
  <si>
    <t>Bö M 305</t>
  </si>
  <si>
    <t>hohler Rücken, Schrift bis in den Falz, welliger Buchblock</t>
  </si>
  <si>
    <t>L-1511-181272768</t>
  </si>
  <si>
    <t>1003962432</t>
  </si>
  <si>
    <t>Bö M 306/8°</t>
  </si>
  <si>
    <t>L-1557-315323868</t>
  </si>
  <si>
    <t>1066865582</t>
  </si>
  <si>
    <t>Bö M 308</t>
  </si>
  <si>
    <t>Bö M 308</t>
  </si>
  <si>
    <t>IN HOC VOLVMINE|| HAEC CONTINENTVR.|| Rhetoricorum ad C. Herennium lib.IIII.|| M.T.Ciceronis de inuentione ...|| de oratore ad Quintum fratrem ...|| d</t>
  </si>
  <si>
    <t>L-1521-315469366</t>
  </si>
  <si>
    <t>1066941718</t>
  </si>
  <si>
    <t>Bö M 309</t>
  </si>
  <si>
    <t>Bö M 309</t>
  </si>
  <si>
    <t xml:space="preserve">AVLI GEL||LII NOCTIVM ATTI=||CARVM.LIBRI VN||DEVIGINTI.|| In easdem, Encomiu carmine Luscinii|| ad HVTTENVM ...|| : </t>
  </si>
  <si>
    <t>L-1541-315491892</t>
  </si>
  <si>
    <t>1066961506</t>
  </si>
  <si>
    <t>Bö M 310</t>
  </si>
  <si>
    <t>Bö M 310</t>
  </si>
  <si>
    <t>MARSILII|| FICINI FLOREN=||TINI MEDICI ATQVE PHI=||losophi celeberrimi,de Vita|| Libri tres,recens iam à men=||dis situ´q; uin=||dicati.|| QVORVM|| Pr</t>
  </si>
  <si>
    <t>ggf.</t>
  </si>
  <si>
    <t xml:space="preserve">
wegen Kette</t>
  </si>
  <si>
    <t>Kettenband</t>
  </si>
  <si>
    <t>L-9999-414284445</t>
  </si>
  <si>
    <t>1137971126</t>
  </si>
  <si>
    <t>Bö M 311</t>
  </si>
  <si>
    <t>L-1572-315494085</t>
  </si>
  <si>
    <t>1066963886</t>
  </si>
  <si>
    <t>Bö M 312</t>
  </si>
  <si>
    <t>Bö M 312</t>
  </si>
  <si>
    <t>PLVTARCHI|| CHAERONENSIS|| MORALIA, quae vsurpantur. sunt autem om-||nis elegantis doctrinae PENVS ... OMNES DE GRAECA IN LATINAM|| linguam transscrip</t>
  </si>
  <si>
    <t>L-1777-181198746</t>
  </si>
  <si>
    <t>1003929710</t>
  </si>
  <si>
    <t>Bö M 313/8°</t>
  </si>
  <si>
    <t>Bö M 313/8°</t>
  </si>
  <si>
    <t xml:space="preserve">Belisario del Signor Marmontel : </t>
  </si>
  <si>
    <t>Umschlag (empfindl. Einband)</t>
  </si>
  <si>
    <t>L-1523-18111612X</t>
  </si>
  <si>
    <t>1003867197</t>
  </si>
  <si>
    <t>Bö M 314/8°</t>
  </si>
  <si>
    <t>Bö M 314/8°</t>
  </si>
  <si>
    <t xml:space="preserve">Cl. Claudiani Opera qvam diligentissime castigata, qvorum indicem in seqventi pagina reperies : </t>
  </si>
  <si>
    <t>45/0</t>
  </si>
  <si>
    <t xml:space="preserve">
vergoldetes Leder im Falz  gefährdet (trotzt 45° und Rest.), Digit. nur mit Textverlust, --&gt; gleich lassen</t>
  </si>
  <si>
    <t>niederkleben und überfangen, Umschlag anfertigen</t>
  </si>
  <si>
    <t>L-9999-414745310</t>
  </si>
  <si>
    <t>1138239631</t>
  </si>
  <si>
    <t>Bö M 315</t>
  </si>
  <si>
    <t xml:space="preserve">Sammelband mit zwei Versionen der Rudimenta cosmographica von Johannes Honterus : </t>
  </si>
  <si>
    <t>nur das Nötigste, Spiegel und Deckel nicht verkleben, damit Deckelpappenmakulatur sichtbar bleibt</t>
  </si>
  <si>
    <t>L-1575-181116030</t>
  </si>
  <si>
    <t>1003867146</t>
  </si>
  <si>
    <t>Bö M 316/8°</t>
  </si>
  <si>
    <t>Bö M 316/8°</t>
  </si>
  <si>
    <t>Hercvlis Ciofani Svlmonensis in P. Ovidii Nasonis Metamorphosin ex XVII antiquis libris : Observationes, quibus loci quampluri &amp; emendantur, &amp; aliorum</t>
  </si>
  <si>
    <t>Schrift bis in den Falz, fester Rücken mit Schmuckprägung</t>
  </si>
  <si>
    <t>Deckel mit JP-Falz im inneren Gelenk stabilisieren</t>
  </si>
  <si>
    <t>L-1790-181299984</t>
  </si>
  <si>
    <t>1003988865</t>
  </si>
  <si>
    <t>Bö M 317/8°</t>
  </si>
  <si>
    <t>Bö M 317/8°</t>
  </si>
  <si>
    <t>La @Valise decousue, ou recueil de lettres de différentes personnes, pour servir a lʹhistoire des insurrections de France, de Liége et des Pays-Bas</t>
  </si>
  <si>
    <t xml:space="preserve">Premiere partie : </t>
  </si>
  <si>
    <t>L-1790-181299992</t>
  </si>
  <si>
    <t>1003988873</t>
  </si>
  <si>
    <t xml:space="preserve">Seconde partie : </t>
  </si>
  <si>
    <t>L-1547-181275171</t>
  </si>
  <si>
    <t>1003964869</t>
  </si>
  <si>
    <t>Bö M 318/8°</t>
  </si>
  <si>
    <t>Bö M 318/8°</t>
  </si>
  <si>
    <t xml:space="preserve">De originibus rervm libellvs avthore Gulielmo Pastregico Veronense. In quo agitvr de scriptvris virorum illustrium. De fundatoribus Vrbium. De primis </t>
  </si>
  <si>
    <t>L-1509-315307641</t>
  </si>
  <si>
    <t>1066848548</t>
  </si>
  <si>
    <t>Bö M 319</t>
  </si>
  <si>
    <t>Bö M 319</t>
  </si>
  <si>
    <t>P. Favsti Andrelini Foroliuiensis, Poetae &amp; oratoris clarissimi, De virtutibus cum moralibus, tum intellectualibus, Carmen dignissimum. Eiusdem Elegia</t>
  </si>
  <si>
    <t>L-1511-18108435X</t>
  </si>
  <si>
    <t>1003855423</t>
  </si>
  <si>
    <t>Bö M 320/8°</t>
  </si>
  <si>
    <t>Bö M 320/8°</t>
  </si>
  <si>
    <t xml:space="preserve">Bulla monitorij apostolici: cōtra Tres Reuerendissimos Cardinales vt redeat ad obedientiā S. d.n. Pa. Ne scisma in ecclesia sancta dei orietur : </t>
  </si>
  <si>
    <t>Buchblock in zwei Teilen</t>
  </si>
  <si>
    <t>L-1559-181053365</t>
  </si>
  <si>
    <t>1003825710</t>
  </si>
  <si>
    <t>Bö M 321/8°</t>
  </si>
  <si>
    <t>Bö M 321/8°</t>
  </si>
  <si>
    <t>Antonii Augustini emendationum et opinionum lib. IIII : eiusdem ad modestinum ... liber singularis ; Item: Laelii Taurelli, ...</t>
  </si>
  <si>
    <t>Schrift bis in den Falz, stark brüchiges Einbandmaterial</t>
  </si>
  <si>
    <t>Teil aus Titelseite herausgeschnitten</t>
  </si>
  <si>
    <t>Umschlag (wg. Rücken)</t>
  </si>
  <si>
    <t>L-9999-417804725</t>
  </si>
  <si>
    <t>1139218913</t>
  </si>
  <si>
    <t>Bö M 322</t>
  </si>
  <si>
    <t>fester Rücken mit Schmuckprägung, welliger Buchblock, gefaltete Blätter, Mehrfacheinbände innerhalb eines Buches, stark brüchiges Einbandmaterial</t>
  </si>
  <si>
    <t>B: 16x21
F: 47x37</t>
  </si>
  <si>
    <t xml:space="preserve">
Falttafel muss ws. Extra auf 110° oder generell ablehnen</t>
  </si>
  <si>
    <t>wegen Rücken max. 45° öffnen --&gt; Tafel auf 110° muss extra gemacht werden (ganzer BB geht nicht auf 110, sind ca. 380 Seiten)</t>
  </si>
  <si>
    <t>Falttafel ist total kaputt</t>
  </si>
  <si>
    <t>L-1713-181275597</t>
  </si>
  <si>
    <t>1003965261</t>
  </si>
  <si>
    <t>Bö M 323/8°</t>
  </si>
  <si>
    <t>Bö M 323/8°</t>
  </si>
  <si>
    <t>De la vita di fra Niccolo' di Longobardi : religioso oblato professo de la provincia di San Francesco di Paola dell'Ordine de' Minimi</t>
  </si>
  <si>
    <t>L-1837-181145995</t>
  </si>
  <si>
    <t>1003895042</t>
  </si>
  <si>
    <t>Bö M 324/8°</t>
  </si>
  <si>
    <t>Bö M 324/8°</t>
  </si>
  <si>
    <t>Vermehrtes Kirchen- und Haus-Gesangbuch für Neu-Vorpommern und Rügen : Mit landesobrigkeitlicher Genehmigung ausgefertigt ; Nebst einem erbaulichen Ge</t>
  </si>
  <si>
    <t>L-1539-315489774</t>
  </si>
  <si>
    <t>1066959161</t>
  </si>
  <si>
    <t>Bö M 325</t>
  </si>
  <si>
    <t>Bö M 325</t>
  </si>
  <si>
    <t xml:space="preserve">IANI PAR-||RHASII NEAPOLITANI|| ... in CL. Claudiani de Raptu Proserpinae libros|| Cõmentarius longè eruditissimus ...|| Acceßit praeterea et autoris </t>
  </si>
  <si>
    <t>L-1575-315494395</t>
  </si>
  <si>
    <t>1066964173</t>
  </si>
  <si>
    <t>Bö M 326</t>
  </si>
  <si>
    <t>Bö M 326</t>
  </si>
  <si>
    <t>CAROLI SIGONII|| HISTORIARVM|| DE|| REGNO ITALIAE|| Libri Quindecim,|| AD|| ILLVSTRISS. ATQ. EXCEL-||LENTISS. D. IACOBVM BON-||COMPAGNVM, Generalem S.</t>
  </si>
  <si>
    <t>L-1539-315324422</t>
  </si>
  <si>
    <t>1066866198</t>
  </si>
  <si>
    <t>Bö M 327</t>
  </si>
  <si>
    <t>Bö M 327</t>
  </si>
  <si>
    <t xml:space="preserve">Arte pa ser=||uir a dios. Cō||puesta por fray|| Alonso de ma=||drid. Con sus|| adiciones.|| : </t>
  </si>
  <si>
    <t>L-1609-181273578</t>
  </si>
  <si>
    <t>1003963242</t>
  </si>
  <si>
    <t>Bö M 328</t>
  </si>
  <si>
    <t>Bö M 328</t>
  </si>
  <si>
    <t>Officivm Beatæ Mariæ virginis, Pii V. Pont. Max. iussu editum : nunc pluribus quam hactenus vmquam figuris æneis illustratum</t>
  </si>
  <si>
    <t>Semé-Einband</t>
  </si>
  <si>
    <t>L-1698-181117827</t>
  </si>
  <si>
    <t>1003868509</t>
  </si>
  <si>
    <t>Bö M 329/8°</t>
  </si>
  <si>
    <t>Bö M 329/8°</t>
  </si>
  <si>
    <t>Dispunctio notarum quadraginta quas scriptor anonymus eminentissimi card. Caelestini Sfondrati libro, cui titulus: Nodus praedestinationis, quantum ho</t>
  </si>
  <si>
    <t>L-1502-180649434</t>
  </si>
  <si>
    <t>1003801404</t>
  </si>
  <si>
    <t>Bö M 330/8°</t>
  </si>
  <si>
    <t>Bö M 330/8°</t>
  </si>
  <si>
    <t xml:space="preserve">Casus longi super institutis  : </t>
  </si>
  <si>
    <t>Restaurierleder bereits wieder kaputt</t>
  </si>
  <si>
    <t>am Rücken fixieren und mit JP überfangen</t>
  </si>
  <si>
    <t>L-1695-181051753</t>
  </si>
  <si>
    <t>1003824404</t>
  </si>
  <si>
    <t>Bö M 331/8°</t>
  </si>
  <si>
    <t>Bö M 331/8°</t>
  </si>
  <si>
    <t>Calendarium Tyrnaviense ad annum Christi 1696 : bissextilem ad Meridianum Tyrnaviensem, ad Elevationem Poli 48. Graduum ;  in usum Hungariae, et vicin</t>
  </si>
  <si>
    <t>VD/RD</t>
  </si>
  <si>
    <t>Deckelpappen stabilieren, ggf. mit JP die Kanten einfassen; Rücken fixieren; "zur Not" nur Umschlag und so digitalisieren</t>
  </si>
  <si>
    <t>L-1580-181276259</t>
  </si>
  <si>
    <t>1003965865</t>
  </si>
  <si>
    <t>Bö M 332/8°</t>
  </si>
  <si>
    <t>Bö M 332/8°</t>
  </si>
  <si>
    <t>Ad invictissimvm, ac aeque gloriosissimum &amp; sacratis. Monarcham, Diuu, D. Rvdolphvm II ... Vincentij Pistalocij ... in bellico ... contra immanissimum</t>
  </si>
  <si>
    <t>Ecken unten stabilisieren ggf. einfassen, Rücken oben und unten mit JP unterlegen/ergänzen</t>
  </si>
  <si>
    <t>L-1520-315208724</t>
  </si>
  <si>
    <t>1066787298</t>
  </si>
  <si>
    <t>Bö M 333</t>
  </si>
  <si>
    <t>Bö M 333</t>
  </si>
  <si>
    <t>PROVERBIA SA/||LOMONIS.|| PRAEFATIO IN AEDI||tionem Parabolarũ Fra||tris Conradi pelicani|| minoritae.|| EPITOME HEBRAI-||cae grammaticae Fra/||tris S</t>
  </si>
  <si>
    <t>L-1580-315493976</t>
  </si>
  <si>
    <t>1066963762</t>
  </si>
  <si>
    <t>Bö M 334</t>
  </si>
  <si>
    <t>Bö M 334</t>
  </si>
  <si>
    <t>THOMAE|| LINACRI BRI-||TANNI DE EMENDATA|| STRVCTVRA LATINI SERMO-||nis libri VI. cum indicatione locorum|| vnde exempla ab autore ad-||ducta fuerunt,</t>
  </si>
  <si>
    <t>L-1580-315493844</t>
  </si>
  <si>
    <t>1066963606</t>
  </si>
  <si>
    <t>Bö M 335</t>
  </si>
  <si>
    <t>Bö M 335</t>
  </si>
  <si>
    <t>Trostbuch|| von Aufferstehung der|| Todten/ ewigem Leben vnd Se=||ligkeit/ wider alle heßliche anblick vnd|| Fronfest des Todtes vnd ewi=||ger verdamn</t>
  </si>
  <si>
    <t>Schrift bis in den Falz, erhabene Illuminationen, stark brüchiges Einbandmaterial</t>
  </si>
  <si>
    <t>Ecken und Deckelkanten stabilisieren, Gelenke belassen</t>
  </si>
  <si>
    <t>L-1576-181053993</t>
  </si>
  <si>
    <t>1003826288</t>
  </si>
  <si>
    <t>Bö M 336/8°</t>
  </si>
  <si>
    <t>Bö M 336/8°</t>
  </si>
  <si>
    <t xml:space="preserve">D. Aurelii Augustini Hipponensis episcopi liber de haeresibus, ad quodvultdeum : </t>
  </si>
  <si>
    <t>Schaden ist stabil genug</t>
  </si>
  <si>
    <t>L-1568-18127566X</t>
  </si>
  <si>
    <t>1003965326</t>
  </si>
  <si>
    <t>Bö M 337/8°</t>
  </si>
  <si>
    <t>Bö M 337/8°</t>
  </si>
  <si>
    <t>Philippvs Decivs in tit. ff. de regvlis ivris cum additionibus D. Hieronymi Cuchalon Hispani, vnaque recens analyticis adnotationibus D. Gabrielis Sar</t>
  </si>
  <si>
    <t>hohler Rücken, Einband mit Schutz- oder Stoßkanten, Schrift bis in den Falz, welliger Buchblock</t>
  </si>
  <si>
    <t>L-1669-419750495</t>
  </si>
  <si>
    <t>1140145185</t>
  </si>
  <si>
    <t>Bö M 338/8°</t>
  </si>
  <si>
    <t xml:space="preserve">Niederländische Bibel und weitere Werke : </t>
  </si>
  <si>
    <t>fester Rücken mit Schmuckprägung, Schrift bis in den Falz, welliger Buchblock, Mehrfacheinbände innerhalb eines Buches</t>
  </si>
  <si>
    <t>L-9999-414986245</t>
  </si>
  <si>
    <t>1138379638</t>
  </si>
  <si>
    <t>Bö M 339</t>
  </si>
  <si>
    <t xml:space="preserve">Sammelband mit zwei Werken von Esaias Heidenreich : </t>
  </si>
  <si>
    <t>loses Leder am RD fxieren, Spiegel fixieren</t>
  </si>
  <si>
    <t>L-1553-315492023</t>
  </si>
  <si>
    <t>106696162X</t>
  </si>
  <si>
    <t>Bö M 340</t>
  </si>
  <si>
    <t>Bö M 340</t>
  </si>
  <si>
    <t>De Originibus,|| SEV, DE VARIA ET PO/||tissimum orbi Latino ad hanc diem in/||cognita, aut incõsyderata historia, quu|| totius Orientis, tum maximè Ta</t>
  </si>
  <si>
    <t>L-1505-783236379</t>
  </si>
  <si>
    <t>1149377879</t>
  </si>
  <si>
    <t>Bö M 341</t>
  </si>
  <si>
    <t>10500,00 EUR</t>
  </si>
  <si>
    <t>wurde rest. und ist wegen schlechten Leder wieder kaputt, Digit. vor der Rest., aber Umschlag anfertigen; Rücken ablösen, neues Leder einfügen und histor. Rücken aufbringen oder: alte Rest. belassen und diese rest. (JP und Gewebefälze einfügen)</t>
  </si>
  <si>
    <t>Umschlag anfertigen für die Digit.</t>
  </si>
  <si>
    <t>L-1537-181114992</t>
  </si>
  <si>
    <t>1003866298</t>
  </si>
  <si>
    <t>Bö M 342/8</t>
  </si>
  <si>
    <t>Bö M 342/8</t>
  </si>
  <si>
    <t xml:space="preserve">Il @Libro del cortegiano del conte Baldesar Castiglione : </t>
  </si>
  <si>
    <t>L-1704-181083531</t>
  </si>
  <si>
    <t>1003854648</t>
  </si>
  <si>
    <t>Bö M 343/8°</t>
  </si>
  <si>
    <t>Bö M 343/8°</t>
  </si>
  <si>
    <t>Catalogue raisonné de la librairie d'Etienne de Bourdeaux</t>
  </si>
  <si>
    <t>L-1508-181207214</t>
  </si>
  <si>
    <t>1003937853</t>
  </si>
  <si>
    <t>Bö M 344/8° - Fragm.</t>
  </si>
  <si>
    <t>Bö M 344/8° - Fragm.</t>
  </si>
  <si>
    <t>Singularia plurimorum doctorum : (ex utroque iure)</t>
  </si>
  <si>
    <t>Box (Teile des BB rausgeschnitten)</t>
  </si>
  <si>
    <t>L-1608-18119855X</t>
  </si>
  <si>
    <t>1003929516</t>
  </si>
  <si>
    <t>Bö M 345/8°</t>
  </si>
  <si>
    <t>Bö M 345/8°</t>
  </si>
  <si>
    <t xml:space="preserve">Mare libervm sive de ivre qvod Batavis competit ad Indicana commercia dissertatio : </t>
  </si>
  <si>
    <t>Signaturfahne austauschen, Nein</t>
  </si>
  <si>
    <t>L-1567-315295511</t>
  </si>
  <si>
    <t>1066835551</t>
  </si>
  <si>
    <t>Bö M 346</t>
  </si>
  <si>
    <t>Bö M 346</t>
  </si>
  <si>
    <t xml:space="preserve">C. SALLVSTII CRISPI|| CONIVRATIO CATILINAE|| ET BELLVM IVGVRTHINVM|| FRAGMENTA|| eiusdem historiarum, e scriptorib. antiquis ab : </t>
  </si>
  <si>
    <t>L-1546-181115344</t>
  </si>
  <si>
    <t>1003866638</t>
  </si>
  <si>
    <t>Bö M 347/8°</t>
  </si>
  <si>
    <t>Bö M 347/8°</t>
  </si>
  <si>
    <t>M[arci] T[ulii] Ciceroni Epistolae ad Atticum, Brutum et Quintum Fratem : ex diversorum exemplarium, praecipuè Victorii ac Manutii, collatione dillige</t>
  </si>
  <si>
    <t xml:space="preserve">
ws. 30° ÖW</t>
  </si>
  <si>
    <t>L-1550-181207753</t>
  </si>
  <si>
    <t>1003938426</t>
  </si>
  <si>
    <t>Bö M 348/8°</t>
  </si>
  <si>
    <t>Bö M 348/8°</t>
  </si>
  <si>
    <t>CORONA=||TIO CAROLI .V.|| CAESARIS AVG. APVD|| AQVISGRANVM,|| PER|| Hartmannum Maurum Hermanni Archiepiscopi|| Colonien. Consiliarium, qui ei coronati</t>
  </si>
  <si>
    <t>L-1530-181282836</t>
  </si>
  <si>
    <t>1003972322</t>
  </si>
  <si>
    <t>Bö M 349</t>
  </si>
  <si>
    <t>Bö M 349</t>
  </si>
  <si>
    <t xml:space="preserve">ELEGIA|| DE ADVENTV|| CAROLI.V.|| CAESA=||RIS.|| ADDITAE PRAETE=||rea Elegiae duae.||(ELEGIA|| AD ILLVSTREM PRINCI=||pem ac Dominum D.Magnum Du=||cem </t>
  </si>
  <si>
    <t>L-1528-315082046</t>
  </si>
  <si>
    <t>1066694478</t>
  </si>
  <si>
    <t>Bö M 350</t>
  </si>
  <si>
    <t>Bö M 350</t>
  </si>
  <si>
    <t>HELII EO||BANI HESSI|| DE TVMVLTIBVS|| Horum temporum|| Querela.|| Priscorum temporum cum nostris Collatio.|| Omnium Regnorum Europae mutatio.|| Bellu</t>
  </si>
  <si>
    <t>Buchblock nicht aufgeschnitten</t>
  </si>
  <si>
    <t xml:space="preserve">
geschlossene Lagen</t>
  </si>
  <si>
    <t xml:space="preserve">x Buntpapier mit Gewebe kaschiert </t>
  </si>
  <si>
    <t>L-1535-167648470</t>
  </si>
  <si>
    <t>999175041</t>
  </si>
  <si>
    <t>Bö M 351</t>
  </si>
  <si>
    <t>Bö M 351</t>
  </si>
  <si>
    <t>CONTENTA|| IN HOCCE LIBELLO|| : DE PROSODIA NVPER AB IPSO|| autore Philippo Melanchthone aucta|| atq. Recognita|| DE RATIONE SYLLABARVM|| breuis Isago</t>
  </si>
  <si>
    <t>L-1642-181115530</t>
  </si>
  <si>
    <t>1003866751</t>
  </si>
  <si>
    <t>Bö M 352/8°</t>
  </si>
  <si>
    <t>Bö M 352</t>
  </si>
  <si>
    <t>Bö M 352/8°</t>
  </si>
  <si>
    <t xml:space="preserve">M. Tullii Ciceronis scriptorvm Fragmenta : </t>
  </si>
  <si>
    <t>L-1590-421189681</t>
  </si>
  <si>
    <t>1140935909</t>
  </si>
  <si>
    <t>Bö M 353/8°</t>
  </si>
  <si>
    <t xml:space="preserve">Sammelband mit zwei Werken von Denis Godefroy : </t>
  </si>
  <si>
    <t>L-1676-181116200</t>
  </si>
  <si>
    <t>1003867243</t>
  </si>
  <si>
    <t>Bö M 354/8°</t>
  </si>
  <si>
    <t>Bö M 354/8°</t>
  </si>
  <si>
    <t xml:space="preserve">Relation du voiage de Brême, en vers burlesques; dediée à monsieur Besson : </t>
  </si>
  <si>
    <t>L-1570-315464453</t>
  </si>
  <si>
    <t>1066936625</t>
  </si>
  <si>
    <t>Bö M 355</t>
  </si>
  <si>
    <t>Bö M 355</t>
  </si>
  <si>
    <t xml:space="preserve">Ein @new|| Betbüchlin|| Des seligen vnd tew=||ren Mans GOTtes|| Doctoris Martini|| Lutheri.|| Aus seinen eigen Geist=||trost vnd Lebendigen wor=||ten </t>
  </si>
  <si>
    <t>Box (vorhandene Kassette zu eng)</t>
  </si>
  <si>
    <t>L-1810-180652788</t>
  </si>
  <si>
    <t>011910828</t>
  </si>
  <si>
    <t>Bö M 356/8°</t>
  </si>
  <si>
    <t>Almanach de l'Université Impériale : année ..</t>
  </si>
  <si>
    <t>L-1810-421194324</t>
  </si>
  <si>
    <t>1140942557</t>
  </si>
  <si>
    <t>Bö M 356/8° - 1810</t>
  </si>
  <si>
    <t>Almanach de l'Université Impériale</t>
  </si>
  <si>
    <t xml:space="preserve">Annee 1810 : </t>
  </si>
  <si>
    <t>L-1810-421194480</t>
  </si>
  <si>
    <t>1140942786</t>
  </si>
  <si>
    <t>Bö M 356/8° - 1811</t>
  </si>
  <si>
    <t xml:space="preserve">Annee 1811 : </t>
  </si>
  <si>
    <t>L-1810-42119457X</t>
  </si>
  <si>
    <t>114094293X</t>
  </si>
  <si>
    <t>Bö M 356/8° - 1812</t>
  </si>
  <si>
    <t xml:space="preserve">Annee 1812 : </t>
  </si>
  <si>
    <t>L-1582-18130029X</t>
  </si>
  <si>
    <t>100398925X</t>
  </si>
  <si>
    <t>Bö M 357/8°</t>
  </si>
  <si>
    <t>Bö M 357/8°</t>
  </si>
  <si>
    <t xml:space="preserve">[Güldenes Betbüchlein] : </t>
  </si>
  <si>
    <t>Seiten herausgerissen</t>
  </si>
  <si>
    <t>L-1801-42119958X</t>
  </si>
  <si>
    <t>1140949446</t>
  </si>
  <si>
    <t>Bö M 358/8°</t>
  </si>
  <si>
    <t>Bö M 358/8°</t>
  </si>
  <si>
    <t>Der @breslauische  Erzähler</t>
  </si>
  <si>
    <t>2.1801 : Zweyter Jahrgang, 1stes und 2tes Quartal</t>
  </si>
  <si>
    <t>L-1800-181129477</t>
  </si>
  <si>
    <t>01631526X</t>
  </si>
  <si>
    <t>Der @breslauische  Erzähler : eine Wochenschrift</t>
  </si>
  <si>
    <t>L-1552-181208679</t>
  </si>
  <si>
    <t>1003939422</t>
  </si>
  <si>
    <t>Bö M 359/8°</t>
  </si>
  <si>
    <t>Bö M 359/8°</t>
  </si>
  <si>
    <t>Grammatica Philippi Melanchthonis recogn. et locupletata : accessit tractatus de orthographia recens</t>
  </si>
  <si>
    <t>fester Rücken mit Schmuckprägung, welliger Buchblock, Schrift bis in den Falz</t>
  </si>
  <si>
    <t>L-1585-315307986</t>
  </si>
  <si>
    <t>1066848920</t>
  </si>
  <si>
    <t>Bö M 360</t>
  </si>
  <si>
    <t>Bö M 360</t>
  </si>
  <si>
    <t>GF</t>
  </si>
  <si>
    <t xml:space="preserve">D. MELCHIORIS|| CANI, EPIS=||COPI CANARIEN=||SIS, ORDINIS PRAEDICATO-||RVM...|| LOCORVM THEOLOGICO-//RVM LIBRI DVODECIM.|| ...|| : </t>
  </si>
  <si>
    <t>hohler Rücken, Einband mit Schutz- oder Stoßkanten, Schrift bis in den Falz</t>
  </si>
  <si>
    <t>Origianleinband liegt bei (steht deshalb bei GF)</t>
  </si>
  <si>
    <t>L-1587-181280027</t>
  </si>
  <si>
    <t>1003969526</t>
  </si>
  <si>
    <t>Bö M 361/8°</t>
  </si>
  <si>
    <t>Bö M 361/8°</t>
  </si>
  <si>
    <t>Epitheta Joannis Ravisii Textoris Nivernensis : Accesserunt De Prosodia, libri 4 ; Item, de Carminibus ad veterum imitationem .. collecta a Georgio Sa</t>
  </si>
  <si>
    <t>geringer Schimmelbefall, keine Gefahr</t>
  </si>
  <si>
    <t>Box (sperrt extrem)</t>
  </si>
  <si>
    <t>L-1544-315321083</t>
  </si>
  <si>
    <t>1066862508</t>
  </si>
  <si>
    <t>Bö M 362</t>
  </si>
  <si>
    <t>Bö M 362</t>
  </si>
  <si>
    <t xml:space="preserve">M. FABII|| QVINTILIANI|| INSTITVTIONVM|| ORATORIARVM|| LIBRI XII.|| Summa diligentia ad fidem uetustissimorum|| codicum recogniti ac restituti.|| Cum </t>
  </si>
  <si>
    <t>L-1515-181286270</t>
  </si>
  <si>
    <t>1003975550</t>
  </si>
  <si>
    <t>Bö M 363</t>
  </si>
  <si>
    <t>Bö M 363</t>
  </si>
  <si>
    <t xml:space="preserve">LUcij Annei se||nece poete Cordubensis Hercu=||les furens.|| ...|| : </t>
  </si>
  <si>
    <t>L-1512-181154374</t>
  </si>
  <si>
    <t>1003903347</t>
  </si>
  <si>
    <t>Bö M 364/8°</t>
  </si>
  <si>
    <t>Bö M 364/8°</t>
  </si>
  <si>
    <t>QVINTI HORACII FLACCI DE DIVINA|| Poetarum Arte, non minus elegans ~#[qui] omni|| eruditione refertum opus ad Pisones|| cunctis ad prime necessarium.|</t>
  </si>
  <si>
    <t>L-1650-181115212</t>
  </si>
  <si>
    <t>1003866514</t>
  </si>
  <si>
    <t>Bö M 365/8°</t>
  </si>
  <si>
    <t>Bö M 365/8°</t>
  </si>
  <si>
    <t>Lo @specchio vstorio del P. F. Bonauentura Caualieri Giesuato overo trattato delle settioni coniche : e di alcuni loro mirabili effetti Intorno al lum</t>
  </si>
  <si>
    <t xml:space="preserve">
flexibler Kartonumschlag mit Einschlägen (Interim)</t>
  </si>
  <si>
    <t>B: 16,5x23,0
F: 16,5x29,0</t>
  </si>
  <si>
    <t>keine klassische Falttafel, sondern Heft, dass in Rückumschlag eingeklebt ist</t>
  </si>
  <si>
    <t>L-1776-181285894</t>
  </si>
  <si>
    <t>1003975178</t>
  </si>
  <si>
    <t>Bö M 366</t>
  </si>
  <si>
    <t>Bö M 366</t>
  </si>
  <si>
    <t>De Anima brutorum commentaria : curiosum nobis natura ingenium dedit (Seneca de Vita Beata Cap. 32)</t>
  </si>
  <si>
    <t>7500,00 EUR</t>
  </si>
  <si>
    <t>L-1780-181279770</t>
  </si>
  <si>
    <t>1003969240</t>
  </si>
  <si>
    <t>Bö M 367/8°</t>
  </si>
  <si>
    <t>Bö M 367/8°</t>
  </si>
  <si>
    <t>Andromaque : tragédie-lyrique, en trois actes</t>
  </si>
  <si>
    <t>L-1502-315194421</t>
  </si>
  <si>
    <t>1066772037</t>
  </si>
  <si>
    <t>Bö M 368</t>
  </si>
  <si>
    <t>Bö M 368</t>
  </si>
  <si>
    <t xml:space="preserve">DJalogus fra=||tris Rutgeri Sycambri canonici regu=||laris De quantitate syllabaru.|| cum paucis carminib#[us]|| adiunctis in=||choat.|| : </t>
  </si>
  <si>
    <t>L-1872-181193663</t>
  </si>
  <si>
    <t>1003925251</t>
  </si>
  <si>
    <t>Bö M 369/8°</t>
  </si>
  <si>
    <t>Bö M 369/8°</t>
  </si>
  <si>
    <t>De @Legende van den Geusen Troubele over Zeelant ... : 1572 Ende 1573 door een roomsch Catholyk Tijdgenoot</t>
  </si>
  <si>
    <t>L-9999-414171632</t>
  </si>
  <si>
    <t>1137889500</t>
  </si>
  <si>
    <t>Bö M 370</t>
  </si>
  <si>
    <t xml:space="preserve">Sammelband Amtsdrucksachen Augsburg, 16. Jahrhundert : </t>
  </si>
  <si>
    <t>Bö M 371</t>
  </si>
  <si>
    <t>Hss., Tintenfraß in z.Z. unbedenklichen Zustand</t>
  </si>
  <si>
    <t>L-1510-181189321</t>
  </si>
  <si>
    <t>1003921310</t>
  </si>
  <si>
    <t>Bö M 372/8°</t>
  </si>
  <si>
    <t>Bö M 372/8°</t>
  </si>
  <si>
    <t xml:space="preserve">Institutiones imperiales : </t>
  </si>
  <si>
    <t>L-1502-181273314</t>
  </si>
  <si>
    <t>1003962998</t>
  </si>
  <si>
    <t>Bö M 373</t>
  </si>
  <si>
    <t>Bö M 373</t>
  </si>
  <si>
    <t>Arbo#[rum] triu con=||sanguinitatis. affinitatis. co=||gnatõis#[que] spualis lectura notatu digna Magistri benemeri||ti Nicasij de woerda bonaru artiu</t>
  </si>
  <si>
    <t>L-1804-181115484</t>
  </si>
  <si>
    <t>1003866743</t>
  </si>
  <si>
    <t>Bö M 374/8°</t>
  </si>
  <si>
    <t>Bö M 374/8°</t>
  </si>
  <si>
    <t>M[arci] T[ullii] Ciceronis et clarorum virorum Epistolae</t>
  </si>
  <si>
    <t xml:space="preserve">Vol. 1 : </t>
  </si>
  <si>
    <t>L-9999-42208624X</t>
  </si>
  <si>
    <t>1141698420</t>
  </si>
  <si>
    <t>Bö M 375</t>
  </si>
  <si>
    <t xml:space="preserve">Aufgelöster Sammelband : </t>
  </si>
  <si>
    <t>L-1640-180652478</t>
  </si>
  <si>
    <t>1003804330</t>
  </si>
  <si>
    <t>Bö M 375 - 1/8°</t>
  </si>
  <si>
    <t>L-1610-181145863</t>
  </si>
  <si>
    <t>1003894925</t>
  </si>
  <si>
    <t>Bö M 375 - 2/8°</t>
  </si>
  <si>
    <t>L-1643-181121557</t>
  </si>
  <si>
    <t>1003872034</t>
  </si>
  <si>
    <t>Bö M 375 - 3/8°</t>
  </si>
  <si>
    <t>L-1620-181122804</t>
  </si>
  <si>
    <t>1003873111</t>
  </si>
  <si>
    <t>Bö M 375 - 4/8°</t>
  </si>
  <si>
    <t>L-1635-181152894</t>
  </si>
  <si>
    <t>1003901972</t>
  </si>
  <si>
    <t>Bö M 375 - 5/8°</t>
  </si>
  <si>
    <t>L-1552-315492619</t>
  </si>
  <si>
    <t>1066962219</t>
  </si>
  <si>
    <t>Bö M 376/8°</t>
  </si>
  <si>
    <t>Bö M 376/8°</t>
  </si>
  <si>
    <t xml:space="preserve">Eine @predigte von Chri=||sti/ vnd vnserem Creutze. Jtem/ wie man|| von Christo dem rechten artzte/ beiderley ge=||sundheit an leib vnd seel erlangen </t>
  </si>
  <si>
    <t>L-1718-180649213</t>
  </si>
  <si>
    <t>1003801153</t>
  </si>
  <si>
    <t>Bö M 377/8°</t>
  </si>
  <si>
    <t>Bö M 377/8°</t>
  </si>
  <si>
    <t xml:space="preserve">Matthiae Belii de vetere Litteratvra hunno-scythica exercitatio : </t>
  </si>
  <si>
    <t>L-1851-181298775</t>
  </si>
  <si>
    <t>1003987656</t>
  </si>
  <si>
    <t>Bö M 378/8°</t>
  </si>
  <si>
    <t>Bö M 378/8°</t>
  </si>
  <si>
    <t xml:space="preserve">Petit Traité théorique et pratique du style en général de lʹart épistolaire et de la narration suivi des éléments de droit civil et commercial : </t>
  </si>
  <si>
    <t>L-1527-315494239</t>
  </si>
  <si>
    <t>1066964025</t>
  </si>
  <si>
    <t>Bö M 379</t>
  </si>
  <si>
    <t>Bö M 379</t>
  </si>
  <si>
    <t>VITA|| HONESTA, SIVE VIRTV=||tis, quomodo quisq; uiuere debeat,|| omni aetate, omni tempore, et|| quolibet loco, erga deum|| et homnes.|| AVTORE HERMA</t>
  </si>
  <si>
    <t>Deckel nur mit Japanpapierstreifen im Buchblock fixieren --&gt; Minimaleingriff</t>
  </si>
  <si>
    <t>L-1550-406957541</t>
  </si>
  <si>
    <t>1132640172</t>
  </si>
  <si>
    <t>Bö M 380</t>
  </si>
  <si>
    <t>Bö M 380</t>
  </si>
  <si>
    <t>Biblia Graeca et Latina... Pars ...</t>
  </si>
  <si>
    <t>3. : Bibliorvm Graecorvm Latinorvm'Qve Pars Tertia, continens Hesaiam...</t>
  </si>
  <si>
    <t>L-9999-41483643X</t>
  </si>
  <si>
    <t>1138319503</t>
  </si>
  <si>
    <t>Bö M 381</t>
  </si>
  <si>
    <t>Einband mit Schutz- oder Stoßkanten</t>
  </si>
  <si>
    <t>L-1559-315492090</t>
  </si>
  <si>
    <t>1066961697</t>
  </si>
  <si>
    <t>Bö M 382</t>
  </si>
  <si>
    <t>Bö M 382</t>
  </si>
  <si>
    <t>CAESARES ROMANI|| ILLVSTRIS=||SIMO PRINCIPI AC|| DOMINO DOMINO SIGISMVNDO|| Archiepiscopo Magdeburgensi &amp;|| Marchioni Brandeburgen=||si in institution</t>
  </si>
  <si>
    <t>L-1535-315494174</t>
  </si>
  <si>
    <t>1066963967</t>
  </si>
  <si>
    <t>Bö M 383</t>
  </si>
  <si>
    <t>Bö M 383</t>
  </si>
  <si>
    <t xml:space="preserve">LOCI|| COMMVNES THE=||OLOGICI RECENS collecti &amp; recogniti a|| Philippo Me=||lanthone.|| : </t>
  </si>
  <si>
    <t>L-9999-422697222</t>
  </si>
  <si>
    <t>1142180042</t>
  </si>
  <si>
    <t>Bö M 384/8°</t>
  </si>
  <si>
    <t xml:space="preserve">Sammelband mit zwei Bibelausgaben, herausgegeben von Christian Reineccius : </t>
  </si>
  <si>
    <t>L-1538-181145758</t>
  </si>
  <si>
    <t>1003894852</t>
  </si>
  <si>
    <t>Bö M 385/8°</t>
  </si>
  <si>
    <t>Bö M 385/8°</t>
  </si>
  <si>
    <t>AVLI GEL-||LII LVCVLEN-||TISSIMI SCRI=||PTORIS,|| NOCTES ATTICAE.|| ACCESSERVNT ERVDITIS=||simi uiri Petri Mosellani in easdem perdoctae anno||tatione</t>
  </si>
  <si>
    <t>L-1512-181206765</t>
  </si>
  <si>
    <t>100393739X</t>
  </si>
  <si>
    <t>Bö M 386/8°</t>
  </si>
  <si>
    <t>Bö M 386/8°</t>
  </si>
  <si>
    <t xml:space="preserve">Margarita decreti seu tabula martiniana decreti : </t>
  </si>
  <si>
    <t>L-9999-414986377</t>
  </si>
  <si>
    <t>1138379905</t>
  </si>
  <si>
    <t>Bö M 387</t>
  </si>
  <si>
    <t xml:space="preserve">
Lederband mit Vorderklappe</t>
  </si>
  <si>
    <t xml:space="preserve">
max. ÖW 45°, aber Klappe lässt sich nicht planlegen, deshalb 0°</t>
  </si>
  <si>
    <t>L-1500-181068176</t>
  </si>
  <si>
    <t>1003839444</t>
  </si>
  <si>
    <t>Bö M 388/8°</t>
  </si>
  <si>
    <t>Bö M 388/8°</t>
  </si>
  <si>
    <t>Dyt @synt die alre andechtlichtstē und verdienstlichsten ermanongē und gebete|| der hilggher frauwen Sent Brigitten|| van dem hilgen und seyr bitteren</t>
  </si>
  <si>
    <t>L-1595-185028101</t>
  </si>
  <si>
    <t>1005720320</t>
  </si>
  <si>
    <t>Bö M 389</t>
  </si>
  <si>
    <t>Bö M 389</t>
  </si>
  <si>
    <t xml:space="preserve">SPECVLVM : </t>
  </si>
  <si>
    <t>mit Blindmaterial</t>
  </si>
  <si>
    <t>L-9999-414174917</t>
  </si>
  <si>
    <t>1137896159</t>
  </si>
  <si>
    <t>Bö M 390</t>
  </si>
  <si>
    <t xml:space="preserve">Sammelband mit zwei Werken von Nathan Chyträus : </t>
  </si>
  <si>
    <t>L-1513-18128300X</t>
  </si>
  <si>
    <t>1003972462</t>
  </si>
  <si>
    <t>Bö M 391/8°</t>
  </si>
  <si>
    <t>Bö M 391/8°</t>
  </si>
  <si>
    <t>Meditationum libellus : ac orationum devotarum ; qui Anthidotarius anime dicitur ; cum Beati Bonaventure psalterio devoto impressus</t>
  </si>
  <si>
    <t>L-1546-315487186</t>
  </si>
  <si>
    <t>1066956502</t>
  </si>
  <si>
    <t>Bö M 392</t>
  </si>
  <si>
    <t>Bö M 392</t>
  </si>
  <si>
    <t xml:space="preserve">IVN. IVVE-||NALIS, ET AVLI|| PERSII FLACCI|| SATY-||RAE.|| : </t>
  </si>
  <si>
    <t>L-1778-18104255X</t>
  </si>
  <si>
    <t>1003815839</t>
  </si>
  <si>
    <t>Bö M 393/8°</t>
  </si>
  <si>
    <t>Bö M 393/8°</t>
  </si>
  <si>
    <t>Anakreontos ōdai : E mss. codd. et doctorum virorum conjecturis emendata</t>
  </si>
  <si>
    <t>L-1817-181300109</t>
  </si>
  <si>
    <t>013029088</t>
  </si>
  <si>
    <t>Bö M 394/8°</t>
  </si>
  <si>
    <t>Das @Veilchen : ein Taschenbuch für Freunde einer gemütlichen und erheiternden Lectüre</t>
  </si>
  <si>
    <t>L-1842-423122320</t>
  </si>
  <si>
    <t>1142569144</t>
  </si>
  <si>
    <t>Bö M 394/8° - 1842</t>
  </si>
  <si>
    <t>Das @Veilchen</t>
  </si>
  <si>
    <t>25.1842 : Fünf und zwanzigster Jahrgang 1842</t>
  </si>
  <si>
    <t xml:space="preserve">
Papierband mit Schließe</t>
  </si>
  <si>
    <t xml:space="preserve">
wegen Schaden (Vorderdeckel lose)</t>
  </si>
  <si>
    <t>ja nach</t>
  </si>
  <si>
    <t>Vorderdeckel lose, für Digit. belassen, weil das Buch so gut auf geht</t>
  </si>
  <si>
    <t xml:space="preserve">Deckel bzw. "erste" Lage mittels Japanpapierfalz befestigen, gelöstes Papier im Falzbereich zurückkleben und ggf. überfangen (schauen, was das Buch öffnungstechnisch während der Rest. macht) </t>
  </si>
  <si>
    <t>L-1549-181117630</t>
  </si>
  <si>
    <t>1003868339</t>
  </si>
  <si>
    <t>Bö M 395/8°</t>
  </si>
  <si>
    <t>Bö M 395/8°</t>
  </si>
  <si>
    <t xml:space="preserve">Dionysii Halicarnassei Antiqvitatum, siue originum Romanarum, libri X : </t>
  </si>
  <si>
    <t>L-1546-424292033</t>
  </si>
  <si>
    <t>114363148X</t>
  </si>
  <si>
    <t>Bö M 396/8°</t>
  </si>
  <si>
    <t xml:space="preserve">Sammelband mit zwei Lyoneser Drucken von Sebastian Gryphius : </t>
  </si>
  <si>
    <t>L-1661-181192217</t>
  </si>
  <si>
    <t>1003923860</t>
  </si>
  <si>
    <t>Bö M 397/8°</t>
  </si>
  <si>
    <t>Bö M 397/8°</t>
  </si>
  <si>
    <t>L. Coelii Lactantii Firmiani diuinarū Institutionū lib. VII : De ira Dei Liber I; De opificio Dei  Liber I; Epitome in libros suos, liber acephalos; C</t>
  </si>
  <si>
    <t>L-1695-181277425</t>
  </si>
  <si>
    <t>1003966950</t>
  </si>
  <si>
    <t>Bö M 398/8°</t>
  </si>
  <si>
    <t>Bö M 398/8°</t>
  </si>
  <si>
    <t>Christ-begieriger Sterbens-Sinn in den Himmel zu Christo hinNach Anleitung der Wort S. Pauli Phil. 1. vers. 23. ... Bey Volck-reicher Christlicher Lei</t>
  </si>
  <si>
    <t>Weißdruck auf schwarzem Papier</t>
  </si>
  <si>
    <t>Buchblock besteht aus schwarzem Papier mit hellem Druck</t>
  </si>
  <si>
    <t>L-9999-181117711</t>
  </si>
  <si>
    <t>100386841X</t>
  </si>
  <si>
    <t>Bö M 399 - Fragm.</t>
  </si>
  <si>
    <t>Bö M 399 - Fragm.</t>
  </si>
  <si>
    <t>Asperges me domine hysopo &amp; mundabor : [discantus]</t>
  </si>
  <si>
    <t>QF (20x16)</t>
  </si>
  <si>
    <t>L-9999-414175069</t>
  </si>
  <si>
    <t>1137896442</t>
  </si>
  <si>
    <t>Bö M 400</t>
  </si>
  <si>
    <t xml:space="preserve">Sammelband mit Werken antiker Autoren : </t>
  </si>
  <si>
    <t>L-1518-315191414</t>
  </si>
  <si>
    <t>1066768919</t>
  </si>
  <si>
    <t>Bö M 401</t>
  </si>
  <si>
    <t>Bö M 401</t>
  </si>
  <si>
    <t xml:space="preserve">Dialogvs Mythologicvs Bartolomaei Coloniensis dulcibus iocis, iucundis, salibus, concinnisque sententiis refertus atque diligenter elaboratus... : </t>
  </si>
  <si>
    <t>hohler Rücken, welliger Buchblock, erhabene Illuminationen, stark deformiertes Objekt</t>
  </si>
  <si>
    <t>Box (sperrt) (dünnes Buch --&gt; ggf. aufdicken</t>
  </si>
  <si>
    <t>L-1507-315205296</t>
  </si>
  <si>
    <t>1066783659</t>
  </si>
  <si>
    <t>Bö M 402</t>
  </si>
  <si>
    <t>Bö M 402</t>
  </si>
  <si>
    <t>Manuale beati Augustini|| de aspiratiõe hõis ad deũ|| Stimulus amoris beati|| Anselmi|| Soliloquium Jubileum|| beati Anselmi|| Anselmus super resoluti</t>
  </si>
  <si>
    <t xml:space="preserve">
flexibler Pg mit Schließenbändern, Neueinband</t>
  </si>
  <si>
    <t>L-1791-181116960</t>
  </si>
  <si>
    <t>1003867839</t>
  </si>
  <si>
    <t>Bö M 403</t>
  </si>
  <si>
    <t>Bö M 403</t>
  </si>
  <si>
    <t>La @Constitution française, décrétée par lʹAssemblée Nationale Constituante, aux années 1789, 1790 et 1791 : acceptée par le Roi le 14 septembre 1791</t>
  </si>
  <si>
    <t>L-1533-181139146</t>
  </si>
  <si>
    <t>1003888380</t>
  </si>
  <si>
    <t>Bö M 405/8°</t>
  </si>
  <si>
    <t>Bö M 405/8°</t>
  </si>
  <si>
    <t xml:space="preserve">Jo[annis] Ferrarii Montani Annotationes in institutiones Justiniani : </t>
  </si>
  <si>
    <t>nur Titelschild fixieren, Rest ist stabil</t>
  </si>
  <si>
    <t>L-9999-163503486</t>
  </si>
  <si>
    <t>998771511</t>
  </si>
  <si>
    <t>Bö M 406</t>
  </si>
  <si>
    <t>Bö M 406</t>
  </si>
  <si>
    <t xml:space="preserve">Mille et vltra priuilegia ecclesiarum et ecclesiasticarum personarum sub repetitione verius parte repetitione extrauag. Pauline de rebus eccle. alie. </t>
  </si>
  <si>
    <t xml:space="preserve">T. 6 : </t>
  </si>
  <si>
    <t>L-1821-181132540</t>
  </si>
  <si>
    <t>1003881777</t>
  </si>
  <si>
    <t>Bö M 407/8°</t>
  </si>
  <si>
    <t>Bö M 407/8°</t>
  </si>
  <si>
    <t xml:space="preserve">Per le Auguste Nozze di S. A. I. e R. il granduca Ferdinando di Toscana con S.A.R. la principessa Maria di Sassonia : </t>
  </si>
  <si>
    <t>Jurismappe, evtl. vergrößern</t>
  </si>
  <si>
    <t>L-1862-181272067</t>
  </si>
  <si>
    <t>1003961746</t>
  </si>
  <si>
    <t>Bö M 409/8°</t>
  </si>
  <si>
    <t>Bö M 409/8°</t>
  </si>
  <si>
    <t xml:space="preserve">Misal romano completo con un suplemento de los santos de España y otros reinos : </t>
  </si>
  <si>
    <t>L-1639-181278596</t>
  </si>
  <si>
    <t>1003968090</t>
  </si>
  <si>
    <t>Bö M 410</t>
  </si>
  <si>
    <t>Bö M 410</t>
  </si>
  <si>
    <t xml:space="preserve">Prophetae Isaias, Jeremias, Baruch, Ezechiel, Daniel, XII Minores; et Machabaeorum libri duo : </t>
  </si>
  <si>
    <t xml:space="preserve">x 60 </t>
  </si>
  <si>
    <t xml:space="preserve">
Neueinband, kleines 12°</t>
  </si>
  <si>
    <t>L-1814-181191296</t>
  </si>
  <si>
    <t>1003923070</t>
  </si>
  <si>
    <t>Bö M 411</t>
  </si>
  <si>
    <t>Bö M 411</t>
  </si>
  <si>
    <t>Die @Körners-Eiche und Die deutschen Frauen : zwei Gedichte</t>
  </si>
  <si>
    <t>L-1806-162281846</t>
  </si>
  <si>
    <t>996539239</t>
  </si>
  <si>
    <t>Bö M 412</t>
  </si>
  <si>
    <t>Bö M 412</t>
  </si>
  <si>
    <t>Noch ein Blümchen in Augustens Garten : Den 16. März 1806 ; [Gelegenheitsgedicht]</t>
  </si>
  <si>
    <t>L-1807-162280238</t>
  </si>
  <si>
    <t>996537732</t>
  </si>
  <si>
    <t>Bö M 413</t>
  </si>
  <si>
    <t>Bö M 413</t>
  </si>
  <si>
    <t>Ereignisse aus der neuesten Zeit : Ein Guckkastenspiel in 9 Aufzügen ; Vorgestellt den 20. September 1807 ; Gedruckt in diesem Jahre</t>
  </si>
  <si>
    <t>Kal</t>
  </si>
  <si>
    <t>L-1800-181275821</t>
  </si>
  <si>
    <t>1003965482</t>
  </si>
  <si>
    <t>Bö M 414</t>
  </si>
  <si>
    <t xml:space="preserve">Atlas topographique en XVI feuilles des environs de Paris à la distance de 8 Myriamètres : </t>
  </si>
  <si>
    <t>L-1583-181115182</t>
  </si>
  <si>
    <t>1003866476</t>
  </si>
  <si>
    <t>Bö M 415</t>
  </si>
  <si>
    <t>Bö M 415</t>
  </si>
  <si>
    <t>Catechismvs Romanvs, ex decreto Concilii Tridentini, &amp; Pii V. Pontificis Maximi iussu primum editus : nunc verò luculentis quaestionibus, ... distinct</t>
  </si>
  <si>
    <t>L-1813-783999585</t>
  </si>
  <si>
    <t>1262359368</t>
  </si>
  <si>
    <t>Bö M 416</t>
  </si>
  <si>
    <t>Grimmaisches Wochenblatt für Stadt und Land</t>
  </si>
  <si>
    <t xml:space="preserve">1.1813,29 (17.Juli) : </t>
  </si>
  <si>
    <t>L-1813-181302462</t>
  </si>
  <si>
    <t>016590341</t>
  </si>
  <si>
    <t xml:space="preserve">Grimmaisches Wochenblatt für Stadt und Land : </t>
  </si>
  <si>
    <t>L-1829-181298104</t>
  </si>
  <si>
    <t>1003987109</t>
  </si>
  <si>
    <t>Bö M 417</t>
  </si>
  <si>
    <t>Bö M 417</t>
  </si>
  <si>
    <t xml:space="preserve">The @Seasons : </t>
  </si>
  <si>
    <t>L-1830-181289598</t>
  </si>
  <si>
    <t>1003978576</t>
  </si>
  <si>
    <t>Bö M 418</t>
  </si>
  <si>
    <t>Bö M 418</t>
  </si>
  <si>
    <t xml:space="preserve">Gleanings from the works of Laurence Sterne : </t>
  </si>
  <si>
    <t>L-1835-181140810</t>
  </si>
  <si>
    <t>100389013X</t>
  </si>
  <si>
    <t>Bö M 419</t>
  </si>
  <si>
    <t>Bö M 419</t>
  </si>
  <si>
    <t xml:space="preserve">The @Works of Benjamin Franklin : </t>
  </si>
  <si>
    <t>L-1836-181186756</t>
  </si>
  <si>
    <t>1003919219</t>
  </si>
  <si>
    <t>Bö M 420</t>
  </si>
  <si>
    <t>Bö M 420</t>
  </si>
  <si>
    <t xml:space="preserve">Rasselas : </t>
  </si>
  <si>
    <t>L-1834-181068648</t>
  </si>
  <si>
    <t>1003839908</t>
  </si>
  <si>
    <t>Bö M 421</t>
  </si>
  <si>
    <t>Bö M 421</t>
  </si>
  <si>
    <t>Blumenkranz aus Deutschlands classischen Schriftstellern : eine geschmackvolle Sammlung von Aufsätzen in Stammbücher</t>
  </si>
  <si>
    <t>L-1839-181116162</t>
  </si>
  <si>
    <t>1003867219</t>
  </si>
  <si>
    <t>Bö M 422</t>
  </si>
  <si>
    <t>Bö M 422</t>
  </si>
  <si>
    <t>Vetter Michel : ein Capriccio</t>
  </si>
  <si>
    <t>L-1828-181302403</t>
  </si>
  <si>
    <t>100399136X</t>
  </si>
  <si>
    <t>Bö M 423</t>
  </si>
  <si>
    <t>Bö M 423</t>
  </si>
  <si>
    <t>Moralische Blätter : ein Andachtsbuch für Gebildete</t>
  </si>
  <si>
    <t>L-1835-181149907</t>
  </si>
  <si>
    <t>1003899099</t>
  </si>
  <si>
    <t>Bö M 424</t>
  </si>
  <si>
    <t>Bö M 424 - 1</t>
  </si>
  <si>
    <t>Grübels sämmtliche Werke</t>
  </si>
  <si>
    <t>1 : Enthaltend das erste und zweite Bändchen</t>
  </si>
  <si>
    <t>L-1835-181149931</t>
  </si>
  <si>
    <t>1003899129</t>
  </si>
  <si>
    <t>Bö M 424 - 2</t>
  </si>
  <si>
    <t>2 : Enthaltend das dritte und vierte Bändchen</t>
  </si>
  <si>
    <t>L-1835-181149990</t>
  </si>
  <si>
    <t>1003899196</t>
  </si>
  <si>
    <t>Bö M 424 - 3</t>
  </si>
  <si>
    <t>3 : Enthaltend das fünfte und sechste Bändchen</t>
  </si>
  <si>
    <t>L-1821-18119435X</t>
  </si>
  <si>
    <t>1003925898</t>
  </si>
  <si>
    <t>Bö M 425</t>
  </si>
  <si>
    <t>Bö M 425</t>
  </si>
  <si>
    <t xml:space="preserve">Neues Liederbuch für frohe Gesellschaften, enthaltend die besten teutschen Gesänge zur Erhöhung geselliger Freuden : </t>
  </si>
  <si>
    <t>L-1579-177066067</t>
  </si>
  <si>
    <t>1002340799</t>
  </si>
  <si>
    <t>Bö M 427</t>
  </si>
  <si>
    <t>Bö M 427</t>
  </si>
  <si>
    <t>Das @güldene Kleinot, das ist: Der Catechismus deß ehrwirdigen Herrn D. Mart. Lutheri, in kurtze Frage vnd Antwort gefasset, vnd der lieben Jugendt ei</t>
  </si>
  <si>
    <t>Aa</t>
  </si>
  <si>
    <t>L-1512-286692783</t>
  </si>
  <si>
    <t>1048070697</t>
  </si>
  <si>
    <t>Bö M 428 - Fragm.</t>
  </si>
  <si>
    <t>Bö M 428 - Fragm.</t>
  </si>
  <si>
    <t xml:space="preserve">Decretales d[omi]ni pape Gregorii noni : </t>
  </si>
  <si>
    <t>Insektenfraß am Fuß und Vorderkante sichern</t>
  </si>
  <si>
    <t>L-9999-287174336</t>
  </si>
  <si>
    <t>104834181X</t>
  </si>
  <si>
    <t>Bö M 429 - Fragm.</t>
  </si>
  <si>
    <t>Bö M 429 - Fragm</t>
  </si>
  <si>
    <t>Bö M 429 - Fragm</t>
  </si>
  <si>
    <t xml:space="preserve">[De insinuationibus] : </t>
  </si>
  <si>
    <t>L-1506-287417689</t>
  </si>
  <si>
    <t>104846525X</t>
  </si>
  <si>
    <t>Bö M 430 - Fragm.</t>
  </si>
  <si>
    <t>Bö M 430 - Fragm</t>
  </si>
  <si>
    <t>Bö M 430 - Fragm</t>
  </si>
  <si>
    <t xml:space="preserve">[Speciale missarum secundum chorum Bambergensem] : </t>
  </si>
  <si>
    <t>L-1505-29795475X</t>
  </si>
  <si>
    <t>1056823070</t>
  </si>
  <si>
    <t>Bö M 431 - Fragm.</t>
  </si>
  <si>
    <t>Bö M 431 - Fragm</t>
  </si>
  <si>
    <t>Bö M 431 - Fragm</t>
  </si>
  <si>
    <t xml:space="preserve">(Jncipit ordo missalis #[s]m cho||rum Constantieñ ...||) : </t>
  </si>
  <si>
    <t>Klemmsammlung</t>
  </si>
  <si>
    <t xml:space="preserve">Signaturgruppe Bö M </t>
  </si>
  <si>
    <t>Standorte</t>
  </si>
  <si>
    <t>Normalformate 4. OG R 43</t>
  </si>
  <si>
    <t>Großformate 4. OG R 37</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</si>
  <si>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</si>
  <si>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</si>
  <si>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</si>
  <si>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</si>
  <si>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</si>
  <si>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</si>
  <si>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</si>
  <si>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</si>
  <si>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"Bö_M". Diese worden mit Zebra versehen.</t>
  </si>
  <si>
    <t>zusätzlich Zebra in Signaturspalte eingefügt</t>
  </si>
  <si>
    <t>neue Tabellenblätter in die Mappe eingefügt (Infos zu dieser Mappe, Legende_Thomschke, Schäden_Einband, Schäden_Buchblock)</t>
  </si>
  <si>
    <t>relative Zellbezüge eingefügt (auf Bö_M,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</si>
  <si>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</si>
  <si>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</si>
  <si>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</si>
  <si>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</si>
  <si>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</si>
  <si>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</si>
  <si>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</si>
  <si>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</si>
  <si>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</si>
  <si>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</si>
  <si>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</si>
  <si>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</si>
  <si>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</si>
  <si>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</si>
  <si>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Einzelblätter</t>
  </si>
  <si>
    <t>Rücken</t>
  </si>
  <si>
    <t>fester Rücken</t>
  </si>
  <si>
    <t>fester Rücken mit Vergoldung</t>
  </si>
  <si>
    <t>hohler Rücken mit Einlage</t>
  </si>
  <si>
    <t>Ausstattung</t>
  </si>
  <si>
    <t>Kolorierung</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</si>
  <si>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</si>
  <si>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</si>
  <si>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</si>
  <si>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</si>
  <si>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</si>
  <si>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</si>
  <si>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</si>
  <si>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</si>
  <si>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</si>
  <si>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</si>
  <si>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</si>
  <si>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</si>
  <si>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t>
  </si>
  <si>
    <t>oben</t>
  </si>
  <si>
    <t>u</t>
  </si>
  <si>
    <t>unten</t>
  </si>
  <si>
    <t>Datentransferblatt für Bö M</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</si>
  <si>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</si>
  <si>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</si>
  <si>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</si>
  <si>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</si>
  <si>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</si>
  <si>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</si>
  <si>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</si>
  <si>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</si>
  <si>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</si>
  <si>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</si>
  <si>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</si>
  <si>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</si>
  <si>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</si>
  <si>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</si>
  <si>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</si>
  <si>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</si>
  <si>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</si>
  <si>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</si>
  <si>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</si>
  <si>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</si>
  <si>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</si>
  <si>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</si>
  <si>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</si>
  <si>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</si>
  <si>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</si>
  <si>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</si>
  <si>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</si>
  <si>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</si>
  <si>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</si>
  <si>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</si>
  <si>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</si>
  <si>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</si>
  <si>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max 180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</si>
  <si>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</si>
  <si>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</si>
  <si>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</si>
  <si>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</si>
  <si>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</si>
  <si>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</si>
  <si>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</si>
  <si>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</si>
  <si>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</si>
  <si>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</si>
  <si>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</si>
  <si>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</si>
  <si>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</si>
  <si>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Öffnungswinkel 45</t>
  </si>
  <si>
    <t>Öffnungswinkel 110</t>
  </si>
  <si>
    <t>Schutzbehältnis empfohlen</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</si>
  <si>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</si>
  <si>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</si>
  <si>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</si>
  <si>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</si>
  <si>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</si>
  <si>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</si>
  <si>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</si>
  <si>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</si>
  <si>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</si>
  <si>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</si>
  <si>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</si>
  <si>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</si>
  <si>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stark brüchiges Papier</t>
  </si>
  <si>
    <t>Buchblock aus Pergament</t>
  </si>
  <si>
    <t>Kassette im Schuber</t>
  </si>
  <si>
    <t>Tintenfraß</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</si>
  <si>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</si>
  <si>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</si>
  <si>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</si>
  <si>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</si>
  <si>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</si>
  <si>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</si>
  <si>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</si>
  <si>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</si>
  <si>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</si>
  <si>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</si>
  <si>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</si>
  <si>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</si>
  <si>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</si>
  <si>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</si>
  <si>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</si>
  <si>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</si>
  <si>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</si>
  <si>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nicht verwenden</t>
  </si>
  <si>
    <t>Heftung sichern</t>
  </si>
  <si>
    <t>Kapital sichern</t>
  </si>
  <si>
    <t>Bindung lösen</t>
  </si>
  <si>
    <t>Seiten glätten</t>
  </si>
  <si>
    <t>Verklebung lösen</t>
  </si>
  <si>
    <t>lose Seiten befestigen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</si>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</sst>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8">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horizontal="left" vertical="top" wrapText="1"/>
    </xf>
    <xf numFmtId="0" fontId="0" fillId="0" borderId="0" xfId="0"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2" fillId="0" borderId="0" xfId="0" applyFont="1" applyAlignment="1">
      <alignment horizontal="left" vertical="top" wrapText="1"/>
    </xf>
    <xf numFmtId="0" fontId="0" fillId="0" borderId="0" xfId="0"/>
    <xf numFmtId="0" fontId="0" fillId="0" borderId="12" xfId="0" applyBorder="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G482">
  <autoFilter ref="A1:DG482"/>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2"/>
  <sheetViews>
    <sheetView tabSelected="1" workbookViewId="0">
      <selection activeCell="DH1" sqref="DH1:DH1048576"/>
    </sheetView>
  </sheetViews>
  <sheetFormatPr baseColWidth="10" defaultColWidth="8.796875" defaultRowHeight="11.4" x14ac:dyDescent="0.2"/>
  <sheetData>
    <row r="1" spans="1:11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row>
    <row r="2" spans="1:111" x14ac:dyDescent="0.2">
      <c r="A2" t="s">
        <v>111</v>
      </c>
      <c r="B2" t="b">
        <v>1</v>
      </c>
      <c r="E2">
        <v>1</v>
      </c>
      <c r="F2" t="str">
        <f>HYPERLINK("https://portal.dnb.de/opac.htm?method=simpleSearch&amp;cqlMode=true&amp;query=idn%3D1003962874", "Portal")</f>
        <v>Portal</v>
      </c>
      <c r="G2" t="s">
        <v>112</v>
      </c>
      <c r="H2" t="s">
        <v>113</v>
      </c>
      <c r="I2" t="s">
        <v>114</v>
      </c>
      <c r="J2" t="s">
        <v>115</v>
      </c>
      <c r="K2" t="s">
        <v>115</v>
      </c>
      <c r="L2" t="s">
        <v>116</v>
      </c>
      <c r="N2" t="s">
        <v>117</v>
      </c>
      <c r="O2" t="s">
        <v>118</v>
      </c>
      <c r="R2" t="s">
        <v>119</v>
      </c>
      <c r="S2" t="s">
        <v>120</v>
      </c>
      <c r="T2" t="s">
        <v>121</v>
      </c>
      <c r="U2" t="s">
        <v>122</v>
      </c>
      <c r="V2" t="s">
        <v>123</v>
      </c>
      <c r="X2" t="s">
        <v>124</v>
      </c>
      <c r="Y2">
        <v>0</v>
      </c>
      <c r="AI2" t="s">
        <v>125</v>
      </c>
      <c r="AM2" t="s">
        <v>126</v>
      </c>
      <c r="AS2" t="s">
        <v>127</v>
      </c>
      <c r="BE2">
        <v>2</v>
      </c>
      <c r="BF2" t="s">
        <v>128</v>
      </c>
      <c r="BG2">
        <v>45</v>
      </c>
      <c r="BM2" t="s">
        <v>129</v>
      </c>
      <c r="BN2">
        <v>0</v>
      </c>
    </row>
    <row r="3" spans="1:111" x14ac:dyDescent="0.2">
      <c r="A3" t="s">
        <v>111</v>
      </c>
      <c r="B3" t="b">
        <v>1</v>
      </c>
      <c r="E3">
        <v>2</v>
      </c>
      <c r="F3" t="str">
        <f>HYPERLINK("https://portal.dnb.de/opac.htm?method=simpleSearch&amp;cqlMode=true&amp;query=idn%3D1003987001", "Portal")</f>
        <v>Portal</v>
      </c>
      <c r="G3" t="s">
        <v>112</v>
      </c>
      <c r="H3" t="s">
        <v>130</v>
      </c>
      <c r="I3" t="s">
        <v>131</v>
      </c>
      <c r="J3" t="s">
        <v>132</v>
      </c>
      <c r="K3" t="s">
        <v>132</v>
      </c>
      <c r="L3" t="s">
        <v>133</v>
      </c>
      <c r="N3" t="s">
        <v>134</v>
      </c>
      <c r="O3" t="s">
        <v>118</v>
      </c>
      <c r="P3" t="s">
        <v>135</v>
      </c>
      <c r="R3" t="s">
        <v>119</v>
      </c>
      <c r="S3" t="s">
        <v>120</v>
      </c>
      <c r="T3" t="s">
        <v>136</v>
      </c>
      <c r="U3" t="s">
        <v>137</v>
      </c>
      <c r="W3" t="s">
        <v>138</v>
      </c>
      <c r="X3" t="s">
        <v>139</v>
      </c>
      <c r="Y3">
        <v>0</v>
      </c>
      <c r="AI3" t="s">
        <v>125</v>
      </c>
      <c r="AM3" t="s">
        <v>126</v>
      </c>
      <c r="AS3" t="s">
        <v>127</v>
      </c>
      <c r="BG3">
        <v>80</v>
      </c>
      <c r="BM3" t="s">
        <v>129</v>
      </c>
      <c r="BN3">
        <v>0</v>
      </c>
      <c r="BT3" t="s">
        <v>140</v>
      </c>
      <c r="BU3" t="s">
        <v>128</v>
      </c>
      <c r="BY3" t="s">
        <v>141</v>
      </c>
    </row>
    <row r="4" spans="1:111" x14ac:dyDescent="0.2">
      <c r="A4" t="s">
        <v>111</v>
      </c>
      <c r="B4" t="b">
        <v>1</v>
      </c>
      <c r="E4">
        <v>3</v>
      </c>
      <c r="F4" t="str">
        <f>HYPERLINK("https://portal.dnb.de/opac.htm?method=simpleSearch&amp;cqlMode=true&amp;query=idn%3D1003854826", "Portal")</f>
        <v>Portal</v>
      </c>
      <c r="G4" t="s">
        <v>112</v>
      </c>
      <c r="H4" t="s">
        <v>142</v>
      </c>
      <c r="I4" t="s">
        <v>143</v>
      </c>
      <c r="J4" t="s">
        <v>144</v>
      </c>
      <c r="K4" t="s">
        <v>144</v>
      </c>
      <c r="L4" t="s">
        <v>145</v>
      </c>
      <c r="N4" t="s">
        <v>146</v>
      </c>
      <c r="O4" t="s">
        <v>118</v>
      </c>
      <c r="R4" t="s">
        <v>147</v>
      </c>
      <c r="S4" t="s">
        <v>120</v>
      </c>
      <c r="T4" t="s">
        <v>136</v>
      </c>
      <c r="U4" t="s">
        <v>148</v>
      </c>
      <c r="X4" t="s">
        <v>124</v>
      </c>
      <c r="Y4">
        <v>0</v>
      </c>
      <c r="AI4" t="s">
        <v>149</v>
      </c>
      <c r="AM4" t="s">
        <v>150</v>
      </c>
      <c r="AS4" t="s">
        <v>127</v>
      </c>
      <c r="BG4">
        <v>110</v>
      </c>
      <c r="BM4" t="s">
        <v>129</v>
      </c>
      <c r="BN4">
        <v>0</v>
      </c>
    </row>
    <row r="5" spans="1:111" x14ac:dyDescent="0.2">
      <c r="A5" t="s">
        <v>111</v>
      </c>
      <c r="B5" t="b">
        <v>1</v>
      </c>
      <c r="E5">
        <v>4</v>
      </c>
      <c r="F5" t="str">
        <f>HYPERLINK("https://portal.dnb.de/opac.htm?method=simpleSearch&amp;cqlMode=true&amp;query=idn%3D1003900852", "Portal")</f>
        <v>Portal</v>
      </c>
      <c r="G5" t="s">
        <v>112</v>
      </c>
      <c r="H5" t="s">
        <v>151</v>
      </c>
      <c r="I5" t="s">
        <v>152</v>
      </c>
      <c r="J5" t="s">
        <v>153</v>
      </c>
      <c r="K5" t="s">
        <v>153</v>
      </c>
      <c r="L5" t="s">
        <v>154</v>
      </c>
      <c r="N5" t="s">
        <v>155</v>
      </c>
      <c r="O5" t="s">
        <v>118</v>
      </c>
      <c r="R5" t="s">
        <v>147</v>
      </c>
      <c r="S5" t="s">
        <v>120</v>
      </c>
      <c r="T5" t="s">
        <v>156</v>
      </c>
      <c r="Y5">
        <v>0</v>
      </c>
      <c r="AI5" t="s">
        <v>149</v>
      </c>
      <c r="AM5" t="s">
        <v>150</v>
      </c>
      <c r="AS5" t="s">
        <v>127</v>
      </c>
      <c r="BG5">
        <v>110</v>
      </c>
      <c r="BM5" t="s">
        <v>129</v>
      </c>
      <c r="BN5">
        <v>0</v>
      </c>
    </row>
    <row r="6" spans="1:111" x14ac:dyDescent="0.2">
      <c r="A6" t="s">
        <v>111</v>
      </c>
      <c r="B6" t="b">
        <v>1</v>
      </c>
      <c r="F6" t="str">
        <f>HYPERLINK("https://portal.dnb.de/opac.htm?method=simpleSearch&amp;cqlMode=true&amp;query=idn%3D1262275857", "Portal")</f>
        <v>Portal</v>
      </c>
      <c r="G6" t="s">
        <v>157</v>
      </c>
      <c r="H6" t="s">
        <v>158</v>
      </c>
      <c r="I6" t="s">
        <v>159</v>
      </c>
      <c r="J6" t="s">
        <v>160</v>
      </c>
      <c r="K6" t="s">
        <v>160</v>
      </c>
      <c r="L6" t="s">
        <v>160</v>
      </c>
      <c r="N6" t="s">
        <v>161</v>
      </c>
      <c r="O6" t="s">
        <v>118</v>
      </c>
      <c r="P6" t="s">
        <v>135</v>
      </c>
      <c r="R6" t="s">
        <v>162</v>
      </c>
      <c r="S6" t="s">
        <v>120</v>
      </c>
      <c r="T6" t="s">
        <v>156</v>
      </c>
      <c r="U6" t="s">
        <v>148</v>
      </c>
      <c r="X6" t="s">
        <v>124</v>
      </c>
      <c r="Y6">
        <v>0</v>
      </c>
      <c r="AI6" t="s">
        <v>149</v>
      </c>
      <c r="AM6" t="s">
        <v>150</v>
      </c>
      <c r="AS6" t="s">
        <v>127</v>
      </c>
      <c r="BG6">
        <v>110</v>
      </c>
      <c r="BM6" t="s">
        <v>129</v>
      </c>
      <c r="BN6">
        <v>0</v>
      </c>
    </row>
    <row r="7" spans="1:111" x14ac:dyDescent="0.2">
      <c r="A7" t="s">
        <v>111</v>
      </c>
      <c r="B7" t="b">
        <v>1</v>
      </c>
      <c r="E7">
        <v>7</v>
      </c>
      <c r="F7" t="str">
        <f>HYPERLINK("https://portal.dnb.de/opac.htm?method=simpleSearch&amp;cqlMode=true&amp;query=idn%3D1066963746", "Portal")</f>
        <v>Portal</v>
      </c>
      <c r="G7" t="s">
        <v>163</v>
      </c>
      <c r="H7" t="s">
        <v>164</v>
      </c>
      <c r="I7" t="s">
        <v>165</v>
      </c>
      <c r="J7" t="s">
        <v>166</v>
      </c>
      <c r="K7" t="s">
        <v>166</v>
      </c>
      <c r="L7" t="s">
        <v>167</v>
      </c>
      <c r="N7" t="s">
        <v>168</v>
      </c>
      <c r="O7" t="s">
        <v>118</v>
      </c>
      <c r="P7" t="s">
        <v>135</v>
      </c>
      <c r="R7" t="s">
        <v>162</v>
      </c>
      <c r="S7" t="s">
        <v>120</v>
      </c>
      <c r="T7" t="s">
        <v>136</v>
      </c>
      <c r="U7" t="s">
        <v>148</v>
      </c>
      <c r="X7" t="s">
        <v>124</v>
      </c>
      <c r="Y7">
        <v>0</v>
      </c>
      <c r="AI7" t="s">
        <v>149</v>
      </c>
      <c r="AM7" t="s">
        <v>150</v>
      </c>
      <c r="AS7" t="s">
        <v>127</v>
      </c>
      <c r="BG7">
        <v>110</v>
      </c>
      <c r="BM7" t="s">
        <v>129</v>
      </c>
      <c r="BN7">
        <v>0</v>
      </c>
    </row>
    <row r="8" spans="1:111" x14ac:dyDescent="0.2">
      <c r="A8" t="s">
        <v>111</v>
      </c>
      <c r="B8" t="b">
        <v>1</v>
      </c>
      <c r="E8">
        <v>8</v>
      </c>
      <c r="F8" t="str">
        <f>HYPERLINK("https://portal.dnb.de/opac.htm?method=simpleSearch&amp;cqlMode=true&amp;query=idn%3D1003797741", "Portal")</f>
        <v>Portal</v>
      </c>
      <c r="G8" t="s">
        <v>112</v>
      </c>
      <c r="H8" t="s">
        <v>169</v>
      </c>
      <c r="I8" t="s">
        <v>170</v>
      </c>
      <c r="J8" t="s">
        <v>171</v>
      </c>
      <c r="K8" t="s">
        <v>171</v>
      </c>
      <c r="L8" t="s">
        <v>172</v>
      </c>
      <c r="N8" t="s">
        <v>173</v>
      </c>
      <c r="O8" t="s">
        <v>118</v>
      </c>
      <c r="P8" t="s">
        <v>135</v>
      </c>
      <c r="R8" t="s">
        <v>119</v>
      </c>
      <c r="S8" t="s">
        <v>120</v>
      </c>
      <c r="T8" t="s">
        <v>136</v>
      </c>
      <c r="U8" t="s">
        <v>174</v>
      </c>
      <c r="W8" t="s">
        <v>67</v>
      </c>
      <c r="X8" t="s">
        <v>175</v>
      </c>
      <c r="Y8">
        <v>0</v>
      </c>
      <c r="AH8" t="s">
        <v>128</v>
      </c>
      <c r="AI8" t="s">
        <v>125</v>
      </c>
      <c r="AL8" t="s">
        <v>128</v>
      </c>
      <c r="AM8" t="s">
        <v>126</v>
      </c>
      <c r="AN8" t="s">
        <v>128</v>
      </c>
      <c r="AS8" t="s">
        <v>127</v>
      </c>
      <c r="BE8">
        <v>3</v>
      </c>
      <c r="BG8" t="s">
        <v>176</v>
      </c>
      <c r="BM8" t="s">
        <v>129</v>
      </c>
      <c r="BN8">
        <v>0</v>
      </c>
      <c r="BP8" t="s">
        <v>177</v>
      </c>
    </row>
    <row r="9" spans="1:111" x14ac:dyDescent="0.2">
      <c r="A9" t="s">
        <v>111</v>
      </c>
      <c r="B9" t="b">
        <v>1</v>
      </c>
      <c r="E9">
        <v>9</v>
      </c>
      <c r="F9" t="str">
        <f>HYPERLINK("https://portal.dnb.de/opac.htm?method=simpleSearch&amp;cqlMode=true&amp;query=idn%3D1003839622", "Portal")</f>
        <v>Portal</v>
      </c>
      <c r="G9" t="s">
        <v>112</v>
      </c>
      <c r="H9" t="s">
        <v>178</v>
      </c>
      <c r="I9" t="s">
        <v>179</v>
      </c>
      <c r="J9" t="s">
        <v>180</v>
      </c>
      <c r="K9" t="s">
        <v>180</v>
      </c>
      <c r="L9" t="s">
        <v>181</v>
      </c>
      <c r="N9" t="s">
        <v>182</v>
      </c>
      <c r="O9" t="s">
        <v>118</v>
      </c>
      <c r="P9" t="s">
        <v>135</v>
      </c>
      <c r="R9" t="s">
        <v>147</v>
      </c>
      <c r="S9" t="s">
        <v>120</v>
      </c>
      <c r="T9" t="s">
        <v>156</v>
      </c>
      <c r="U9" t="s">
        <v>148</v>
      </c>
      <c r="Y9">
        <v>0</v>
      </c>
      <c r="AI9" t="s">
        <v>127</v>
      </c>
      <c r="AL9" t="s">
        <v>128</v>
      </c>
      <c r="AM9" t="s">
        <v>150</v>
      </c>
      <c r="AS9" t="s">
        <v>127</v>
      </c>
      <c r="BG9">
        <v>110</v>
      </c>
      <c r="BM9" t="s">
        <v>129</v>
      </c>
      <c r="BN9">
        <v>0</v>
      </c>
    </row>
    <row r="10" spans="1:111" x14ac:dyDescent="0.2">
      <c r="A10" t="s">
        <v>111</v>
      </c>
      <c r="B10" t="b">
        <v>1</v>
      </c>
      <c r="E10">
        <v>10</v>
      </c>
      <c r="F10" t="str">
        <f>HYPERLINK("https://portal.dnb.de/opac.htm?method=simpleSearch&amp;cqlMode=true&amp;query=idn%3D1003964729", "Portal")</f>
        <v>Portal</v>
      </c>
      <c r="G10" t="s">
        <v>112</v>
      </c>
      <c r="H10" t="s">
        <v>183</v>
      </c>
      <c r="I10" t="s">
        <v>184</v>
      </c>
      <c r="J10" t="s">
        <v>185</v>
      </c>
      <c r="K10" t="s">
        <v>185</v>
      </c>
      <c r="L10" t="s">
        <v>186</v>
      </c>
      <c r="N10" t="s">
        <v>187</v>
      </c>
      <c r="O10" t="s">
        <v>118</v>
      </c>
      <c r="P10" t="s">
        <v>135</v>
      </c>
      <c r="R10" t="s">
        <v>188</v>
      </c>
      <c r="S10" t="s">
        <v>120</v>
      </c>
      <c r="T10" t="s">
        <v>136</v>
      </c>
      <c r="U10" t="s">
        <v>189</v>
      </c>
      <c r="W10" t="s">
        <v>68</v>
      </c>
      <c r="X10" t="s">
        <v>175</v>
      </c>
      <c r="Y10">
        <v>0</v>
      </c>
      <c r="AI10" t="s">
        <v>190</v>
      </c>
      <c r="AM10" t="s">
        <v>191</v>
      </c>
      <c r="AS10" t="s">
        <v>127</v>
      </c>
      <c r="BG10" t="s">
        <v>192</v>
      </c>
      <c r="BN10">
        <v>0</v>
      </c>
      <c r="BQ10" t="s">
        <v>193</v>
      </c>
      <c r="BT10" t="s">
        <v>194</v>
      </c>
      <c r="BV10" t="s">
        <v>195</v>
      </c>
    </row>
    <row r="11" spans="1:111" x14ac:dyDescent="0.2">
      <c r="A11" t="s">
        <v>111</v>
      </c>
      <c r="B11" t="b">
        <v>1</v>
      </c>
      <c r="C11" t="s">
        <v>128</v>
      </c>
      <c r="E11">
        <v>11</v>
      </c>
      <c r="F11" t="str">
        <f>HYPERLINK("https://portal.dnb.de/opac.htm?method=simpleSearch&amp;cqlMode=true&amp;query=idn%3D1003943349", "Portal")</f>
        <v>Portal</v>
      </c>
      <c r="G11" t="s">
        <v>112</v>
      </c>
      <c r="H11" t="s">
        <v>196</v>
      </c>
      <c r="I11" t="s">
        <v>197</v>
      </c>
      <c r="J11" t="s">
        <v>198</v>
      </c>
      <c r="K11" t="s">
        <v>198</v>
      </c>
      <c r="L11" t="s">
        <v>199</v>
      </c>
      <c r="N11" t="s">
        <v>200</v>
      </c>
      <c r="O11" t="s">
        <v>118</v>
      </c>
      <c r="P11" t="s">
        <v>135</v>
      </c>
      <c r="R11" t="s">
        <v>188</v>
      </c>
      <c r="S11" t="s">
        <v>201</v>
      </c>
      <c r="T11" t="s">
        <v>136</v>
      </c>
      <c r="U11" t="s">
        <v>202</v>
      </c>
      <c r="W11" t="s">
        <v>138</v>
      </c>
      <c r="X11" t="s">
        <v>203</v>
      </c>
      <c r="Y11">
        <v>0</v>
      </c>
      <c r="AI11" t="s">
        <v>190</v>
      </c>
      <c r="AM11" t="s">
        <v>204</v>
      </c>
      <c r="AS11" t="s">
        <v>127</v>
      </c>
      <c r="AZ11" t="s">
        <v>128</v>
      </c>
      <c r="BA11" t="s">
        <v>205</v>
      </c>
      <c r="BG11">
        <v>110</v>
      </c>
      <c r="BM11" t="s">
        <v>206</v>
      </c>
      <c r="BN11">
        <v>1</v>
      </c>
      <c r="BT11" t="s">
        <v>140</v>
      </c>
      <c r="BU11" t="s">
        <v>128</v>
      </c>
      <c r="CA11" t="s">
        <v>128</v>
      </c>
      <c r="CB11" t="s">
        <v>128</v>
      </c>
      <c r="CM11">
        <v>0.5</v>
      </c>
      <c r="CW11" t="s">
        <v>128</v>
      </c>
      <c r="DA11" t="s">
        <v>128</v>
      </c>
      <c r="DF11">
        <v>0.5</v>
      </c>
    </row>
    <row r="12" spans="1:111" x14ac:dyDescent="0.2">
      <c r="A12" t="s">
        <v>111</v>
      </c>
      <c r="B12" t="b">
        <v>1</v>
      </c>
      <c r="E12">
        <v>12</v>
      </c>
      <c r="F12" t="str">
        <f>HYPERLINK("https://portal.dnb.de/opac.htm?method=simpleSearch&amp;cqlMode=true&amp;query=idn%3D1147898448", "Portal")</f>
        <v>Portal</v>
      </c>
      <c r="G12" t="s">
        <v>207</v>
      </c>
      <c r="H12" t="s">
        <v>208</v>
      </c>
      <c r="I12" t="s">
        <v>209</v>
      </c>
      <c r="J12" t="s">
        <v>210</v>
      </c>
      <c r="K12" t="s">
        <v>210</v>
      </c>
      <c r="L12" t="s">
        <v>211</v>
      </c>
      <c r="N12" t="s">
        <v>212</v>
      </c>
      <c r="O12" t="s">
        <v>213</v>
      </c>
      <c r="P12" t="s">
        <v>135</v>
      </c>
      <c r="R12" t="s">
        <v>119</v>
      </c>
      <c r="S12" t="s">
        <v>214</v>
      </c>
      <c r="T12" t="s">
        <v>136</v>
      </c>
      <c r="U12" t="s">
        <v>215</v>
      </c>
      <c r="W12" t="s">
        <v>138</v>
      </c>
      <c r="X12" t="s">
        <v>203</v>
      </c>
      <c r="Y12">
        <v>0</v>
      </c>
      <c r="AI12" t="s">
        <v>125</v>
      </c>
      <c r="AM12" t="s">
        <v>126</v>
      </c>
      <c r="AS12" t="s">
        <v>127</v>
      </c>
      <c r="AZ12" t="s">
        <v>128</v>
      </c>
      <c r="BG12">
        <v>110</v>
      </c>
      <c r="BM12" t="s">
        <v>129</v>
      </c>
      <c r="BN12">
        <v>0</v>
      </c>
      <c r="BT12" t="s">
        <v>140</v>
      </c>
      <c r="BU12" t="s">
        <v>128</v>
      </c>
    </row>
    <row r="13" spans="1:111" x14ac:dyDescent="0.2">
      <c r="A13" t="s">
        <v>111</v>
      </c>
      <c r="B13" t="b">
        <v>1</v>
      </c>
      <c r="F13" t="str">
        <f>HYPERLINK("https://portal.dnb.de/opac.htm?method=simpleSearch&amp;cqlMode=true&amp;query=idn%3D1262276780", "Portal")</f>
        <v>Portal</v>
      </c>
      <c r="G13" t="s">
        <v>157</v>
      </c>
      <c r="H13" t="s">
        <v>216</v>
      </c>
      <c r="I13" t="s">
        <v>217</v>
      </c>
      <c r="J13" t="s">
        <v>218</v>
      </c>
      <c r="K13" t="s">
        <v>218</v>
      </c>
      <c r="L13" t="s">
        <v>219</v>
      </c>
      <c r="N13" t="s">
        <v>220</v>
      </c>
      <c r="O13" t="s">
        <v>118</v>
      </c>
      <c r="P13" t="s">
        <v>135</v>
      </c>
      <c r="R13" t="s">
        <v>162</v>
      </c>
      <c r="S13" t="s">
        <v>120</v>
      </c>
      <c r="T13" t="s">
        <v>156</v>
      </c>
      <c r="U13" t="s">
        <v>148</v>
      </c>
      <c r="X13" t="s">
        <v>124</v>
      </c>
      <c r="Y13">
        <v>0</v>
      </c>
      <c r="AF13" t="s">
        <v>221</v>
      </c>
      <c r="AI13" t="s">
        <v>149</v>
      </c>
      <c r="AM13" t="s">
        <v>150</v>
      </c>
      <c r="AS13" t="s">
        <v>127</v>
      </c>
      <c r="BG13">
        <v>180</v>
      </c>
      <c r="BM13" t="s">
        <v>129</v>
      </c>
      <c r="BN13">
        <v>0</v>
      </c>
    </row>
    <row r="14" spans="1:111" x14ac:dyDescent="0.2">
      <c r="A14" t="s">
        <v>111</v>
      </c>
      <c r="B14" t="b">
        <v>1</v>
      </c>
      <c r="E14">
        <v>15</v>
      </c>
      <c r="F14" t="str">
        <f>HYPERLINK("https://portal.dnb.de/opac.htm?method=simpleSearch&amp;cqlMode=true&amp;query=idn%3D1003943853", "Portal")</f>
        <v>Portal</v>
      </c>
      <c r="G14" t="s">
        <v>112</v>
      </c>
      <c r="H14" t="s">
        <v>222</v>
      </c>
      <c r="I14" t="s">
        <v>223</v>
      </c>
      <c r="J14" t="s">
        <v>224</v>
      </c>
      <c r="K14" t="s">
        <v>224</v>
      </c>
      <c r="L14" t="s">
        <v>225</v>
      </c>
      <c r="N14" t="s">
        <v>226</v>
      </c>
      <c r="O14" t="s">
        <v>118</v>
      </c>
      <c r="P14" t="s">
        <v>135</v>
      </c>
      <c r="R14" t="s">
        <v>162</v>
      </c>
      <c r="S14" t="s">
        <v>120</v>
      </c>
      <c r="T14" t="s">
        <v>156</v>
      </c>
      <c r="U14" t="s">
        <v>148</v>
      </c>
      <c r="X14" t="s">
        <v>124</v>
      </c>
      <c r="Y14">
        <v>0</v>
      </c>
      <c r="AF14" t="s">
        <v>221</v>
      </c>
      <c r="AI14" t="s">
        <v>149</v>
      </c>
      <c r="AM14" t="s">
        <v>150</v>
      </c>
      <c r="AS14" t="s">
        <v>127</v>
      </c>
      <c r="BG14">
        <v>180</v>
      </c>
      <c r="BM14" t="s">
        <v>129</v>
      </c>
      <c r="BN14">
        <v>0</v>
      </c>
    </row>
    <row r="15" spans="1:111" x14ac:dyDescent="0.2">
      <c r="A15" t="s">
        <v>111</v>
      </c>
      <c r="B15" t="b">
        <v>1</v>
      </c>
      <c r="E15">
        <v>16</v>
      </c>
      <c r="F15" t="str">
        <f>HYPERLINK("https://portal.dnb.de/opac.htm?method=simpleSearch&amp;cqlMode=true&amp;query=idn%3D1003987435", "Portal")</f>
        <v>Portal</v>
      </c>
      <c r="G15" t="s">
        <v>112</v>
      </c>
      <c r="H15" t="s">
        <v>227</v>
      </c>
      <c r="I15" t="s">
        <v>228</v>
      </c>
      <c r="J15" t="s">
        <v>229</v>
      </c>
      <c r="K15" t="s">
        <v>229</v>
      </c>
      <c r="L15" t="s">
        <v>230</v>
      </c>
      <c r="N15" t="s">
        <v>231</v>
      </c>
      <c r="O15" t="s">
        <v>118</v>
      </c>
      <c r="P15" t="s">
        <v>135</v>
      </c>
      <c r="R15" t="s">
        <v>119</v>
      </c>
      <c r="S15" t="s">
        <v>120</v>
      </c>
      <c r="T15" t="s">
        <v>136</v>
      </c>
      <c r="U15" t="s">
        <v>232</v>
      </c>
      <c r="W15" t="s">
        <v>138</v>
      </c>
      <c r="X15" t="s">
        <v>203</v>
      </c>
      <c r="Y15">
        <v>0</v>
      </c>
      <c r="AI15" t="s">
        <v>125</v>
      </c>
      <c r="AM15" t="s">
        <v>126</v>
      </c>
      <c r="AS15" t="s">
        <v>127</v>
      </c>
      <c r="BG15">
        <v>45</v>
      </c>
      <c r="BM15" t="s">
        <v>129</v>
      </c>
      <c r="BN15">
        <v>0</v>
      </c>
      <c r="BT15" t="s">
        <v>140</v>
      </c>
      <c r="BU15" t="s">
        <v>128</v>
      </c>
      <c r="BY15" t="s">
        <v>141</v>
      </c>
    </row>
    <row r="16" spans="1:111" x14ac:dyDescent="0.2">
      <c r="A16" t="s">
        <v>111</v>
      </c>
      <c r="B16" t="b">
        <v>1</v>
      </c>
      <c r="F16" t="str">
        <f>HYPERLINK("https://portal.dnb.de/opac.htm?method=simpleSearch&amp;cqlMode=true&amp;query=idn%3D1144984351", "Portal")</f>
        <v>Portal</v>
      </c>
      <c r="G16" t="s">
        <v>157</v>
      </c>
      <c r="H16" t="s">
        <v>233</v>
      </c>
      <c r="I16" t="s">
        <v>234</v>
      </c>
      <c r="J16" t="s">
        <v>235</v>
      </c>
      <c r="K16" t="s">
        <v>235</v>
      </c>
      <c r="L16" t="s">
        <v>236</v>
      </c>
      <c r="N16" t="s">
        <v>237</v>
      </c>
      <c r="O16" t="s">
        <v>118</v>
      </c>
      <c r="P16" t="s">
        <v>135</v>
      </c>
      <c r="R16" t="s">
        <v>119</v>
      </c>
      <c r="S16" t="s">
        <v>214</v>
      </c>
      <c r="T16" t="s">
        <v>136</v>
      </c>
      <c r="U16" t="s">
        <v>215</v>
      </c>
      <c r="W16" t="s">
        <v>67</v>
      </c>
      <c r="X16" t="s">
        <v>175</v>
      </c>
      <c r="Y16">
        <v>0</v>
      </c>
      <c r="AI16" t="s">
        <v>125</v>
      </c>
      <c r="AL16" t="s">
        <v>128</v>
      </c>
      <c r="AM16" t="s">
        <v>150</v>
      </c>
      <c r="AS16" t="s">
        <v>127</v>
      </c>
      <c r="AX16" t="s">
        <v>128</v>
      </c>
      <c r="AZ16" t="s">
        <v>128</v>
      </c>
      <c r="BB16" t="s">
        <v>128</v>
      </c>
      <c r="BE16">
        <v>0</v>
      </c>
      <c r="BF16" t="s">
        <v>128</v>
      </c>
      <c r="BG16">
        <v>110</v>
      </c>
      <c r="BM16" t="s">
        <v>129</v>
      </c>
      <c r="BN16">
        <v>0</v>
      </c>
      <c r="BP16" t="s">
        <v>177</v>
      </c>
      <c r="BV16" t="s">
        <v>238</v>
      </c>
    </row>
    <row r="17" spans="1:111" x14ac:dyDescent="0.2">
      <c r="A17" t="s">
        <v>111</v>
      </c>
      <c r="B17" t="b">
        <v>1</v>
      </c>
      <c r="E17">
        <v>20</v>
      </c>
      <c r="F17" t="str">
        <f>HYPERLINK("https://portal.dnb.de/opac.htm?method=simpleSearch&amp;cqlMode=true&amp;query=idn%3D1003946658", "Portal")</f>
        <v>Portal</v>
      </c>
      <c r="G17" t="s">
        <v>112</v>
      </c>
      <c r="H17" t="s">
        <v>239</v>
      </c>
      <c r="I17" t="s">
        <v>240</v>
      </c>
      <c r="J17" t="s">
        <v>241</v>
      </c>
      <c r="K17" t="s">
        <v>241</v>
      </c>
      <c r="L17" t="s">
        <v>242</v>
      </c>
      <c r="N17" t="s">
        <v>243</v>
      </c>
      <c r="O17" t="s">
        <v>118</v>
      </c>
      <c r="P17" t="s">
        <v>135</v>
      </c>
      <c r="R17" t="s">
        <v>162</v>
      </c>
      <c r="S17" t="s">
        <v>214</v>
      </c>
      <c r="T17" t="s">
        <v>136</v>
      </c>
      <c r="U17" t="s">
        <v>148</v>
      </c>
      <c r="W17" t="s">
        <v>138</v>
      </c>
      <c r="X17" t="s">
        <v>203</v>
      </c>
      <c r="Y17">
        <v>0</v>
      </c>
      <c r="AI17" t="s">
        <v>149</v>
      </c>
      <c r="AM17" t="s">
        <v>126</v>
      </c>
      <c r="AS17" t="s">
        <v>127</v>
      </c>
      <c r="AZ17" t="s">
        <v>128</v>
      </c>
      <c r="BB17" t="s">
        <v>128</v>
      </c>
      <c r="BG17">
        <v>180</v>
      </c>
      <c r="BM17" t="s">
        <v>129</v>
      </c>
      <c r="BN17">
        <v>0</v>
      </c>
      <c r="BT17" t="s">
        <v>140</v>
      </c>
      <c r="BU17" t="s">
        <v>128</v>
      </c>
    </row>
    <row r="18" spans="1:111" x14ac:dyDescent="0.2">
      <c r="A18" t="s">
        <v>111</v>
      </c>
      <c r="B18" t="b">
        <v>1</v>
      </c>
      <c r="E18">
        <v>21</v>
      </c>
      <c r="F18" t="str">
        <f>HYPERLINK("https://portal.dnb.de/opac.htm?method=simpleSearch&amp;cqlMode=true&amp;query=idn%3D1003945953", "Portal")</f>
        <v>Portal</v>
      </c>
      <c r="G18" t="s">
        <v>112</v>
      </c>
      <c r="H18" t="s">
        <v>244</v>
      </c>
      <c r="I18" t="s">
        <v>245</v>
      </c>
      <c r="J18" t="s">
        <v>246</v>
      </c>
      <c r="K18" t="s">
        <v>246</v>
      </c>
      <c r="L18" t="s">
        <v>247</v>
      </c>
      <c r="N18" t="s">
        <v>248</v>
      </c>
      <c r="O18" t="s">
        <v>118</v>
      </c>
      <c r="P18" t="s">
        <v>135</v>
      </c>
      <c r="R18" t="s">
        <v>119</v>
      </c>
      <c r="S18" t="s">
        <v>214</v>
      </c>
      <c r="T18" t="s">
        <v>136</v>
      </c>
      <c r="U18" t="s">
        <v>215</v>
      </c>
      <c r="W18" t="s">
        <v>138</v>
      </c>
      <c r="X18" t="s">
        <v>203</v>
      </c>
      <c r="Y18">
        <v>1</v>
      </c>
      <c r="AI18" t="s">
        <v>125</v>
      </c>
      <c r="AM18" t="s">
        <v>126</v>
      </c>
      <c r="AS18" t="s">
        <v>127</v>
      </c>
      <c r="AZ18" t="s">
        <v>128</v>
      </c>
      <c r="BB18" t="s">
        <v>128</v>
      </c>
      <c r="BG18" t="s">
        <v>249</v>
      </c>
      <c r="BM18" t="s">
        <v>129</v>
      </c>
      <c r="BN18">
        <v>0</v>
      </c>
      <c r="BT18" t="s">
        <v>140</v>
      </c>
      <c r="BU18" t="s">
        <v>128</v>
      </c>
    </row>
    <row r="19" spans="1:111" x14ac:dyDescent="0.2">
      <c r="A19" t="s">
        <v>111</v>
      </c>
      <c r="B19" t="b">
        <v>1</v>
      </c>
      <c r="E19">
        <v>22</v>
      </c>
      <c r="F19" t="str">
        <f>HYPERLINK("https://portal.dnb.de/opac.htm?method=simpleSearch&amp;cqlMode=true&amp;query=idn%3D1003960766", "Portal")</f>
        <v>Portal</v>
      </c>
      <c r="G19" t="s">
        <v>112</v>
      </c>
      <c r="H19" t="s">
        <v>250</v>
      </c>
      <c r="I19" t="s">
        <v>251</v>
      </c>
      <c r="J19" t="s">
        <v>252</v>
      </c>
      <c r="K19" t="s">
        <v>252</v>
      </c>
      <c r="L19" t="s">
        <v>253</v>
      </c>
      <c r="N19" t="s">
        <v>254</v>
      </c>
      <c r="O19" t="s">
        <v>118</v>
      </c>
      <c r="P19" t="s">
        <v>135</v>
      </c>
      <c r="R19" t="s">
        <v>147</v>
      </c>
      <c r="S19" t="s">
        <v>214</v>
      </c>
      <c r="T19" t="s">
        <v>156</v>
      </c>
      <c r="U19" t="s">
        <v>215</v>
      </c>
      <c r="W19" t="s">
        <v>138</v>
      </c>
      <c r="X19" t="s">
        <v>203</v>
      </c>
      <c r="Y19">
        <v>1</v>
      </c>
      <c r="AI19" t="s">
        <v>127</v>
      </c>
      <c r="AM19" t="s">
        <v>150</v>
      </c>
      <c r="AS19" t="s">
        <v>127</v>
      </c>
      <c r="AZ19" t="s">
        <v>128</v>
      </c>
      <c r="BB19" t="s">
        <v>128</v>
      </c>
      <c r="BG19" t="s">
        <v>249</v>
      </c>
      <c r="BM19" t="s">
        <v>129</v>
      </c>
      <c r="BN19">
        <v>0</v>
      </c>
      <c r="BT19" t="s">
        <v>140</v>
      </c>
      <c r="BU19" t="s">
        <v>128</v>
      </c>
    </row>
    <row r="20" spans="1:111" x14ac:dyDescent="0.2">
      <c r="A20" t="s">
        <v>111</v>
      </c>
      <c r="B20" t="b">
        <v>1</v>
      </c>
      <c r="E20">
        <v>23</v>
      </c>
      <c r="F20" t="str">
        <f>HYPERLINK("https://portal.dnb.de/opac.htm?method=simpleSearch&amp;cqlMode=true&amp;query=idn%3D1003944124", "Portal")</f>
        <v>Portal</v>
      </c>
      <c r="G20" t="s">
        <v>112</v>
      </c>
      <c r="H20" t="s">
        <v>255</v>
      </c>
      <c r="I20" t="s">
        <v>256</v>
      </c>
      <c r="J20" t="s">
        <v>257</v>
      </c>
      <c r="K20" t="s">
        <v>257</v>
      </c>
      <c r="L20" t="s">
        <v>258</v>
      </c>
      <c r="N20" t="s">
        <v>259</v>
      </c>
      <c r="O20" t="s">
        <v>118</v>
      </c>
      <c r="P20" t="s">
        <v>135</v>
      </c>
      <c r="R20" t="s">
        <v>162</v>
      </c>
      <c r="S20" t="s">
        <v>214</v>
      </c>
      <c r="T20" t="s">
        <v>136</v>
      </c>
      <c r="U20" t="s">
        <v>215</v>
      </c>
      <c r="W20" t="s">
        <v>138</v>
      </c>
      <c r="X20" t="s">
        <v>203</v>
      </c>
      <c r="Y20">
        <v>0</v>
      </c>
      <c r="AI20" t="s">
        <v>149</v>
      </c>
      <c r="AM20" t="s">
        <v>126</v>
      </c>
      <c r="AS20" t="s">
        <v>127</v>
      </c>
      <c r="AZ20" t="s">
        <v>128</v>
      </c>
      <c r="BB20" t="s">
        <v>128</v>
      </c>
      <c r="BG20">
        <v>180</v>
      </c>
      <c r="BM20" t="s">
        <v>129</v>
      </c>
      <c r="BN20">
        <v>0</v>
      </c>
      <c r="BT20" t="s">
        <v>140</v>
      </c>
      <c r="BU20" t="s">
        <v>128</v>
      </c>
    </row>
    <row r="21" spans="1:111" x14ac:dyDescent="0.2">
      <c r="A21" t="s">
        <v>111</v>
      </c>
      <c r="B21" t="b">
        <v>1</v>
      </c>
      <c r="E21">
        <v>24</v>
      </c>
      <c r="F21" t="str">
        <f>HYPERLINK("https://portal.dnb.de/opac.htm?method=simpleSearch&amp;cqlMode=true&amp;query=idn%3D1003950051", "Portal")</f>
        <v>Portal</v>
      </c>
      <c r="G21" t="s">
        <v>112</v>
      </c>
      <c r="H21" t="s">
        <v>260</v>
      </c>
      <c r="I21" t="s">
        <v>261</v>
      </c>
      <c r="J21" t="s">
        <v>262</v>
      </c>
      <c r="K21" t="s">
        <v>262</v>
      </c>
      <c r="L21" t="s">
        <v>263</v>
      </c>
      <c r="N21" t="s">
        <v>264</v>
      </c>
      <c r="O21" t="s">
        <v>118</v>
      </c>
      <c r="P21" t="s">
        <v>135</v>
      </c>
      <c r="R21" t="s">
        <v>162</v>
      </c>
      <c r="S21" t="s">
        <v>201</v>
      </c>
      <c r="T21" t="s">
        <v>136</v>
      </c>
      <c r="U21" t="s">
        <v>215</v>
      </c>
      <c r="W21" t="s">
        <v>138</v>
      </c>
      <c r="X21" t="s">
        <v>203</v>
      </c>
      <c r="Y21">
        <v>0</v>
      </c>
      <c r="AI21" t="s">
        <v>149</v>
      </c>
      <c r="AM21" t="s">
        <v>126</v>
      </c>
      <c r="AS21" t="s">
        <v>127</v>
      </c>
      <c r="AZ21" t="s">
        <v>128</v>
      </c>
      <c r="BB21" t="s">
        <v>128</v>
      </c>
      <c r="BG21">
        <v>110</v>
      </c>
      <c r="BM21" t="s">
        <v>129</v>
      </c>
      <c r="BN21">
        <v>0</v>
      </c>
      <c r="BT21" t="s">
        <v>265</v>
      </c>
      <c r="BU21" t="s">
        <v>128</v>
      </c>
    </row>
    <row r="22" spans="1:111" x14ac:dyDescent="0.2">
      <c r="A22" t="s">
        <v>111</v>
      </c>
      <c r="B22" t="b">
        <v>1</v>
      </c>
      <c r="C22" t="s">
        <v>128</v>
      </c>
      <c r="E22">
        <v>26</v>
      </c>
      <c r="F22" t="str">
        <f>HYPERLINK("https://portal.dnb.de/opac.htm?method=simpleSearch&amp;cqlMode=true&amp;query=idn%3D1003949487", "Portal")</f>
        <v>Portal</v>
      </c>
      <c r="G22" t="s">
        <v>112</v>
      </c>
      <c r="H22" t="s">
        <v>266</v>
      </c>
      <c r="I22" t="s">
        <v>267</v>
      </c>
      <c r="J22" t="s">
        <v>268</v>
      </c>
      <c r="K22" t="s">
        <v>268</v>
      </c>
      <c r="L22" t="s">
        <v>269</v>
      </c>
      <c r="N22" t="s">
        <v>270</v>
      </c>
      <c r="O22" t="s">
        <v>118</v>
      </c>
      <c r="P22" t="s">
        <v>135</v>
      </c>
      <c r="R22" t="s">
        <v>162</v>
      </c>
      <c r="S22" t="s">
        <v>214</v>
      </c>
      <c r="T22" t="s">
        <v>136</v>
      </c>
      <c r="U22" t="s">
        <v>148</v>
      </c>
      <c r="W22" t="s">
        <v>138</v>
      </c>
      <c r="X22" t="s">
        <v>203</v>
      </c>
      <c r="Y22">
        <v>0</v>
      </c>
      <c r="AI22" t="s">
        <v>149</v>
      </c>
      <c r="AM22" t="s">
        <v>126</v>
      </c>
      <c r="AS22" t="s">
        <v>127</v>
      </c>
      <c r="AZ22" t="s">
        <v>128</v>
      </c>
      <c r="BB22" t="s">
        <v>128</v>
      </c>
      <c r="BG22">
        <v>110</v>
      </c>
      <c r="BM22" t="s">
        <v>206</v>
      </c>
      <c r="BN22">
        <v>1</v>
      </c>
      <c r="BT22" t="s">
        <v>140</v>
      </c>
      <c r="BU22" t="s">
        <v>128</v>
      </c>
      <c r="CW22" t="s">
        <v>128</v>
      </c>
      <c r="DA22" t="s">
        <v>128</v>
      </c>
      <c r="DF22">
        <v>1</v>
      </c>
    </row>
    <row r="23" spans="1:111" x14ac:dyDescent="0.2">
      <c r="A23" t="s">
        <v>111</v>
      </c>
      <c r="B23" t="b">
        <v>1</v>
      </c>
      <c r="E23">
        <v>28</v>
      </c>
      <c r="F23" t="str">
        <f>HYPERLINK("https://portal.dnb.de/opac.htm?method=simpleSearch&amp;cqlMode=true&amp;query=idn%3D1003947638", "Portal")</f>
        <v>Portal</v>
      </c>
      <c r="G23" t="s">
        <v>112</v>
      </c>
      <c r="H23" t="s">
        <v>271</v>
      </c>
      <c r="I23" t="s">
        <v>272</v>
      </c>
      <c r="J23" t="s">
        <v>273</v>
      </c>
      <c r="K23" t="s">
        <v>273</v>
      </c>
      <c r="L23" t="s">
        <v>274</v>
      </c>
      <c r="N23" t="s">
        <v>275</v>
      </c>
      <c r="O23" t="s">
        <v>118</v>
      </c>
      <c r="P23" t="s">
        <v>135</v>
      </c>
      <c r="R23" t="s">
        <v>119</v>
      </c>
      <c r="S23" t="s">
        <v>214</v>
      </c>
      <c r="T23" t="s">
        <v>136</v>
      </c>
      <c r="U23" t="s">
        <v>276</v>
      </c>
      <c r="W23" t="s">
        <v>138</v>
      </c>
      <c r="X23" t="s">
        <v>203</v>
      </c>
      <c r="Y23">
        <v>0</v>
      </c>
      <c r="AI23" t="s">
        <v>125</v>
      </c>
      <c r="AM23" t="s">
        <v>126</v>
      </c>
      <c r="AN23" t="s">
        <v>128</v>
      </c>
      <c r="AS23" t="s">
        <v>127</v>
      </c>
      <c r="AZ23" t="s">
        <v>128</v>
      </c>
      <c r="BB23" t="s">
        <v>128</v>
      </c>
      <c r="BG23">
        <v>110</v>
      </c>
      <c r="BM23" t="s">
        <v>129</v>
      </c>
      <c r="BN23">
        <v>0</v>
      </c>
      <c r="BT23" t="s">
        <v>140</v>
      </c>
      <c r="BU23" t="s">
        <v>128</v>
      </c>
    </row>
    <row r="24" spans="1:111" x14ac:dyDescent="0.2">
      <c r="A24" t="s">
        <v>111</v>
      </c>
      <c r="B24" t="b">
        <v>1</v>
      </c>
      <c r="F24" t="str">
        <f>HYPERLINK("https://portal.dnb.de/opac.htm?method=simpleSearch&amp;cqlMode=true&amp;query=idn%3D1144987067", "Portal")</f>
        <v>Portal</v>
      </c>
      <c r="G24" t="s">
        <v>157</v>
      </c>
      <c r="H24" t="s">
        <v>277</v>
      </c>
      <c r="I24" t="s">
        <v>278</v>
      </c>
      <c r="J24" t="s">
        <v>279</v>
      </c>
      <c r="K24" t="s">
        <v>279</v>
      </c>
      <c r="L24" t="s">
        <v>279</v>
      </c>
      <c r="N24" t="s">
        <v>280</v>
      </c>
      <c r="O24" t="s">
        <v>118</v>
      </c>
      <c r="P24" t="s">
        <v>135</v>
      </c>
      <c r="R24" t="s">
        <v>162</v>
      </c>
      <c r="S24" t="s">
        <v>214</v>
      </c>
      <c r="T24" t="s">
        <v>136</v>
      </c>
      <c r="U24" t="s">
        <v>215</v>
      </c>
      <c r="W24" t="s">
        <v>138</v>
      </c>
      <c r="X24" t="s">
        <v>203</v>
      </c>
      <c r="Y24">
        <v>0</v>
      </c>
      <c r="AI24" t="s">
        <v>127</v>
      </c>
      <c r="AM24" t="s">
        <v>150</v>
      </c>
      <c r="AS24" t="s">
        <v>127</v>
      </c>
      <c r="AZ24" t="s">
        <v>128</v>
      </c>
      <c r="BB24" t="s">
        <v>128</v>
      </c>
      <c r="BG24">
        <v>110</v>
      </c>
      <c r="BM24" t="s">
        <v>129</v>
      </c>
      <c r="BN24">
        <v>0</v>
      </c>
      <c r="BT24" t="s">
        <v>140</v>
      </c>
      <c r="BU24" t="s">
        <v>128</v>
      </c>
    </row>
    <row r="25" spans="1:111" x14ac:dyDescent="0.2">
      <c r="A25" t="s">
        <v>111</v>
      </c>
      <c r="B25" t="b">
        <v>1</v>
      </c>
      <c r="E25">
        <v>32</v>
      </c>
      <c r="F25" t="str">
        <f>HYPERLINK("https://portal.dnb.de/opac.htm?method=simpleSearch&amp;cqlMode=true&amp;query=idn%3D1003961096", "Portal")</f>
        <v>Portal</v>
      </c>
      <c r="G25" t="s">
        <v>112</v>
      </c>
      <c r="H25" t="s">
        <v>281</v>
      </c>
      <c r="I25" t="s">
        <v>282</v>
      </c>
      <c r="J25" t="s">
        <v>283</v>
      </c>
      <c r="K25" t="s">
        <v>283</v>
      </c>
      <c r="L25" t="s">
        <v>284</v>
      </c>
      <c r="N25" t="s">
        <v>285</v>
      </c>
      <c r="O25" t="s">
        <v>118</v>
      </c>
      <c r="P25" t="s">
        <v>135</v>
      </c>
      <c r="R25" t="s">
        <v>286</v>
      </c>
      <c r="S25" t="s">
        <v>214</v>
      </c>
      <c r="T25" t="s">
        <v>136</v>
      </c>
      <c r="U25" t="s">
        <v>215</v>
      </c>
      <c r="W25" t="s">
        <v>138</v>
      </c>
      <c r="X25" t="s">
        <v>203</v>
      </c>
      <c r="Y25">
        <v>0</v>
      </c>
      <c r="AI25" t="s">
        <v>149</v>
      </c>
      <c r="AM25" t="s">
        <v>126</v>
      </c>
      <c r="AS25" t="s">
        <v>127</v>
      </c>
      <c r="AZ25" t="s">
        <v>128</v>
      </c>
      <c r="BB25" t="s">
        <v>128</v>
      </c>
      <c r="BG25">
        <v>110</v>
      </c>
      <c r="BM25" t="s">
        <v>129</v>
      </c>
      <c r="BN25">
        <v>0</v>
      </c>
      <c r="BT25" t="s">
        <v>140</v>
      </c>
      <c r="BU25" t="s">
        <v>128</v>
      </c>
    </row>
    <row r="26" spans="1:111" x14ac:dyDescent="0.2">
      <c r="A26" t="s">
        <v>111</v>
      </c>
      <c r="B26" t="b">
        <v>1</v>
      </c>
      <c r="C26" t="s">
        <v>128</v>
      </c>
      <c r="E26">
        <v>33</v>
      </c>
      <c r="F26" t="str">
        <f>HYPERLINK("https://portal.dnb.de/opac.htm?method=simpleSearch&amp;cqlMode=true&amp;query=idn%3D1003950183", "Portal")</f>
        <v>Portal</v>
      </c>
      <c r="G26" t="s">
        <v>112</v>
      </c>
      <c r="H26" t="s">
        <v>287</v>
      </c>
      <c r="I26" t="s">
        <v>288</v>
      </c>
      <c r="J26" t="s">
        <v>289</v>
      </c>
      <c r="K26" t="s">
        <v>289</v>
      </c>
      <c r="L26" t="s">
        <v>290</v>
      </c>
      <c r="N26" t="s">
        <v>291</v>
      </c>
      <c r="O26" t="s">
        <v>118</v>
      </c>
      <c r="P26" t="s">
        <v>135</v>
      </c>
      <c r="R26" t="s">
        <v>188</v>
      </c>
      <c r="S26" t="s">
        <v>214</v>
      </c>
      <c r="T26" t="s">
        <v>136</v>
      </c>
      <c r="U26" t="s">
        <v>292</v>
      </c>
      <c r="X26" t="s">
        <v>124</v>
      </c>
      <c r="Y26">
        <v>1</v>
      </c>
      <c r="AI26" t="s">
        <v>190</v>
      </c>
      <c r="AM26" t="s">
        <v>204</v>
      </c>
      <c r="AO26" t="s">
        <v>128</v>
      </c>
      <c r="AS26" t="s">
        <v>127</v>
      </c>
      <c r="AZ26" t="s">
        <v>128</v>
      </c>
      <c r="BA26" t="s">
        <v>293</v>
      </c>
      <c r="BG26">
        <v>45</v>
      </c>
      <c r="BH26" t="s">
        <v>294</v>
      </c>
      <c r="BM26" t="s">
        <v>206</v>
      </c>
      <c r="BN26">
        <v>6</v>
      </c>
      <c r="BS26" t="s">
        <v>128</v>
      </c>
      <c r="BY26" t="s">
        <v>295</v>
      </c>
      <c r="CA26" t="s">
        <v>128</v>
      </c>
      <c r="CB26" t="s">
        <v>128</v>
      </c>
      <c r="CD26" t="s">
        <v>296</v>
      </c>
      <c r="CM26">
        <v>6</v>
      </c>
    </row>
    <row r="27" spans="1:111" x14ac:dyDescent="0.2">
      <c r="A27" t="s">
        <v>111</v>
      </c>
      <c r="B27" t="b">
        <v>1</v>
      </c>
      <c r="E27">
        <v>34</v>
      </c>
      <c r="F27" t="str">
        <f>HYPERLINK("https://portal.dnb.de/opac.htm?method=simpleSearch&amp;cqlMode=true&amp;query=idn%3D1003946844", "Portal")</f>
        <v>Portal</v>
      </c>
      <c r="G27" t="s">
        <v>112</v>
      </c>
      <c r="H27" t="s">
        <v>297</v>
      </c>
      <c r="I27" t="s">
        <v>298</v>
      </c>
      <c r="J27" t="s">
        <v>299</v>
      </c>
      <c r="K27" t="s">
        <v>299</v>
      </c>
      <c r="L27" t="s">
        <v>300</v>
      </c>
      <c r="N27" t="s">
        <v>301</v>
      </c>
      <c r="O27" t="s">
        <v>118</v>
      </c>
      <c r="P27" t="s">
        <v>135</v>
      </c>
      <c r="R27" t="s">
        <v>119</v>
      </c>
      <c r="S27" t="s">
        <v>214</v>
      </c>
      <c r="T27" t="s">
        <v>136</v>
      </c>
      <c r="U27" t="s">
        <v>215</v>
      </c>
      <c r="Y27">
        <v>0</v>
      </c>
      <c r="AI27" t="s">
        <v>125</v>
      </c>
      <c r="AM27" t="s">
        <v>126</v>
      </c>
      <c r="AS27" t="s">
        <v>127</v>
      </c>
      <c r="AZ27" t="s">
        <v>128</v>
      </c>
      <c r="BB27" t="s">
        <v>128</v>
      </c>
      <c r="BG27">
        <v>110</v>
      </c>
      <c r="BM27" t="s">
        <v>129</v>
      </c>
      <c r="BN27">
        <v>0</v>
      </c>
    </row>
    <row r="28" spans="1:111" x14ac:dyDescent="0.2">
      <c r="A28" t="s">
        <v>111</v>
      </c>
      <c r="B28" t="b">
        <v>1</v>
      </c>
      <c r="C28" t="s">
        <v>128</v>
      </c>
      <c r="E28">
        <v>35</v>
      </c>
      <c r="F28" t="str">
        <f>HYPERLINK("https://portal.dnb.de/opac.htm?method=simpleSearch&amp;cqlMode=true&amp;query=idn%3D1003950396", "Portal")</f>
        <v>Portal</v>
      </c>
      <c r="G28" t="s">
        <v>112</v>
      </c>
      <c r="H28" t="s">
        <v>302</v>
      </c>
      <c r="I28" t="s">
        <v>303</v>
      </c>
      <c r="J28" t="s">
        <v>304</v>
      </c>
      <c r="K28" t="s">
        <v>304</v>
      </c>
      <c r="L28" t="s">
        <v>305</v>
      </c>
      <c r="N28" t="s">
        <v>306</v>
      </c>
      <c r="O28" t="s">
        <v>118</v>
      </c>
      <c r="P28" t="s">
        <v>135</v>
      </c>
      <c r="R28" t="s">
        <v>162</v>
      </c>
      <c r="S28" t="s">
        <v>214</v>
      </c>
      <c r="T28" t="s">
        <v>136</v>
      </c>
      <c r="U28" t="s">
        <v>215</v>
      </c>
      <c r="Y28">
        <v>0</v>
      </c>
      <c r="AI28" t="s">
        <v>149</v>
      </c>
      <c r="AM28" t="s">
        <v>126</v>
      </c>
      <c r="AS28" t="s">
        <v>127</v>
      </c>
      <c r="AZ28" t="s">
        <v>128</v>
      </c>
      <c r="BA28" t="s">
        <v>307</v>
      </c>
      <c r="BB28" t="s">
        <v>128</v>
      </c>
      <c r="BG28">
        <v>110</v>
      </c>
      <c r="BM28" t="s">
        <v>206</v>
      </c>
      <c r="BN28">
        <v>4</v>
      </c>
      <c r="CW28" t="s">
        <v>128</v>
      </c>
      <c r="DA28" t="s">
        <v>128</v>
      </c>
      <c r="DF28">
        <v>4</v>
      </c>
      <c r="DG28" t="s">
        <v>308</v>
      </c>
    </row>
    <row r="29" spans="1:111" x14ac:dyDescent="0.2">
      <c r="A29" t="s">
        <v>111</v>
      </c>
      <c r="B29" t="b">
        <v>1</v>
      </c>
      <c r="E29">
        <v>36</v>
      </c>
      <c r="F29" t="str">
        <f>HYPERLINK("https://portal.dnb.de/opac.htm?method=simpleSearch&amp;cqlMode=true&amp;query=idn%3D1005791945", "Portal")</f>
        <v>Portal</v>
      </c>
      <c r="G29" t="s">
        <v>112</v>
      </c>
      <c r="H29" t="s">
        <v>309</v>
      </c>
      <c r="I29" t="s">
        <v>310</v>
      </c>
      <c r="J29" t="s">
        <v>311</v>
      </c>
      <c r="K29" t="s">
        <v>311</v>
      </c>
      <c r="L29" t="s">
        <v>312</v>
      </c>
      <c r="N29" t="s">
        <v>313</v>
      </c>
      <c r="O29" t="s">
        <v>118</v>
      </c>
      <c r="P29" t="s">
        <v>135</v>
      </c>
      <c r="R29" t="s">
        <v>162</v>
      </c>
      <c r="S29" t="s">
        <v>214</v>
      </c>
      <c r="T29" t="s">
        <v>136</v>
      </c>
      <c r="U29" t="s">
        <v>215</v>
      </c>
      <c r="Y29">
        <v>1</v>
      </c>
      <c r="AI29" t="s">
        <v>125</v>
      </c>
      <c r="AM29" t="s">
        <v>126</v>
      </c>
      <c r="AS29" t="s">
        <v>127</v>
      </c>
      <c r="AZ29" t="s">
        <v>128</v>
      </c>
      <c r="BB29" t="s">
        <v>128</v>
      </c>
      <c r="BG29">
        <v>110</v>
      </c>
      <c r="BM29" t="s">
        <v>129</v>
      </c>
      <c r="BN29">
        <v>0</v>
      </c>
    </row>
    <row r="30" spans="1:111" x14ac:dyDescent="0.2">
      <c r="A30" t="s">
        <v>111</v>
      </c>
      <c r="B30" t="b">
        <v>1</v>
      </c>
      <c r="C30" t="s">
        <v>128</v>
      </c>
      <c r="E30">
        <v>37</v>
      </c>
      <c r="F30" t="str">
        <f>HYPERLINK("https://portal.dnb.de/opac.htm?method=simpleSearch&amp;cqlMode=true&amp;query=idn%3D1003948413", "Portal")</f>
        <v>Portal</v>
      </c>
      <c r="G30" t="s">
        <v>112</v>
      </c>
      <c r="H30" t="s">
        <v>314</v>
      </c>
      <c r="I30" t="s">
        <v>315</v>
      </c>
      <c r="J30" t="s">
        <v>316</v>
      </c>
      <c r="K30" t="s">
        <v>316</v>
      </c>
      <c r="L30" t="s">
        <v>317</v>
      </c>
      <c r="N30" t="s">
        <v>318</v>
      </c>
      <c r="O30" t="s">
        <v>118</v>
      </c>
      <c r="P30" t="s">
        <v>128</v>
      </c>
      <c r="Q30" t="s">
        <v>319</v>
      </c>
      <c r="R30" t="s">
        <v>119</v>
      </c>
      <c r="S30" t="s">
        <v>214</v>
      </c>
      <c r="T30" t="s">
        <v>136</v>
      </c>
      <c r="U30" t="s">
        <v>215</v>
      </c>
      <c r="X30" t="s">
        <v>124</v>
      </c>
      <c r="Y30">
        <v>0</v>
      </c>
      <c r="AA30" t="s">
        <v>320</v>
      </c>
      <c r="AI30" t="s">
        <v>125</v>
      </c>
      <c r="AM30" t="s">
        <v>126</v>
      </c>
      <c r="AS30" t="s">
        <v>127</v>
      </c>
      <c r="AZ30" t="s">
        <v>128</v>
      </c>
      <c r="BA30" t="s">
        <v>321</v>
      </c>
      <c r="BB30" t="s">
        <v>128</v>
      </c>
      <c r="BG30">
        <v>110</v>
      </c>
      <c r="BM30" t="s">
        <v>206</v>
      </c>
      <c r="BN30">
        <v>0.5</v>
      </c>
      <c r="CL30" t="s">
        <v>322</v>
      </c>
      <c r="CM30">
        <v>0.5</v>
      </c>
    </row>
    <row r="31" spans="1:111" x14ac:dyDescent="0.2">
      <c r="A31" t="s">
        <v>111</v>
      </c>
      <c r="B31" t="b">
        <v>1</v>
      </c>
      <c r="C31" t="s">
        <v>128</v>
      </c>
      <c r="E31">
        <v>38</v>
      </c>
      <c r="F31" t="str">
        <f>HYPERLINK("https://portal.dnb.de/opac.htm?method=simpleSearch&amp;cqlMode=true&amp;query=idn%3D1003947328", "Portal")</f>
        <v>Portal</v>
      </c>
      <c r="G31" t="s">
        <v>112</v>
      </c>
      <c r="H31" t="s">
        <v>323</v>
      </c>
      <c r="I31" t="s">
        <v>324</v>
      </c>
      <c r="J31" t="s">
        <v>325</v>
      </c>
      <c r="K31" t="s">
        <v>325</v>
      </c>
      <c r="L31" t="s">
        <v>326</v>
      </c>
      <c r="N31" t="s">
        <v>327</v>
      </c>
      <c r="O31" t="s">
        <v>118</v>
      </c>
      <c r="P31" t="s">
        <v>135</v>
      </c>
      <c r="R31" t="s">
        <v>162</v>
      </c>
      <c r="S31" t="s">
        <v>214</v>
      </c>
      <c r="T31" t="s">
        <v>136</v>
      </c>
      <c r="U31" t="s">
        <v>215</v>
      </c>
      <c r="Y31">
        <v>0</v>
      </c>
      <c r="AI31" t="s">
        <v>125</v>
      </c>
      <c r="AM31" t="s">
        <v>126</v>
      </c>
      <c r="AS31" t="s">
        <v>127</v>
      </c>
      <c r="AZ31" t="s">
        <v>128</v>
      </c>
      <c r="BA31" t="s">
        <v>328</v>
      </c>
      <c r="BB31" t="s">
        <v>128</v>
      </c>
      <c r="BD31" t="s">
        <v>128</v>
      </c>
      <c r="BG31" t="s">
        <v>176</v>
      </c>
      <c r="BM31" t="s">
        <v>206</v>
      </c>
      <c r="BN31">
        <v>6</v>
      </c>
      <c r="BW31" t="s">
        <v>329</v>
      </c>
      <c r="CO31" t="s">
        <v>128</v>
      </c>
      <c r="CW31" t="s">
        <v>128</v>
      </c>
      <c r="DA31" t="s">
        <v>128</v>
      </c>
      <c r="DF31">
        <v>6</v>
      </c>
      <c r="DG31" t="s">
        <v>330</v>
      </c>
    </row>
    <row r="32" spans="1:111" x14ac:dyDescent="0.2">
      <c r="A32" t="s">
        <v>111</v>
      </c>
      <c r="B32" t="b">
        <v>1</v>
      </c>
      <c r="E32">
        <v>39</v>
      </c>
      <c r="F32" t="str">
        <f>HYPERLINK("https://portal.dnb.de/opac.htm?method=simpleSearch&amp;cqlMode=true&amp;query=idn%3D1003940870", "Portal")</f>
        <v>Portal</v>
      </c>
      <c r="G32" t="s">
        <v>207</v>
      </c>
      <c r="H32" t="s">
        <v>331</v>
      </c>
      <c r="I32" t="s">
        <v>332</v>
      </c>
      <c r="J32" t="s">
        <v>333</v>
      </c>
      <c r="K32" t="s">
        <v>333</v>
      </c>
      <c r="L32" t="s">
        <v>334</v>
      </c>
      <c r="N32" t="s">
        <v>335</v>
      </c>
      <c r="O32" t="s">
        <v>336</v>
      </c>
      <c r="P32" t="s">
        <v>135</v>
      </c>
      <c r="R32" t="s">
        <v>286</v>
      </c>
      <c r="S32" t="s">
        <v>214</v>
      </c>
      <c r="T32" t="s">
        <v>136</v>
      </c>
      <c r="U32" t="s">
        <v>337</v>
      </c>
      <c r="Y32">
        <v>0</v>
      </c>
      <c r="AI32" t="s">
        <v>338</v>
      </c>
      <c r="AM32" t="s">
        <v>150</v>
      </c>
      <c r="AS32" t="s">
        <v>127</v>
      </c>
      <c r="AX32" t="s">
        <v>128</v>
      </c>
      <c r="AZ32" t="s">
        <v>339</v>
      </c>
      <c r="BB32" t="s">
        <v>128</v>
      </c>
      <c r="BD32" t="s">
        <v>128</v>
      </c>
      <c r="BE32">
        <v>0</v>
      </c>
      <c r="BF32" t="s">
        <v>128</v>
      </c>
      <c r="BG32">
        <v>110</v>
      </c>
      <c r="BM32" t="s">
        <v>129</v>
      </c>
      <c r="BN32">
        <v>0</v>
      </c>
    </row>
    <row r="33" spans="1:77" x14ac:dyDescent="0.2">
      <c r="A33" t="s">
        <v>111</v>
      </c>
      <c r="B33" t="b">
        <v>1</v>
      </c>
      <c r="E33">
        <v>40</v>
      </c>
      <c r="F33" t="str">
        <f>HYPERLINK("https://portal.dnb.de/opac.htm?method=simpleSearch&amp;cqlMode=true&amp;query=idn%3D1144993644", "Portal")</f>
        <v>Portal</v>
      </c>
      <c r="G33" t="s">
        <v>207</v>
      </c>
      <c r="H33" t="s">
        <v>340</v>
      </c>
      <c r="I33" t="s">
        <v>341</v>
      </c>
      <c r="J33" t="s">
        <v>342</v>
      </c>
      <c r="K33" t="s">
        <v>342</v>
      </c>
      <c r="L33" t="s">
        <v>343</v>
      </c>
      <c r="N33" t="s">
        <v>335</v>
      </c>
      <c r="O33" t="s">
        <v>344</v>
      </c>
      <c r="P33" t="s">
        <v>135</v>
      </c>
      <c r="R33" t="s">
        <v>286</v>
      </c>
      <c r="S33" t="s">
        <v>214</v>
      </c>
      <c r="T33" t="s">
        <v>136</v>
      </c>
      <c r="U33" t="s">
        <v>292</v>
      </c>
      <c r="Y33">
        <v>0</v>
      </c>
      <c r="AI33" t="s">
        <v>338</v>
      </c>
      <c r="AM33" t="s">
        <v>150</v>
      </c>
      <c r="AS33" t="s">
        <v>127</v>
      </c>
      <c r="AX33" t="s">
        <v>128</v>
      </c>
      <c r="AZ33" t="s">
        <v>339</v>
      </c>
      <c r="BA33" t="s">
        <v>345</v>
      </c>
      <c r="BE33">
        <v>0</v>
      </c>
      <c r="BF33" t="s">
        <v>128</v>
      </c>
      <c r="BG33">
        <v>110</v>
      </c>
      <c r="BM33" t="s">
        <v>129</v>
      </c>
      <c r="BN33">
        <v>0</v>
      </c>
    </row>
    <row r="34" spans="1:77" x14ac:dyDescent="0.2">
      <c r="A34" t="s">
        <v>111</v>
      </c>
      <c r="B34" t="b">
        <v>1</v>
      </c>
      <c r="E34">
        <v>41</v>
      </c>
      <c r="F34" t="str">
        <f>HYPERLINK("https://portal.dnb.de/opac.htm?method=simpleSearch&amp;cqlMode=true&amp;query=idn%3D1003948715", "Portal")</f>
        <v>Portal</v>
      </c>
      <c r="G34" t="s">
        <v>112</v>
      </c>
      <c r="H34" t="s">
        <v>346</v>
      </c>
      <c r="I34" t="s">
        <v>347</v>
      </c>
      <c r="J34" t="s">
        <v>348</v>
      </c>
      <c r="K34" t="s">
        <v>348</v>
      </c>
      <c r="L34" t="s">
        <v>349</v>
      </c>
      <c r="N34" t="s">
        <v>350</v>
      </c>
      <c r="O34" t="s">
        <v>118</v>
      </c>
      <c r="P34" t="s">
        <v>135</v>
      </c>
      <c r="R34" t="s">
        <v>119</v>
      </c>
      <c r="S34" t="s">
        <v>214</v>
      </c>
      <c r="T34" t="s">
        <v>136</v>
      </c>
      <c r="U34" t="s">
        <v>215</v>
      </c>
      <c r="X34" t="s">
        <v>124</v>
      </c>
      <c r="Y34">
        <v>2</v>
      </c>
      <c r="AA34" t="s">
        <v>320</v>
      </c>
      <c r="AI34" t="s">
        <v>125</v>
      </c>
      <c r="AM34" t="s">
        <v>126</v>
      </c>
      <c r="AS34" t="s">
        <v>127</v>
      </c>
      <c r="AZ34" t="s">
        <v>339</v>
      </c>
      <c r="BA34" t="s">
        <v>351</v>
      </c>
      <c r="BB34" t="s">
        <v>128</v>
      </c>
      <c r="BD34" t="s">
        <v>128</v>
      </c>
      <c r="BE34">
        <v>0</v>
      </c>
      <c r="BF34" t="s">
        <v>128</v>
      </c>
      <c r="BG34">
        <v>110</v>
      </c>
      <c r="BM34" t="s">
        <v>129</v>
      </c>
      <c r="BN34">
        <v>0</v>
      </c>
      <c r="BY34" t="s">
        <v>352</v>
      </c>
    </row>
    <row r="35" spans="1:77" x14ac:dyDescent="0.2">
      <c r="A35" t="s">
        <v>111</v>
      </c>
      <c r="B35" t="b">
        <v>1</v>
      </c>
      <c r="E35">
        <v>42</v>
      </c>
      <c r="F35" t="str">
        <f>HYPERLINK("https://portal.dnb.de/opac.htm?method=simpleSearch&amp;cqlMode=true&amp;query=idn%3D1003800165", "Portal")</f>
        <v>Portal</v>
      </c>
      <c r="G35" t="s">
        <v>112</v>
      </c>
      <c r="H35" t="s">
        <v>353</v>
      </c>
      <c r="I35" t="s">
        <v>354</v>
      </c>
      <c r="J35" t="s">
        <v>355</v>
      </c>
      <c r="K35" t="s">
        <v>355</v>
      </c>
      <c r="L35" t="s">
        <v>356</v>
      </c>
      <c r="N35" t="s">
        <v>357</v>
      </c>
      <c r="O35" t="s">
        <v>118</v>
      </c>
      <c r="P35" t="s">
        <v>135</v>
      </c>
      <c r="R35" t="s">
        <v>286</v>
      </c>
      <c r="S35" t="s">
        <v>120</v>
      </c>
      <c r="T35" t="s">
        <v>136</v>
      </c>
      <c r="U35" t="s">
        <v>148</v>
      </c>
      <c r="W35" t="s">
        <v>67</v>
      </c>
      <c r="X35" t="s">
        <v>175</v>
      </c>
      <c r="Y35">
        <v>0</v>
      </c>
      <c r="AH35" t="s">
        <v>128</v>
      </c>
      <c r="AI35" t="s">
        <v>125</v>
      </c>
      <c r="AL35" t="s">
        <v>128</v>
      </c>
      <c r="AM35" t="s">
        <v>126</v>
      </c>
      <c r="AS35" t="s">
        <v>127</v>
      </c>
      <c r="BG35">
        <v>110</v>
      </c>
      <c r="BM35" t="s">
        <v>129</v>
      </c>
      <c r="BN35">
        <v>0</v>
      </c>
      <c r="BP35" t="s">
        <v>177</v>
      </c>
    </row>
    <row r="36" spans="1:77" x14ac:dyDescent="0.2">
      <c r="A36" t="s">
        <v>111</v>
      </c>
      <c r="B36" t="b">
        <v>1</v>
      </c>
      <c r="E36">
        <v>43</v>
      </c>
      <c r="F36" t="str">
        <f>HYPERLINK("https://portal.dnb.de/opac.htm?method=simpleSearch&amp;cqlMode=true&amp;query=idn%3D1003920497", "Portal")</f>
        <v>Portal</v>
      </c>
      <c r="G36" t="s">
        <v>207</v>
      </c>
      <c r="H36" t="s">
        <v>358</v>
      </c>
      <c r="I36" t="s">
        <v>359</v>
      </c>
      <c r="J36" t="s">
        <v>360</v>
      </c>
      <c r="K36" t="s">
        <v>360</v>
      </c>
      <c r="L36" t="s">
        <v>361</v>
      </c>
      <c r="N36" t="s">
        <v>362</v>
      </c>
      <c r="O36" t="s">
        <v>363</v>
      </c>
      <c r="P36" t="s">
        <v>135</v>
      </c>
      <c r="R36" t="s">
        <v>188</v>
      </c>
      <c r="S36" t="s">
        <v>120</v>
      </c>
      <c r="T36" t="s">
        <v>121</v>
      </c>
      <c r="U36" t="s">
        <v>364</v>
      </c>
      <c r="W36" t="s">
        <v>365</v>
      </c>
      <c r="X36" t="s">
        <v>203</v>
      </c>
      <c r="Y36">
        <v>1</v>
      </c>
      <c r="AH36" t="s">
        <v>128</v>
      </c>
      <c r="AI36" t="s">
        <v>190</v>
      </c>
      <c r="AM36" t="s">
        <v>191</v>
      </c>
      <c r="AS36" t="s">
        <v>127</v>
      </c>
      <c r="BE36">
        <v>0</v>
      </c>
      <c r="BF36" t="s">
        <v>128</v>
      </c>
      <c r="BG36" t="s">
        <v>366</v>
      </c>
      <c r="BN36">
        <v>0</v>
      </c>
      <c r="BS36" t="s">
        <v>140</v>
      </c>
      <c r="BT36" t="s">
        <v>140</v>
      </c>
      <c r="BU36" t="s">
        <v>128</v>
      </c>
      <c r="BV36" t="s">
        <v>367</v>
      </c>
      <c r="BY36" t="s">
        <v>368</v>
      </c>
    </row>
    <row r="37" spans="1:77" x14ac:dyDescent="0.2">
      <c r="A37" t="s">
        <v>111</v>
      </c>
      <c r="B37" t="b">
        <v>1</v>
      </c>
      <c r="E37">
        <v>44</v>
      </c>
      <c r="F37" t="str">
        <f>HYPERLINK("https://portal.dnb.de/opac.htm?method=simpleSearch&amp;cqlMode=true&amp;query=idn%3D1003867928", "Portal")</f>
        <v>Portal</v>
      </c>
      <c r="G37" t="s">
        <v>112</v>
      </c>
      <c r="H37" t="s">
        <v>369</v>
      </c>
      <c r="I37" t="s">
        <v>370</v>
      </c>
      <c r="J37" t="s">
        <v>371</v>
      </c>
      <c r="K37" t="s">
        <v>371</v>
      </c>
      <c r="L37" t="s">
        <v>372</v>
      </c>
      <c r="N37" t="s">
        <v>373</v>
      </c>
      <c r="O37" t="s">
        <v>118</v>
      </c>
      <c r="P37" t="s">
        <v>135</v>
      </c>
      <c r="R37" t="s">
        <v>188</v>
      </c>
      <c r="S37" t="s">
        <v>120</v>
      </c>
      <c r="T37" t="s">
        <v>136</v>
      </c>
      <c r="U37" t="s">
        <v>364</v>
      </c>
      <c r="W37" t="s">
        <v>138</v>
      </c>
      <c r="X37" t="s">
        <v>203</v>
      </c>
      <c r="Y37">
        <v>0</v>
      </c>
      <c r="AI37" t="s">
        <v>190</v>
      </c>
      <c r="AM37" t="s">
        <v>191</v>
      </c>
      <c r="AS37" t="s">
        <v>127</v>
      </c>
      <c r="BE37">
        <v>2</v>
      </c>
      <c r="BG37">
        <v>110</v>
      </c>
      <c r="BN37">
        <v>0</v>
      </c>
      <c r="BT37" t="s">
        <v>140</v>
      </c>
      <c r="BU37" t="s">
        <v>128</v>
      </c>
      <c r="BV37" t="s">
        <v>374</v>
      </c>
      <c r="BY37" t="s">
        <v>141</v>
      </c>
    </row>
    <row r="38" spans="1:77" x14ac:dyDescent="0.2">
      <c r="A38" t="s">
        <v>111</v>
      </c>
      <c r="B38" t="b">
        <v>1</v>
      </c>
      <c r="F38" t="str">
        <f>HYPERLINK("https://portal.dnb.de/opac.htm?method=simpleSearch&amp;cqlMode=true&amp;query=idn%3D1262276454", "Portal")</f>
        <v>Portal</v>
      </c>
      <c r="G38" t="s">
        <v>157</v>
      </c>
      <c r="H38" t="s">
        <v>375</v>
      </c>
      <c r="I38" t="s">
        <v>376</v>
      </c>
      <c r="J38" t="s">
        <v>377</v>
      </c>
      <c r="K38" t="s">
        <v>377</v>
      </c>
      <c r="L38" t="s">
        <v>377</v>
      </c>
      <c r="N38" t="s">
        <v>220</v>
      </c>
      <c r="O38" t="s">
        <v>118</v>
      </c>
      <c r="P38" t="s">
        <v>135</v>
      </c>
      <c r="R38" t="s">
        <v>188</v>
      </c>
      <c r="S38" t="s">
        <v>120</v>
      </c>
      <c r="T38" t="s">
        <v>121</v>
      </c>
      <c r="U38" t="s">
        <v>378</v>
      </c>
      <c r="W38" t="s">
        <v>67</v>
      </c>
      <c r="X38" t="s">
        <v>175</v>
      </c>
      <c r="Y38">
        <v>0</v>
      </c>
      <c r="AH38" t="s">
        <v>128</v>
      </c>
      <c r="AI38" t="s">
        <v>190</v>
      </c>
      <c r="AM38" t="s">
        <v>191</v>
      </c>
      <c r="AS38" t="s">
        <v>127</v>
      </c>
      <c r="BE38">
        <v>0</v>
      </c>
      <c r="BF38" t="s">
        <v>128</v>
      </c>
      <c r="BG38">
        <v>110</v>
      </c>
      <c r="BN38">
        <v>0</v>
      </c>
      <c r="BP38" t="s">
        <v>177</v>
      </c>
      <c r="BV38" t="s">
        <v>367</v>
      </c>
    </row>
    <row r="39" spans="1:77" x14ac:dyDescent="0.2">
      <c r="A39" t="s">
        <v>111</v>
      </c>
      <c r="B39" t="b">
        <v>1</v>
      </c>
      <c r="E39">
        <v>47</v>
      </c>
      <c r="F39" t="str">
        <f>HYPERLINK("https://portal.dnb.de/opac.htm?method=simpleSearch&amp;cqlMode=true&amp;query=idn%3D1003891322", "Portal")</f>
        <v>Portal</v>
      </c>
      <c r="G39" t="s">
        <v>112</v>
      </c>
      <c r="H39" t="s">
        <v>379</v>
      </c>
      <c r="I39" t="s">
        <v>380</v>
      </c>
      <c r="J39" t="s">
        <v>381</v>
      </c>
      <c r="K39" t="s">
        <v>381</v>
      </c>
      <c r="L39" t="s">
        <v>382</v>
      </c>
      <c r="N39" t="s">
        <v>383</v>
      </c>
      <c r="O39" t="s">
        <v>118</v>
      </c>
      <c r="P39" t="s">
        <v>135</v>
      </c>
      <c r="R39" t="s">
        <v>188</v>
      </c>
      <c r="S39" t="s">
        <v>120</v>
      </c>
      <c r="T39" t="s">
        <v>136</v>
      </c>
      <c r="U39" t="s">
        <v>378</v>
      </c>
      <c r="X39" t="s">
        <v>124</v>
      </c>
      <c r="Y39">
        <v>0</v>
      </c>
      <c r="AI39" t="s">
        <v>190</v>
      </c>
      <c r="AL39" t="s">
        <v>128</v>
      </c>
      <c r="AM39" t="s">
        <v>191</v>
      </c>
      <c r="AS39" t="s">
        <v>127</v>
      </c>
      <c r="BE39">
        <v>0</v>
      </c>
      <c r="BF39" t="s">
        <v>128</v>
      </c>
      <c r="BG39">
        <v>180</v>
      </c>
      <c r="BM39" t="s">
        <v>129</v>
      </c>
      <c r="BN39">
        <v>0</v>
      </c>
    </row>
    <row r="40" spans="1:77" x14ac:dyDescent="0.2">
      <c r="A40" t="s">
        <v>111</v>
      </c>
      <c r="B40" t="b">
        <v>1</v>
      </c>
      <c r="E40">
        <v>48</v>
      </c>
      <c r="F40" t="str">
        <f>HYPERLINK("https://portal.dnb.de/opac.htm?method=simpleSearch&amp;cqlMode=true&amp;query=idn%3D1003974899", "Portal")</f>
        <v>Portal</v>
      </c>
      <c r="G40" t="s">
        <v>112</v>
      </c>
      <c r="H40" t="s">
        <v>384</v>
      </c>
      <c r="I40" t="s">
        <v>385</v>
      </c>
      <c r="J40" t="s">
        <v>386</v>
      </c>
      <c r="K40" t="s">
        <v>386</v>
      </c>
      <c r="L40" t="s">
        <v>387</v>
      </c>
      <c r="N40" t="s">
        <v>388</v>
      </c>
      <c r="O40" t="s">
        <v>118</v>
      </c>
      <c r="P40" t="s">
        <v>135</v>
      </c>
      <c r="R40" t="s">
        <v>389</v>
      </c>
      <c r="S40" t="s">
        <v>120</v>
      </c>
      <c r="T40" t="s">
        <v>156</v>
      </c>
      <c r="X40" t="s">
        <v>124</v>
      </c>
      <c r="Y40">
        <v>0</v>
      </c>
      <c r="AI40" t="s">
        <v>390</v>
      </c>
      <c r="AS40" t="s">
        <v>127</v>
      </c>
      <c r="BG40">
        <v>180</v>
      </c>
      <c r="BM40" t="s">
        <v>129</v>
      </c>
      <c r="BN40">
        <v>0</v>
      </c>
      <c r="BS40" t="s">
        <v>128</v>
      </c>
    </row>
    <row r="41" spans="1:77" x14ac:dyDescent="0.2">
      <c r="A41" t="s">
        <v>111</v>
      </c>
      <c r="B41" t="b">
        <v>1</v>
      </c>
      <c r="E41">
        <v>49</v>
      </c>
      <c r="F41" t="str">
        <f>HYPERLINK("https://portal.dnb.de/opac.htm?method=simpleSearch&amp;cqlMode=true&amp;query=idn%3D100392705X", "Portal")</f>
        <v>Portal</v>
      </c>
      <c r="G41" t="s">
        <v>112</v>
      </c>
      <c r="H41" t="s">
        <v>391</v>
      </c>
      <c r="I41" t="s">
        <v>392</v>
      </c>
      <c r="J41" t="s">
        <v>393</v>
      </c>
      <c r="K41" t="s">
        <v>393</v>
      </c>
      <c r="L41" t="s">
        <v>394</v>
      </c>
      <c r="N41" t="s">
        <v>395</v>
      </c>
      <c r="O41" t="s">
        <v>118</v>
      </c>
      <c r="P41" t="s">
        <v>135</v>
      </c>
      <c r="R41" t="s">
        <v>188</v>
      </c>
      <c r="S41" t="s">
        <v>120</v>
      </c>
      <c r="T41" t="s">
        <v>136</v>
      </c>
      <c r="U41" t="s">
        <v>378</v>
      </c>
      <c r="X41" t="s">
        <v>124</v>
      </c>
      <c r="Y41">
        <v>0</v>
      </c>
      <c r="AI41" t="s">
        <v>190</v>
      </c>
      <c r="AL41" t="s">
        <v>128</v>
      </c>
      <c r="AM41" t="s">
        <v>191</v>
      </c>
      <c r="AS41" t="s">
        <v>127</v>
      </c>
      <c r="BE41">
        <v>2</v>
      </c>
      <c r="BG41">
        <v>180</v>
      </c>
      <c r="BM41" t="s">
        <v>129</v>
      </c>
      <c r="BN41">
        <v>0</v>
      </c>
    </row>
    <row r="42" spans="1:77" x14ac:dyDescent="0.2">
      <c r="A42" t="s">
        <v>111</v>
      </c>
      <c r="B42" t="b">
        <v>1</v>
      </c>
      <c r="E42">
        <v>50</v>
      </c>
      <c r="F42" t="str">
        <f>HYPERLINK("https://portal.dnb.de/opac.htm?method=simpleSearch&amp;cqlMode=true&amp;query=idn%3D1003880878", "Portal")</f>
        <v>Portal</v>
      </c>
      <c r="G42" t="s">
        <v>112</v>
      </c>
      <c r="H42" t="s">
        <v>396</v>
      </c>
      <c r="I42" t="s">
        <v>397</v>
      </c>
      <c r="J42" t="s">
        <v>398</v>
      </c>
      <c r="K42" t="s">
        <v>398</v>
      </c>
      <c r="L42" t="s">
        <v>399</v>
      </c>
      <c r="N42" t="s">
        <v>400</v>
      </c>
      <c r="O42" t="s">
        <v>118</v>
      </c>
      <c r="P42" t="s">
        <v>135</v>
      </c>
      <c r="R42" t="s">
        <v>188</v>
      </c>
      <c r="S42" t="s">
        <v>120</v>
      </c>
      <c r="T42" t="s">
        <v>136</v>
      </c>
      <c r="U42" t="s">
        <v>378</v>
      </c>
      <c r="X42" t="s">
        <v>124</v>
      </c>
      <c r="Y42">
        <v>0</v>
      </c>
      <c r="AI42" t="s">
        <v>190</v>
      </c>
      <c r="AM42" t="s">
        <v>191</v>
      </c>
      <c r="AS42" t="s">
        <v>127</v>
      </c>
      <c r="BE42">
        <v>0</v>
      </c>
      <c r="BG42" t="s">
        <v>176</v>
      </c>
      <c r="BM42" t="s">
        <v>129</v>
      </c>
      <c r="BN42">
        <v>0</v>
      </c>
      <c r="BV42" t="s">
        <v>401</v>
      </c>
    </row>
    <row r="43" spans="1:77" x14ac:dyDescent="0.2">
      <c r="A43" t="s">
        <v>111</v>
      </c>
      <c r="B43" t="b">
        <v>1</v>
      </c>
      <c r="E43">
        <v>51</v>
      </c>
      <c r="F43" t="str">
        <f>HYPERLINK("https://portal.dnb.de/opac.htm?method=simpleSearch&amp;cqlMode=true&amp;query=idn%3D100386838X", "Portal")</f>
        <v>Portal</v>
      </c>
      <c r="G43" t="s">
        <v>112</v>
      </c>
      <c r="H43" t="s">
        <v>402</v>
      </c>
      <c r="I43" t="s">
        <v>403</v>
      </c>
      <c r="J43" t="s">
        <v>404</v>
      </c>
      <c r="K43" t="s">
        <v>404</v>
      </c>
      <c r="L43" t="s">
        <v>405</v>
      </c>
      <c r="N43" t="s">
        <v>406</v>
      </c>
      <c r="O43" t="s">
        <v>118</v>
      </c>
      <c r="P43" t="s">
        <v>135</v>
      </c>
      <c r="R43" t="s">
        <v>119</v>
      </c>
      <c r="S43" t="s">
        <v>120</v>
      </c>
      <c r="T43" t="s">
        <v>156</v>
      </c>
      <c r="U43" t="s">
        <v>232</v>
      </c>
      <c r="X43" t="s">
        <v>124</v>
      </c>
      <c r="Y43">
        <v>0</v>
      </c>
      <c r="AI43" t="s">
        <v>125</v>
      </c>
      <c r="AM43" t="s">
        <v>126</v>
      </c>
      <c r="AS43" t="s">
        <v>127</v>
      </c>
      <c r="BG43">
        <v>110</v>
      </c>
      <c r="BM43" t="s">
        <v>129</v>
      </c>
      <c r="BN43">
        <v>0</v>
      </c>
      <c r="BY43" t="s">
        <v>141</v>
      </c>
    </row>
    <row r="44" spans="1:77" x14ac:dyDescent="0.2">
      <c r="A44" t="s">
        <v>111</v>
      </c>
      <c r="B44" t="b">
        <v>1</v>
      </c>
      <c r="E44">
        <v>52</v>
      </c>
      <c r="F44" t="str">
        <f>HYPERLINK("https://portal.dnb.de/opac.htm?method=simpleSearch&amp;cqlMode=true&amp;query=idn%3D1003867944", "Portal")</f>
        <v>Portal</v>
      </c>
      <c r="G44" t="s">
        <v>112</v>
      </c>
      <c r="H44" t="s">
        <v>407</v>
      </c>
      <c r="I44" t="s">
        <v>408</v>
      </c>
      <c r="J44" t="s">
        <v>409</v>
      </c>
      <c r="K44" t="s">
        <v>409</v>
      </c>
      <c r="L44" t="s">
        <v>410</v>
      </c>
      <c r="N44" t="s">
        <v>411</v>
      </c>
      <c r="O44" t="s">
        <v>118</v>
      </c>
      <c r="P44" t="s">
        <v>135</v>
      </c>
      <c r="R44" t="s">
        <v>119</v>
      </c>
      <c r="S44" t="s">
        <v>214</v>
      </c>
      <c r="T44" t="s">
        <v>156</v>
      </c>
      <c r="U44" t="s">
        <v>412</v>
      </c>
      <c r="W44" t="s">
        <v>138</v>
      </c>
      <c r="X44" t="s">
        <v>203</v>
      </c>
      <c r="Y44">
        <v>0</v>
      </c>
      <c r="AI44" t="s">
        <v>125</v>
      </c>
      <c r="AJ44" t="s">
        <v>413</v>
      </c>
      <c r="AM44" t="s">
        <v>126</v>
      </c>
      <c r="AS44" t="s">
        <v>127</v>
      </c>
      <c r="BG44">
        <v>110</v>
      </c>
      <c r="BM44" t="s">
        <v>129</v>
      </c>
      <c r="BN44">
        <v>0</v>
      </c>
      <c r="BT44" t="s">
        <v>140</v>
      </c>
      <c r="BU44" t="s">
        <v>128</v>
      </c>
      <c r="BY44" t="s">
        <v>414</v>
      </c>
    </row>
    <row r="45" spans="1:77" x14ac:dyDescent="0.2">
      <c r="A45" t="s">
        <v>111</v>
      </c>
      <c r="B45" t="b">
        <v>1</v>
      </c>
      <c r="E45">
        <v>53</v>
      </c>
      <c r="F45" t="str">
        <f>HYPERLINK("https://portal.dnb.de/opac.htm?method=simpleSearch&amp;cqlMode=true&amp;query=idn%3D1003988164", "Portal")</f>
        <v>Portal</v>
      </c>
      <c r="G45" t="s">
        <v>112</v>
      </c>
      <c r="H45" t="s">
        <v>415</v>
      </c>
      <c r="I45" t="s">
        <v>416</v>
      </c>
      <c r="J45" t="s">
        <v>417</v>
      </c>
      <c r="K45" t="s">
        <v>418</v>
      </c>
      <c r="L45" t="s">
        <v>419</v>
      </c>
      <c r="N45" t="s">
        <v>420</v>
      </c>
      <c r="O45" t="s">
        <v>118</v>
      </c>
      <c r="P45" t="s">
        <v>135</v>
      </c>
      <c r="Q45" t="s">
        <v>421</v>
      </c>
      <c r="R45" t="s">
        <v>188</v>
      </c>
      <c r="S45" t="s">
        <v>422</v>
      </c>
      <c r="T45" t="s">
        <v>156</v>
      </c>
      <c r="U45" t="s">
        <v>423</v>
      </c>
      <c r="W45" t="s">
        <v>138</v>
      </c>
      <c r="X45" t="s">
        <v>203</v>
      </c>
      <c r="Y45">
        <v>0</v>
      </c>
      <c r="AI45" t="s">
        <v>190</v>
      </c>
      <c r="AM45" t="s">
        <v>191</v>
      </c>
      <c r="AS45" t="s">
        <v>127</v>
      </c>
      <c r="BG45" t="s">
        <v>176</v>
      </c>
      <c r="BM45" t="s">
        <v>129</v>
      </c>
      <c r="BN45">
        <v>0</v>
      </c>
      <c r="BT45" t="s">
        <v>140</v>
      </c>
      <c r="BU45" t="s">
        <v>128</v>
      </c>
      <c r="BY45" t="s">
        <v>424</v>
      </c>
    </row>
    <row r="46" spans="1:77" x14ac:dyDescent="0.2">
      <c r="A46" t="s">
        <v>111</v>
      </c>
      <c r="B46" t="b">
        <v>1</v>
      </c>
      <c r="E46">
        <v>55</v>
      </c>
      <c r="F46" t="str">
        <f>HYPERLINK("https://portal.dnb.de/opac.htm?method=simpleSearch&amp;cqlMode=true&amp;query=idn%3D1003977170", "Portal")</f>
        <v>Portal</v>
      </c>
      <c r="G46" t="s">
        <v>112</v>
      </c>
      <c r="H46" t="s">
        <v>425</v>
      </c>
      <c r="I46" t="s">
        <v>426</v>
      </c>
      <c r="J46" t="s">
        <v>427</v>
      </c>
      <c r="K46" t="s">
        <v>427</v>
      </c>
      <c r="L46" t="s">
        <v>428</v>
      </c>
      <c r="N46" t="s">
        <v>429</v>
      </c>
      <c r="O46" t="s">
        <v>118</v>
      </c>
      <c r="P46" t="s">
        <v>135</v>
      </c>
      <c r="R46" t="s">
        <v>119</v>
      </c>
      <c r="S46" t="s">
        <v>120</v>
      </c>
      <c r="T46" t="s">
        <v>136</v>
      </c>
      <c r="U46" t="s">
        <v>148</v>
      </c>
      <c r="X46" t="s">
        <v>124</v>
      </c>
      <c r="Y46">
        <v>0</v>
      </c>
      <c r="AH46" t="s">
        <v>128</v>
      </c>
      <c r="AI46" t="s">
        <v>125</v>
      </c>
      <c r="AM46" t="s">
        <v>126</v>
      </c>
      <c r="AS46" t="s">
        <v>127</v>
      </c>
      <c r="BG46">
        <v>80</v>
      </c>
      <c r="BM46" t="s">
        <v>129</v>
      </c>
      <c r="BN46">
        <v>0</v>
      </c>
      <c r="BY46" t="s">
        <v>430</v>
      </c>
    </row>
    <row r="47" spans="1:77" x14ac:dyDescent="0.2">
      <c r="A47" t="s">
        <v>111</v>
      </c>
      <c r="B47" t="b">
        <v>1</v>
      </c>
      <c r="E47">
        <v>56</v>
      </c>
      <c r="F47" t="str">
        <f>HYPERLINK("https://portal.dnb.de/opac.htm?method=simpleSearch&amp;cqlMode=true&amp;query=idn%3D1003921698", "Portal")</f>
        <v>Portal</v>
      </c>
      <c r="G47" t="s">
        <v>112</v>
      </c>
      <c r="H47" t="s">
        <v>431</v>
      </c>
      <c r="I47" t="s">
        <v>432</v>
      </c>
      <c r="J47" t="s">
        <v>433</v>
      </c>
      <c r="K47" t="s">
        <v>433</v>
      </c>
      <c r="L47" t="s">
        <v>434</v>
      </c>
      <c r="N47" t="s">
        <v>435</v>
      </c>
      <c r="O47" t="s">
        <v>118</v>
      </c>
      <c r="P47" t="s">
        <v>135</v>
      </c>
      <c r="R47" t="s">
        <v>119</v>
      </c>
      <c r="S47" t="s">
        <v>120</v>
      </c>
      <c r="T47" t="s">
        <v>136</v>
      </c>
      <c r="U47" t="s">
        <v>436</v>
      </c>
      <c r="X47" t="s">
        <v>124</v>
      </c>
      <c r="Y47">
        <v>0</v>
      </c>
      <c r="AH47" t="s">
        <v>128</v>
      </c>
      <c r="AI47" t="s">
        <v>125</v>
      </c>
      <c r="AM47" t="s">
        <v>126</v>
      </c>
      <c r="AS47" t="s">
        <v>127</v>
      </c>
      <c r="BG47">
        <v>110</v>
      </c>
      <c r="BM47" t="s">
        <v>129</v>
      </c>
      <c r="BN47">
        <v>0</v>
      </c>
    </row>
    <row r="48" spans="1:77" x14ac:dyDescent="0.2">
      <c r="A48" t="s">
        <v>111</v>
      </c>
      <c r="B48" t="b">
        <v>1</v>
      </c>
      <c r="E48">
        <v>57</v>
      </c>
      <c r="F48" t="str">
        <f>HYPERLINK("https://portal.dnb.de/opac.htm?method=simpleSearch&amp;cqlMode=true&amp;query=idn%3D1003983944", "Portal")</f>
        <v>Portal</v>
      </c>
      <c r="G48" t="s">
        <v>112</v>
      </c>
      <c r="H48" t="s">
        <v>437</v>
      </c>
      <c r="I48" t="s">
        <v>438</v>
      </c>
      <c r="J48" t="s">
        <v>439</v>
      </c>
      <c r="K48" t="s">
        <v>439</v>
      </c>
      <c r="L48" t="s">
        <v>440</v>
      </c>
      <c r="N48" t="s">
        <v>441</v>
      </c>
      <c r="O48" t="s">
        <v>118</v>
      </c>
      <c r="P48" t="s">
        <v>135</v>
      </c>
      <c r="R48" t="s">
        <v>119</v>
      </c>
      <c r="S48" t="s">
        <v>120</v>
      </c>
      <c r="T48" t="s">
        <v>136</v>
      </c>
      <c r="U48" t="s">
        <v>436</v>
      </c>
      <c r="X48" t="s">
        <v>124</v>
      </c>
      <c r="Y48">
        <v>1</v>
      </c>
      <c r="AH48" t="s">
        <v>128</v>
      </c>
      <c r="AI48" t="s">
        <v>125</v>
      </c>
      <c r="AM48" t="s">
        <v>126</v>
      </c>
      <c r="AS48" t="s">
        <v>127</v>
      </c>
      <c r="BG48">
        <v>80</v>
      </c>
      <c r="BM48" t="s">
        <v>129</v>
      </c>
      <c r="BN48">
        <v>0</v>
      </c>
    </row>
    <row r="49" spans="1:111" x14ac:dyDescent="0.2">
      <c r="A49" t="s">
        <v>111</v>
      </c>
      <c r="B49" t="b">
        <v>1</v>
      </c>
      <c r="E49">
        <v>58</v>
      </c>
      <c r="F49" t="str">
        <f>HYPERLINK("https://portal.dnb.de/opac.htm?method=simpleSearch&amp;cqlMode=true&amp;query=idn%3D100390162X", "Portal")</f>
        <v>Portal</v>
      </c>
      <c r="G49" t="s">
        <v>112</v>
      </c>
      <c r="H49" t="s">
        <v>442</v>
      </c>
      <c r="I49" t="s">
        <v>443</v>
      </c>
      <c r="J49" t="s">
        <v>444</v>
      </c>
      <c r="K49" t="s">
        <v>444</v>
      </c>
      <c r="L49" t="s">
        <v>445</v>
      </c>
      <c r="N49" t="s">
        <v>446</v>
      </c>
      <c r="O49" t="s">
        <v>118</v>
      </c>
      <c r="P49" t="s">
        <v>135</v>
      </c>
      <c r="R49" t="s">
        <v>188</v>
      </c>
      <c r="S49" t="s">
        <v>120</v>
      </c>
      <c r="T49" t="s">
        <v>136</v>
      </c>
      <c r="U49" t="s">
        <v>232</v>
      </c>
      <c r="W49" t="s">
        <v>138</v>
      </c>
      <c r="X49" t="s">
        <v>203</v>
      </c>
      <c r="Y49">
        <v>0</v>
      </c>
      <c r="AI49" t="s">
        <v>190</v>
      </c>
      <c r="AM49" t="s">
        <v>126</v>
      </c>
      <c r="AS49" t="s">
        <v>127</v>
      </c>
      <c r="BG49">
        <v>110</v>
      </c>
      <c r="BM49" t="s">
        <v>129</v>
      </c>
      <c r="BN49">
        <v>0</v>
      </c>
      <c r="BT49" t="s">
        <v>140</v>
      </c>
      <c r="BU49" t="s">
        <v>128</v>
      </c>
      <c r="BY49" t="s">
        <v>141</v>
      </c>
    </row>
    <row r="50" spans="1:111" x14ac:dyDescent="0.2">
      <c r="A50" t="s">
        <v>111</v>
      </c>
      <c r="B50" t="b">
        <v>1</v>
      </c>
      <c r="C50" t="s">
        <v>128</v>
      </c>
      <c r="E50">
        <v>60</v>
      </c>
      <c r="F50" t="str">
        <f>HYPERLINK("https://portal.dnb.de/opac.htm?method=simpleSearch&amp;cqlMode=true&amp;query=idn%3D1003920195", "Portal")</f>
        <v>Portal</v>
      </c>
      <c r="G50" t="s">
        <v>112</v>
      </c>
      <c r="H50" t="s">
        <v>447</v>
      </c>
      <c r="I50" t="s">
        <v>448</v>
      </c>
      <c r="J50" t="s">
        <v>449</v>
      </c>
      <c r="K50" t="s">
        <v>449</v>
      </c>
      <c r="L50" t="s">
        <v>450</v>
      </c>
      <c r="N50" t="s">
        <v>451</v>
      </c>
      <c r="O50" t="s">
        <v>118</v>
      </c>
      <c r="S50" t="s">
        <v>201</v>
      </c>
      <c r="AI50" t="s">
        <v>190</v>
      </c>
      <c r="AM50" t="s">
        <v>204</v>
      </c>
      <c r="AS50" t="s">
        <v>127</v>
      </c>
      <c r="BG50">
        <v>60</v>
      </c>
      <c r="BM50" t="s">
        <v>206</v>
      </c>
      <c r="BN50">
        <v>7</v>
      </c>
      <c r="BT50" t="s">
        <v>140</v>
      </c>
      <c r="BU50" t="s">
        <v>128</v>
      </c>
      <c r="CA50" t="s">
        <v>128</v>
      </c>
      <c r="CB50" t="s">
        <v>128</v>
      </c>
      <c r="CD50" t="s">
        <v>296</v>
      </c>
      <c r="CL50" t="s">
        <v>128</v>
      </c>
      <c r="CM50">
        <v>7</v>
      </c>
      <c r="CN50" t="s">
        <v>452</v>
      </c>
    </row>
    <row r="51" spans="1:111" x14ac:dyDescent="0.2">
      <c r="A51" t="s">
        <v>111</v>
      </c>
      <c r="B51" t="b">
        <v>1</v>
      </c>
      <c r="E51">
        <v>61</v>
      </c>
      <c r="F51" t="str">
        <f>HYPERLINK("https://portal.dnb.de/opac.htm?method=simpleSearch&amp;cqlMode=true&amp;query=idn%3D1003787630", "Portal")</f>
        <v>Portal</v>
      </c>
      <c r="G51" t="s">
        <v>112</v>
      </c>
      <c r="H51" t="s">
        <v>453</v>
      </c>
      <c r="I51" t="s">
        <v>454</v>
      </c>
      <c r="J51" t="s">
        <v>455</v>
      </c>
      <c r="K51" t="s">
        <v>455</v>
      </c>
      <c r="L51" t="s">
        <v>456</v>
      </c>
      <c r="N51" t="s">
        <v>457</v>
      </c>
      <c r="O51" t="s">
        <v>118</v>
      </c>
      <c r="R51" t="s">
        <v>188</v>
      </c>
      <c r="S51" t="s">
        <v>214</v>
      </c>
      <c r="T51" t="s">
        <v>136</v>
      </c>
      <c r="U51" t="s">
        <v>378</v>
      </c>
      <c r="W51" t="s">
        <v>67</v>
      </c>
      <c r="X51" t="s">
        <v>175</v>
      </c>
      <c r="Y51">
        <v>1</v>
      </c>
      <c r="AI51" t="s">
        <v>190</v>
      </c>
      <c r="AL51" t="s">
        <v>128</v>
      </c>
      <c r="AM51" t="s">
        <v>191</v>
      </c>
      <c r="AS51" t="s">
        <v>127</v>
      </c>
      <c r="BE51">
        <v>0</v>
      </c>
      <c r="BF51" t="s">
        <v>128</v>
      </c>
      <c r="BG51">
        <v>110</v>
      </c>
      <c r="BM51" t="s">
        <v>129</v>
      </c>
      <c r="BN51">
        <v>0</v>
      </c>
      <c r="BP51" t="s">
        <v>177</v>
      </c>
      <c r="BV51" t="s">
        <v>458</v>
      </c>
    </row>
    <row r="52" spans="1:111" x14ac:dyDescent="0.2">
      <c r="A52" t="s">
        <v>111</v>
      </c>
      <c r="B52" t="b">
        <v>1</v>
      </c>
      <c r="E52">
        <v>62</v>
      </c>
      <c r="F52" t="str">
        <f>HYPERLINK("https://portal.dnb.de/opac.htm?method=simpleSearch&amp;cqlMode=true&amp;query=idn%3D1003786944", "Portal")</f>
        <v>Portal</v>
      </c>
      <c r="G52" t="s">
        <v>112</v>
      </c>
      <c r="H52" t="s">
        <v>459</v>
      </c>
      <c r="I52" t="s">
        <v>460</v>
      </c>
      <c r="J52" t="s">
        <v>461</v>
      </c>
      <c r="K52" t="s">
        <v>462</v>
      </c>
      <c r="L52" t="s">
        <v>463</v>
      </c>
      <c r="M52" t="s">
        <v>464</v>
      </c>
      <c r="N52" t="s">
        <v>465</v>
      </c>
      <c r="O52" t="s">
        <v>118</v>
      </c>
      <c r="Q52" t="s">
        <v>466</v>
      </c>
      <c r="R52" t="s">
        <v>467</v>
      </c>
      <c r="S52" t="s">
        <v>201</v>
      </c>
      <c r="T52" t="s">
        <v>121</v>
      </c>
      <c r="U52" t="s">
        <v>378</v>
      </c>
      <c r="W52" t="s">
        <v>67</v>
      </c>
      <c r="X52" t="s">
        <v>175</v>
      </c>
      <c r="Y52">
        <v>0</v>
      </c>
      <c r="AA52" t="s">
        <v>468</v>
      </c>
      <c r="AI52" t="s">
        <v>469</v>
      </c>
      <c r="AL52" t="s">
        <v>128</v>
      </c>
      <c r="AM52" t="s">
        <v>191</v>
      </c>
      <c r="AS52" t="s">
        <v>127</v>
      </c>
      <c r="AX52" t="s">
        <v>470</v>
      </c>
      <c r="BE52">
        <v>0</v>
      </c>
      <c r="BF52" t="s">
        <v>128</v>
      </c>
      <c r="BG52">
        <v>110</v>
      </c>
      <c r="BM52" t="s">
        <v>129</v>
      </c>
      <c r="BN52">
        <v>0</v>
      </c>
      <c r="BP52" t="s">
        <v>177</v>
      </c>
    </row>
    <row r="53" spans="1:111" x14ac:dyDescent="0.2">
      <c r="A53" t="s">
        <v>111</v>
      </c>
      <c r="B53" t="b">
        <v>0</v>
      </c>
      <c r="F53" t="str">
        <f>HYPERLINK("https://portal.dnb.de/opac.htm?method=simpleSearch&amp;cqlMode=true&amp;query=idn%3D", "Portal")</f>
        <v>Portal</v>
      </c>
      <c r="L53" t="s">
        <v>471</v>
      </c>
      <c r="M53" t="s">
        <v>472</v>
      </c>
      <c r="S53" t="s">
        <v>422</v>
      </c>
      <c r="AE53" t="s">
        <v>473</v>
      </c>
      <c r="AI53" t="s">
        <v>474</v>
      </c>
      <c r="AS53" t="s">
        <v>127</v>
      </c>
      <c r="BB53" t="s">
        <v>128</v>
      </c>
      <c r="BG53">
        <v>180</v>
      </c>
      <c r="BM53" t="s">
        <v>129</v>
      </c>
      <c r="BN53">
        <v>0</v>
      </c>
      <c r="BP53" t="s">
        <v>177</v>
      </c>
    </row>
    <row r="54" spans="1:111" x14ac:dyDescent="0.2">
      <c r="A54" t="s">
        <v>111</v>
      </c>
      <c r="B54" t="b">
        <v>0</v>
      </c>
      <c r="F54" t="str">
        <f>HYPERLINK("https://portal.dnb.de/opac.htm?method=simpleSearch&amp;cqlMode=true&amp;query=idn%3D", "Portal")</f>
        <v>Portal</v>
      </c>
      <c r="L54" t="s">
        <v>475</v>
      </c>
      <c r="M54" t="s">
        <v>472</v>
      </c>
      <c r="S54" t="s">
        <v>422</v>
      </c>
      <c r="AE54" t="s">
        <v>473</v>
      </c>
      <c r="AI54" t="s">
        <v>474</v>
      </c>
      <c r="AS54" t="s">
        <v>127</v>
      </c>
      <c r="BB54" t="s">
        <v>128</v>
      </c>
      <c r="BG54">
        <v>180</v>
      </c>
      <c r="BM54" t="s">
        <v>129</v>
      </c>
      <c r="BN54">
        <v>0</v>
      </c>
      <c r="BP54" t="s">
        <v>177</v>
      </c>
    </row>
    <row r="55" spans="1:111" x14ac:dyDescent="0.2">
      <c r="A55" t="s">
        <v>111</v>
      </c>
      <c r="B55" t="b">
        <v>0</v>
      </c>
      <c r="F55" t="str">
        <f>HYPERLINK("https://portal.dnb.de/opac.htm?method=simpleSearch&amp;cqlMode=true&amp;query=idn%3D", "Portal")</f>
        <v>Portal</v>
      </c>
      <c r="L55" t="s">
        <v>476</v>
      </c>
      <c r="M55" t="s">
        <v>472</v>
      </c>
      <c r="S55" t="s">
        <v>422</v>
      </c>
      <c r="AE55" t="s">
        <v>473</v>
      </c>
      <c r="AI55" t="s">
        <v>474</v>
      </c>
      <c r="AS55" t="s">
        <v>127</v>
      </c>
      <c r="BB55" t="s">
        <v>128</v>
      </c>
      <c r="BG55">
        <v>180</v>
      </c>
      <c r="BM55" t="s">
        <v>129</v>
      </c>
      <c r="BN55">
        <v>0</v>
      </c>
      <c r="BP55" t="s">
        <v>177</v>
      </c>
    </row>
    <row r="56" spans="1:111" x14ac:dyDescent="0.2">
      <c r="A56" t="s">
        <v>111</v>
      </c>
      <c r="B56" t="b">
        <v>1</v>
      </c>
      <c r="C56" t="s">
        <v>128</v>
      </c>
      <c r="E56">
        <v>63</v>
      </c>
      <c r="F56" t="str">
        <f>HYPERLINK("https://portal.dnb.de/opac.htm?method=simpleSearch&amp;cqlMode=true&amp;query=idn%3D1003988458", "Portal")</f>
        <v>Portal</v>
      </c>
      <c r="G56" t="s">
        <v>112</v>
      </c>
      <c r="H56" t="s">
        <v>477</v>
      </c>
      <c r="I56" t="s">
        <v>478</v>
      </c>
      <c r="J56" t="s">
        <v>479</v>
      </c>
      <c r="K56" t="s">
        <v>479</v>
      </c>
      <c r="L56" t="s">
        <v>480</v>
      </c>
      <c r="N56" t="s">
        <v>481</v>
      </c>
      <c r="O56" t="s">
        <v>118</v>
      </c>
      <c r="P56" t="s">
        <v>135</v>
      </c>
      <c r="R56" t="s">
        <v>188</v>
      </c>
      <c r="S56" t="s">
        <v>120</v>
      </c>
      <c r="T56" t="s">
        <v>136</v>
      </c>
      <c r="U56" t="s">
        <v>232</v>
      </c>
      <c r="W56" t="s">
        <v>138</v>
      </c>
      <c r="X56" t="s">
        <v>203</v>
      </c>
      <c r="Y56">
        <v>2</v>
      </c>
      <c r="AI56" t="s">
        <v>190</v>
      </c>
      <c r="AM56" t="s">
        <v>204</v>
      </c>
      <c r="AS56" t="s">
        <v>127</v>
      </c>
      <c r="BG56">
        <v>45</v>
      </c>
      <c r="BM56" t="s">
        <v>206</v>
      </c>
      <c r="BN56">
        <v>7.5</v>
      </c>
      <c r="BT56" t="s">
        <v>140</v>
      </c>
      <c r="BU56" t="s">
        <v>128</v>
      </c>
      <c r="BV56" t="s">
        <v>482</v>
      </c>
      <c r="CA56" t="s">
        <v>128</v>
      </c>
      <c r="CB56" t="s">
        <v>128</v>
      </c>
      <c r="CD56" t="s">
        <v>483</v>
      </c>
      <c r="CE56">
        <v>3</v>
      </c>
      <c r="CM56">
        <v>6</v>
      </c>
      <c r="CN56" t="s">
        <v>484</v>
      </c>
      <c r="CV56" t="s">
        <v>128</v>
      </c>
      <c r="DF56">
        <v>1.5</v>
      </c>
    </row>
    <row r="57" spans="1:111" x14ac:dyDescent="0.2">
      <c r="A57" t="s">
        <v>111</v>
      </c>
      <c r="B57" t="b">
        <v>1</v>
      </c>
      <c r="E57">
        <v>64</v>
      </c>
      <c r="F57" t="str">
        <f>HYPERLINK("https://portal.dnb.de/opac.htm?method=simpleSearch&amp;cqlMode=true&amp;query=idn%3D1003797199", "Portal")</f>
        <v>Portal</v>
      </c>
      <c r="G57" t="s">
        <v>112</v>
      </c>
      <c r="H57" t="s">
        <v>485</v>
      </c>
      <c r="I57" t="s">
        <v>486</v>
      </c>
      <c r="J57" t="s">
        <v>487</v>
      </c>
      <c r="K57" t="s">
        <v>487</v>
      </c>
      <c r="L57" t="s">
        <v>488</v>
      </c>
      <c r="N57" t="s">
        <v>489</v>
      </c>
      <c r="O57" t="s">
        <v>118</v>
      </c>
      <c r="P57" t="s">
        <v>135</v>
      </c>
      <c r="R57" t="s">
        <v>119</v>
      </c>
      <c r="S57" t="s">
        <v>120</v>
      </c>
      <c r="T57" t="s">
        <v>156</v>
      </c>
      <c r="U57" t="s">
        <v>490</v>
      </c>
      <c r="X57" t="s">
        <v>124</v>
      </c>
      <c r="AI57" t="s">
        <v>125</v>
      </c>
      <c r="AJ57" t="s">
        <v>491</v>
      </c>
      <c r="AM57" t="s">
        <v>126</v>
      </c>
      <c r="AS57" t="s">
        <v>127</v>
      </c>
      <c r="AZ57" t="s">
        <v>128</v>
      </c>
      <c r="BA57" t="s">
        <v>492</v>
      </c>
      <c r="BB57" t="s">
        <v>128</v>
      </c>
      <c r="BC57" t="s">
        <v>493</v>
      </c>
      <c r="BD57" t="s">
        <v>128</v>
      </c>
      <c r="BG57">
        <v>110</v>
      </c>
      <c r="BM57" t="s">
        <v>129</v>
      </c>
      <c r="BN57">
        <v>0</v>
      </c>
      <c r="BV57" t="s">
        <v>494</v>
      </c>
      <c r="BY57" t="s">
        <v>141</v>
      </c>
    </row>
    <row r="58" spans="1:111" x14ac:dyDescent="0.2">
      <c r="A58" t="s">
        <v>111</v>
      </c>
      <c r="B58" t="b">
        <v>1</v>
      </c>
      <c r="C58" t="s">
        <v>128</v>
      </c>
      <c r="E58">
        <v>65</v>
      </c>
      <c r="F58" t="str">
        <f>HYPERLINK("https://portal.dnb.de/opac.htm?method=simpleSearch&amp;cqlMode=true&amp;query=idn%3D1003798918", "Portal")</f>
        <v>Portal</v>
      </c>
      <c r="G58" t="s">
        <v>112</v>
      </c>
      <c r="H58" t="s">
        <v>495</v>
      </c>
      <c r="I58" t="s">
        <v>496</v>
      </c>
      <c r="J58" t="s">
        <v>497</v>
      </c>
      <c r="K58" t="s">
        <v>497</v>
      </c>
      <c r="L58" t="s">
        <v>498</v>
      </c>
      <c r="N58" t="s">
        <v>499</v>
      </c>
      <c r="O58" t="s">
        <v>118</v>
      </c>
      <c r="R58" t="s">
        <v>286</v>
      </c>
      <c r="S58" t="s">
        <v>201</v>
      </c>
      <c r="T58" t="s">
        <v>136</v>
      </c>
      <c r="U58" t="s">
        <v>137</v>
      </c>
      <c r="W58" t="s">
        <v>138</v>
      </c>
      <c r="X58" t="s">
        <v>203</v>
      </c>
      <c r="Y58">
        <v>1</v>
      </c>
      <c r="AI58" t="s">
        <v>338</v>
      </c>
      <c r="AM58" t="s">
        <v>191</v>
      </c>
      <c r="AS58" t="s">
        <v>127</v>
      </c>
      <c r="BG58">
        <v>110</v>
      </c>
      <c r="BI58" t="s">
        <v>128</v>
      </c>
      <c r="BJ58" t="s">
        <v>500</v>
      </c>
      <c r="BM58" t="s">
        <v>206</v>
      </c>
      <c r="BN58">
        <v>6</v>
      </c>
      <c r="BT58" t="s">
        <v>140</v>
      </c>
      <c r="BU58" t="s">
        <v>128</v>
      </c>
      <c r="BV58" t="s">
        <v>501</v>
      </c>
      <c r="CO58" t="s">
        <v>128</v>
      </c>
      <c r="CV58" t="s">
        <v>128</v>
      </c>
      <c r="CY58" t="s">
        <v>128</v>
      </c>
      <c r="DC58" t="s">
        <v>128</v>
      </c>
      <c r="DF58">
        <v>6</v>
      </c>
      <c r="DG58" t="s">
        <v>502</v>
      </c>
    </row>
    <row r="59" spans="1:111" x14ac:dyDescent="0.2">
      <c r="A59" t="s">
        <v>111</v>
      </c>
      <c r="B59" t="b">
        <v>1</v>
      </c>
      <c r="E59">
        <v>66</v>
      </c>
      <c r="F59" t="str">
        <f>HYPERLINK("https://portal.dnb.de/opac.htm?method=simpleSearch&amp;cqlMode=true&amp;query=idn%3D1003941494", "Portal")</f>
        <v>Portal</v>
      </c>
      <c r="G59" t="s">
        <v>112</v>
      </c>
      <c r="H59" t="s">
        <v>503</v>
      </c>
      <c r="I59" t="s">
        <v>504</v>
      </c>
      <c r="J59" t="s">
        <v>505</v>
      </c>
      <c r="K59" t="s">
        <v>506</v>
      </c>
      <c r="L59" t="s">
        <v>507</v>
      </c>
      <c r="N59" t="s">
        <v>508</v>
      </c>
      <c r="O59" t="s">
        <v>118</v>
      </c>
      <c r="S59" t="s">
        <v>201</v>
      </c>
      <c r="AE59" t="s">
        <v>509</v>
      </c>
      <c r="AI59" t="s">
        <v>338</v>
      </c>
      <c r="AL59" t="s">
        <v>128</v>
      </c>
      <c r="AM59" t="s">
        <v>150</v>
      </c>
      <c r="AS59" t="s">
        <v>127</v>
      </c>
      <c r="AX59" t="s">
        <v>128</v>
      </c>
      <c r="BB59" t="s">
        <v>128</v>
      </c>
      <c r="BG59">
        <v>110</v>
      </c>
      <c r="BM59" t="s">
        <v>129</v>
      </c>
      <c r="BN59">
        <v>0</v>
      </c>
      <c r="BP59" t="s">
        <v>177</v>
      </c>
    </row>
    <row r="60" spans="1:111" x14ac:dyDescent="0.2">
      <c r="A60" t="s">
        <v>111</v>
      </c>
      <c r="B60" t="b">
        <v>1</v>
      </c>
      <c r="F60" t="str">
        <f>HYPERLINK("https://portal.dnb.de/opac.htm?method=simpleSearch&amp;cqlMode=true&amp;query=idn%3D1262273439", "Portal")</f>
        <v>Portal</v>
      </c>
      <c r="G60" t="s">
        <v>157</v>
      </c>
      <c r="H60" t="s">
        <v>510</v>
      </c>
      <c r="I60" t="s">
        <v>511</v>
      </c>
      <c r="J60" t="s">
        <v>505</v>
      </c>
      <c r="K60" t="s">
        <v>512</v>
      </c>
      <c r="L60" t="s">
        <v>512</v>
      </c>
      <c r="N60" t="s">
        <v>220</v>
      </c>
      <c r="O60" t="s">
        <v>118</v>
      </c>
      <c r="S60" t="s">
        <v>201</v>
      </c>
      <c r="AE60" t="s">
        <v>513</v>
      </c>
      <c r="AI60" t="s">
        <v>338</v>
      </c>
      <c r="AL60" t="s">
        <v>128</v>
      </c>
      <c r="AM60" t="s">
        <v>150</v>
      </c>
      <c r="AS60" t="s">
        <v>127</v>
      </c>
      <c r="AX60" t="s">
        <v>128</v>
      </c>
      <c r="BB60" t="s">
        <v>128</v>
      </c>
      <c r="BG60">
        <v>110</v>
      </c>
      <c r="BM60" t="s">
        <v>129</v>
      </c>
      <c r="BN60">
        <v>0</v>
      </c>
      <c r="BP60" t="s">
        <v>177</v>
      </c>
    </row>
    <row r="61" spans="1:111" x14ac:dyDescent="0.2">
      <c r="A61" t="s">
        <v>111</v>
      </c>
      <c r="B61" t="b">
        <v>1</v>
      </c>
      <c r="E61">
        <v>69</v>
      </c>
      <c r="F61" t="str">
        <f>HYPERLINK("https://portal.dnb.de/opac.htm?method=simpleSearch&amp;cqlMode=true&amp;query=idn%3D1003928005", "Portal")</f>
        <v>Portal</v>
      </c>
      <c r="G61" t="s">
        <v>112</v>
      </c>
      <c r="H61" t="s">
        <v>514</v>
      </c>
      <c r="I61" t="s">
        <v>515</v>
      </c>
      <c r="J61" t="s">
        <v>516</v>
      </c>
      <c r="K61" t="s">
        <v>516</v>
      </c>
      <c r="L61" t="s">
        <v>517</v>
      </c>
      <c r="N61" t="s">
        <v>518</v>
      </c>
      <c r="O61" t="s">
        <v>118</v>
      </c>
      <c r="P61" t="s">
        <v>135</v>
      </c>
      <c r="R61" t="s">
        <v>119</v>
      </c>
      <c r="S61" t="s">
        <v>120</v>
      </c>
      <c r="T61" t="s">
        <v>136</v>
      </c>
      <c r="U61" t="s">
        <v>519</v>
      </c>
      <c r="X61" t="s">
        <v>124</v>
      </c>
      <c r="Y61">
        <v>0</v>
      </c>
      <c r="AH61" t="s">
        <v>128</v>
      </c>
      <c r="AI61" t="s">
        <v>125</v>
      </c>
      <c r="AM61" t="s">
        <v>126</v>
      </c>
      <c r="AS61" t="s">
        <v>127</v>
      </c>
      <c r="BG61">
        <v>110</v>
      </c>
      <c r="BM61" t="s">
        <v>129</v>
      </c>
      <c r="BN61">
        <v>0</v>
      </c>
      <c r="BY61" t="s">
        <v>430</v>
      </c>
    </row>
    <row r="62" spans="1:111" x14ac:dyDescent="0.2">
      <c r="A62" t="s">
        <v>111</v>
      </c>
      <c r="B62" t="b">
        <v>1</v>
      </c>
      <c r="E62">
        <v>70</v>
      </c>
      <c r="F62" t="str">
        <f>HYPERLINK("https://portal.dnb.de/opac.htm?method=simpleSearch&amp;cqlMode=true&amp;query=idn%3D1003840507", "Portal")</f>
        <v>Portal</v>
      </c>
      <c r="G62" t="s">
        <v>112</v>
      </c>
      <c r="H62" t="s">
        <v>520</v>
      </c>
      <c r="I62" t="s">
        <v>521</v>
      </c>
      <c r="J62" t="s">
        <v>522</v>
      </c>
      <c r="K62" t="s">
        <v>522</v>
      </c>
      <c r="L62" t="s">
        <v>523</v>
      </c>
      <c r="N62" t="s">
        <v>524</v>
      </c>
      <c r="O62" t="s">
        <v>118</v>
      </c>
      <c r="P62" t="s">
        <v>135</v>
      </c>
      <c r="R62" t="s">
        <v>119</v>
      </c>
      <c r="S62" t="s">
        <v>120</v>
      </c>
      <c r="T62" t="s">
        <v>136</v>
      </c>
      <c r="U62" t="s">
        <v>148</v>
      </c>
      <c r="X62" t="s">
        <v>124</v>
      </c>
      <c r="Y62">
        <v>0</v>
      </c>
      <c r="AH62" t="s">
        <v>128</v>
      </c>
      <c r="AI62" t="s">
        <v>125</v>
      </c>
      <c r="AM62" t="s">
        <v>126</v>
      </c>
      <c r="AS62" t="s">
        <v>127</v>
      </c>
      <c r="BG62">
        <v>110</v>
      </c>
      <c r="BM62" t="s">
        <v>129</v>
      </c>
      <c r="BN62">
        <v>0</v>
      </c>
      <c r="BW62" t="s">
        <v>525</v>
      </c>
      <c r="BY62" t="s">
        <v>430</v>
      </c>
    </row>
    <row r="63" spans="1:111" x14ac:dyDescent="0.2">
      <c r="A63" t="s">
        <v>111</v>
      </c>
      <c r="B63" t="b">
        <v>1</v>
      </c>
      <c r="E63">
        <v>71</v>
      </c>
      <c r="F63" t="str">
        <f>HYPERLINK("https://portal.dnb.de/opac.htm?method=simpleSearch&amp;cqlMode=true&amp;query=idn%3D1003929176", "Portal")</f>
        <v>Portal</v>
      </c>
      <c r="G63" t="s">
        <v>112</v>
      </c>
      <c r="H63" t="s">
        <v>526</v>
      </c>
      <c r="I63" t="s">
        <v>527</v>
      </c>
      <c r="J63" t="s">
        <v>528</v>
      </c>
      <c r="K63" t="s">
        <v>528</v>
      </c>
      <c r="L63" t="s">
        <v>529</v>
      </c>
      <c r="N63" t="s">
        <v>530</v>
      </c>
      <c r="O63" t="s">
        <v>118</v>
      </c>
      <c r="P63" t="s">
        <v>135</v>
      </c>
      <c r="R63" t="s">
        <v>119</v>
      </c>
      <c r="S63" t="s">
        <v>120</v>
      </c>
      <c r="T63" t="s">
        <v>136</v>
      </c>
      <c r="U63" t="s">
        <v>364</v>
      </c>
      <c r="W63" t="s">
        <v>138</v>
      </c>
      <c r="X63" t="s">
        <v>203</v>
      </c>
      <c r="Y63">
        <v>1</v>
      </c>
      <c r="AH63" t="s">
        <v>128</v>
      </c>
      <c r="AI63" t="s">
        <v>190</v>
      </c>
      <c r="AM63" t="s">
        <v>191</v>
      </c>
      <c r="AS63" t="s">
        <v>127</v>
      </c>
      <c r="BE63">
        <v>0</v>
      </c>
      <c r="BF63" t="s">
        <v>128</v>
      </c>
      <c r="BG63">
        <v>0</v>
      </c>
      <c r="BH63" t="s">
        <v>531</v>
      </c>
      <c r="BM63" t="s">
        <v>129</v>
      </c>
      <c r="BN63">
        <v>0</v>
      </c>
      <c r="BT63" t="s">
        <v>140</v>
      </c>
      <c r="BU63" t="s">
        <v>128</v>
      </c>
      <c r="BY63" t="s">
        <v>141</v>
      </c>
    </row>
    <row r="64" spans="1:111" x14ac:dyDescent="0.2">
      <c r="A64" t="s">
        <v>111</v>
      </c>
      <c r="B64" t="b">
        <v>1</v>
      </c>
      <c r="E64">
        <v>72</v>
      </c>
      <c r="F64" t="str">
        <f>HYPERLINK("https://portal.dnb.de/opac.htm?method=simpleSearch&amp;cqlMode=true&amp;query=idn%3D1003800785", "Portal")</f>
        <v>Portal</v>
      </c>
      <c r="G64" t="s">
        <v>112</v>
      </c>
      <c r="H64" t="s">
        <v>532</v>
      </c>
      <c r="I64" t="s">
        <v>533</v>
      </c>
      <c r="J64" t="s">
        <v>534</v>
      </c>
      <c r="K64" t="s">
        <v>534</v>
      </c>
      <c r="L64" t="s">
        <v>535</v>
      </c>
      <c r="M64" t="s">
        <v>536</v>
      </c>
      <c r="N64" t="s">
        <v>537</v>
      </c>
      <c r="O64" t="s">
        <v>118</v>
      </c>
      <c r="BN64">
        <v>0</v>
      </c>
    </row>
    <row r="65" spans="1:91" x14ac:dyDescent="0.2">
      <c r="A65" t="s">
        <v>111</v>
      </c>
      <c r="B65" t="b">
        <v>1</v>
      </c>
      <c r="C65" t="s">
        <v>128</v>
      </c>
      <c r="E65">
        <v>73</v>
      </c>
      <c r="F65" t="str">
        <f>HYPERLINK("https://portal.dnb.de/opac.htm?method=simpleSearch&amp;cqlMode=true&amp;query=idn%3D1003872638", "Portal")</f>
        <v>Portal</v>
      </c>
      <c r="G65" t="s">
        <v>207</v>
      </c>
      <c r="H65" t="s">
        <v>538</v>
      </c>
      <c r="I65" t="s">
        <v>539</v>
      </c>
      <c r="J65" t="s">
        <v>540</v>
      </c>
      <c r="K65" t="s">
        <v>540</v>
      </c>
      <c r="L65" t="s">
        <v>541</v>
      </c>
      <c r="N65" t="s">
        <v>542</v>
      </c>
      <c r="O65" t="s">
        <v>543</v>
      </c>
      <c r="P65" t="s">
        <v>135</v>
      </c>
      <c r="R65" t="s">
        <v>188</v>
      </c>
      <c r="S65" t="s">
        <v>120</v>
      </c>
      <c r="T65" t="s">
        <v>136</v>
      </c>
      <c r="U65" t="s">
        <v>544</v>
      </c>
      <c r="V65" t="s">
        <v>123</v>
      </c>
      <c r="W65" t="s">
        <v>138</v>
      </c>
      <c r="X65" t="s">
        <v>203</v>
      </c>
      <c r="Y65">
        <v>1</v>
      </c>
      <c r="AI65" t="s">
        <v>190</v>
      </c>
      <c r="AM65" t="s">
        <v>204</v>
      </c>
      <c r="AS65" t="s">
        <v>127</v>
      </c>
      <c r="AZ65" t="s">
        <v>128</v>
      </c>
      <c r="BG65">
        <v>60</v>
      </c>
      <c r="BH65" t="s">
        <v>545</v>
      </c>
      <c r="BM65" t="s">
        <v>206</v>
      </c>
      <c r="BN65">
        <v>0.5</v>
      </c>
      <c r="BT65" t="s">
        <v>140</v>
      </c>
      <c r="BU65" t="s">
        <v>128</v>
      </c>
      <c r="BV65" t="s">
        <v>546</v>
      </c>
      <c r="BY65" t="s">
        <v>547</v>
      </c>
      <c r="CB65" t="s">
        <v>128</v>
      </c>
      <c r="CL65" t="s">
        <v>128</v>
      </c>
      <c r="CM65">
        <v>0.5</v>
      </c>
    </row>
    <row r="66" spans="1:91" x14ac:dyDescent="0.2">
      <c r="A66" t="s">
        <v>111</v>
      </c>
      <c r="B66" t="b">
        <v>1</v>
      </c>
      <c r="E66">
        <v>74</v>
      </c>
      <c r="F66" t="str">
        <f>HYPERLINK("https://portal.dnb.de/opac.htm?method=simpleSearch&amp;cqlMode=true&amp;query=idn%3D100399234X", "Portal")</f>
        <v>Portal</v>
      </c>
      <c r="G66" t="s">
        <v>112</v>
      </c>
      <c r="H66" t="s">
        <v>548</v>
      </c>
      <c r="I66" t="s">
        <v>549</v>
      </c>
      <c r="J66" t="s">
        <v>550</v>
      </c>
      <c r="K66" t="s">
        <v>550</v>
      </c>
      <c r="L66" t="s">
        <v>551</v>
      </c>
      <c r="N66" t="s">
        <v>552</v>
      </c>
      <c r="O66" t="s">
        <v>118</v>
      </c>
      <c r="P66" t="s">
        <v>135</v>
      </c>
      <c r="R66" t="s">
        <v>162</v>
      </c>
      <c r="S66" t="s">
        <v>120</v>
      </c>
      <c r="T66" t="s">
        <v>136</v>
      </c>
      <c r="U66" t="s">
        <v>553</v>
      </c>
      <c r="V66" t="s">
        <v>123</v>
      </c>
      <c r="X66" t="s">
        <v>124</v>
      </c>
      <c r="Y66">
        <v>0</v>
      </c>
      <c r="AI66" t="s">
        <v>149</v>
      </c>
      <c r="AM66" t="s">
        <v>126</v>
      </c>
      <c r="AS66" t="s">
        <v>127</v>
      </c>
      <c r="BG66">
        <v>110</v>
      </c>
      <c r="BM66" t="s">
        <v>129</v>
      </c>
      <c r="BN66">
        <v>0</v>
      </c>
    </row>
    <row r="67" spans="1:91" x14ac:dyDescent="0.2">
      <c r="A67" t="s">
        <v>111</v>
      </c>
      <c r="B67" t="b">
        <v>1</v>
      </c>
      <c r="E67">
        <v>75</v>
      </c>
      <c r="F67" t="str">
        <f>HYPERLINK("https://portal.dnb.de/opac.htm?method=simpleSearch&amp;cqlMode=true&amp;query=idn%3D1003992730", "Portal")</f>
        <v>Portal</v>
      </c>
      <c r="G67" t="s">
        <v>112</v>
      </c>
      <c r="H67" t="s">
        <v>554</v>
      </c>
      <c r="I67" t="s">
        <v>555</v>
      </c>
      <c r="J67" t="s">
        <v>556</v>
      </c>
      <c r="K67" t="s">
        <v>556</v>
      </c>
      <c r="L67" t="s">
        <v>557</v>
      </c>
      <c r="N67" t="s">
        <v>558</v>
      </c>
      <c r="O67" t="s">
        <v>118</v>
      </c>
      <c r="P67" t="s">
        <v>135</v>
      </c>
      <c r="R67" t="s">
        <v>188</v>
      </c>
      <c r="S67" t="s">
        <v>120</v>
      </c>
      <c r="T67" t="s">
        <v>136</v>
      </c>
      <c r="U67" t="s">
        <v>423</v>
      </c>
      <c r="X67" t="s">
        <v>124</v>
      </c>
      <c r="Y67">
        <v>1</v>
      </c>
      <c r="AI67" t="s">
        <v>190</v>
      </c>
      <c r="AL67" t="s">
        <v>128</v>
      </c>
      <c r="AM67" t="s">
        <v>191</v>
      </c>
      <c r="AS67" t="s">
        <v>127</v>
      </c>
      <c r="BG67">
        <v>110</v>
      </c>
      <c r="BM67" t="s">
        <v>129</v>
      </c>
      <c r="BN67">
        <v>0</v>
      </c>
    </row>
    <row r="68" spans="1:91" x14ac:dyDescent="0.2">
      <c r="A68" t="s">
        <v>111</v>
      </c>
      <c r="B68" t="b">
        <v>1</v>
      </c>
      <c r="E68">
        <v>76</v>
      </c>
      <c r="F68" t="str">
        <f>HYPERLINK("https://portal.dnb.de/opac.htm?method=simpleSearch&amp;cqlMode=true&amp;query=idn%3D1003915108", "Portal")</f>
        <v>Portal</v>
      </c>
      <c r="G68" t="s">
        <v>112</v>
      </c>
      <c r="H68" t="s">
        <v>559</v>
      </c>
      <c r="I68" t="s">
        <v>560</v>
      </c>
      <c r="J68" t="s">
        <v>561</v>
      </c>
      <c r="K68" t="s">
        <v>561</v>
      </c>
      <c r="L68" t="s">
        <v>562</v>
      </c>
      <c r="N68" t="s">
        <v>563</v>
      </c>
      <c r="O68" t="s">
        <v>118</v>
      </c>
      <c r="P68" t="s">
        <v>135</v>
      </c>
      <c r="R68" t="s">
        <v>188</v>
      </c>
      <c r="S68" t="s">
        <v>120</v>
      </c>
      <c r="T68" t="s">
        <v>136</v>
      </c>
      <c r="U68" t="s">
        <v>564</v>
      </c>
      <c r="W68" t="s">
        <v>138</v>
      </c>
      <c r="X68" t="s">
        <v>203</v>
      </c>
      <c r="Y68">
        <v>0</v>
      </c>
      <c r="AI68" t="s">
        <v>190</v>
      </c>
      <c r="AM68" t="s">
        <v>191</v>
      </c>
      <c r="AS68" t="s">
        <v>127</v>
      </c>
      <c r="BE68">
        <v>2</v>
      </c>
      <c r="BG68">
        <v>110</v>
      </c>
      <c r="BH68" t="s">
        <v>565</v>
      </c>
      <c r="BN68">
        <v>0</v>
      </c>
      <c r="BT68" t="s">
        <v>140</v>
      </c>
      <c r="BU68" t="s">
        <v>128</v>
      </c>
      <c r="BV68" t="s">
        <v>566</v>
      </c>
      <c r="BY68" t="s">
        <v>141</v>
      </c>
    </row>
    <row r="69" spans="1:91" x14ac:dyDescent="0.2">
      <c r="A69" t="s">
        <v>111</v>
      </c>
      <c r="B69" t="b">
        <v>1</v>
      </c>
      <c r="E69">
        <v>77</v>
      </c>
      <c r="F69" t="str">
        <f>HYPERLINK("https://portal.dnb.de/opac.htm?method=simpleSearch&amp;cqlMode=true&amp;query=idn%3D1003984738", "Portal")</f>
        <v>Portal</v>
      </c>
      <c r="G69" t="s">
        <v>112</v>
      </c>
      <c r="H69" t="s">
        <v>567</v>
      </c>
      <c r="I69" t="s">
        <v>568</v>
      </c>
      <c r="J69" t="s">
        <v>569</v>
      </c>
      <c r="K69" t="s">
        <v>569</v>
      </c>
      <c r="L69" t="s">
        <v>570</v>
      </c>
      <c r="N69" t="s">
        <v>571</v>
      </c>
      <c r="O69" t="s">
        <v>118</v>
      </c>
      <c r="P69" t="s">
        <v>135</v>
      </c>
      <c r="R69" t="s">
        <v>119</v>
      </c>
      <c r="S69" t="s">
        <v>120</v>
      </c>
      <c r="T69" t="s">
        <v>136</v>
      </c>
      <c r="U69" t="s">
        <v>519</v>
      </c>
      <c r="W69" t="s">
        <v>67</v>
      </c>
      <c r="X69" t="s">
        <v>175</v>
      </c>
      <c r="Y69">
        <v>0</v>
      </c>
      <c r="AH69" t="s">
        <v>128</v>
      </c>
      <c r="AI69" t="s">
        <v>125</v>
      </c>
      <c r="AL69" t="s">
        <v>128</v>
      </c>
      <c r="AM69" t="s">
        <v>150</v>
      </c>
      <c r="AN69" t="s">
        <v>128</v>
      </c>
      <c r="AS69" t="s">
        <v>127</v>
      </c>
      <c r="AX69" t="s">
        <v>128</v>
      </c>
      <c r="BE69">
        <v>0</v>
      </c>
      <c r="BF69" t="s">
        <v>128</v>
      </c>
      <c r="BG69">
        <v>110</v>
      </c>
      <c r="BK69" t="s">
        <v>128</v>
      </c>
      <c r="BM69" t="s">
        <v>129</v>
      </c>
      <c r="BN69">
        <v>0</v>
      </c>
      <c r="BP69" t="s">
        <v>177</v>
      </c>
    </row>
    <row r="70" spans="1:91" x14ac:dyDescent="0.2">
      <c r="A70" t="s">
        <v>111</v>
      </c>
      <c r="B70" t="b">
        <v>1</v>
      </c>
      <c r="F70" t="str">
        <f>HYPERLINK("https://portal.dnb.de/opac.htm?method=simpleSearch&amp;cqlMode=true&amp;query=idn%3D1003974392", "Portal")</f>
        <v>Portal</v>
      </c>
      <c r="G70" t="s">
        <v>112</v>
      </c>
      <c r="H70" t="s">
        <v>572</v>
      </c>
      <c r="I70" t="s">
        <v>573</v>
      </c>
      <c r="J70" t="s">
        <v>574</v>
      </c>
      <c r="K70" t="s">
        <v>574</v>
      </c>
      <c r="L70" t="s">
        <v>574</v>
      </c>
      <c r="N70" t="s">
        <v>575</v>
      </c>
      <c r="O70" t="s">
        <v>118</v>
      </c>
      <c r="P70" t="s">
        <v>135</v>
      </c>
      <c r="R70" t="s">
        <v>119</v>
      </c>
      <c r="S70" t="s">
        <v>120</v>
      </c>
      <c r="T70" t="s">
        <v>136</v>
      </c>
      <c r="U70" t="s">
        <v>576</v>
      </c>
      <c r="W70" t="s">
        <v>138</v>
      </c>
      <c r="X70" t="s">
        <v>139</v>
      </c>
      <c r="Y70">
        <v>0</v>
      </c>
      <c r="AH70" t="s">
        <v>128</v>
      </c>
      <c r="AI70" t="s">
        <v>125</v>
      </c>
      <c r="AM70" t="s">
        <v>126</v>
      </c>
      <c r="AN70" t="s">
        <v>128</v>
      </c>
      <c r="AS70" t="s">
        <v>127</v>
      </c>
      <c r="BG70" t="s">
        <v>176</v>
      </c>
      <c r="BM70" t="s">
        <v>129</v>
      </c>
      <c r="BN70">
        <v>0</v>
      </c>
      <c r="BT70" t="s">
        <v>140</v>
      </c>
      <c r="BU70" t="s">
        <v>128</v>
      </c>
    </row>
    <row r="71" spans="1:91" x14ac:dyDescent="0.2">
      <c r="A71" t="s">
        <v>111</v>
      </c>
      <c r="B71" t="b">
        <v>1</v>
      </c>
      <c r="E71">
        <v>79</v>
      </c>
      <c r="F71" t="str">
        <f>HYPERLINK("https://portal.dnb.de/opac.htm?method=simpleSearch&amp;cqlMode=true&amp;query=idn%3D1003964338", "Portal")</f>
        <v>Portal</v>
      </c>
      <c r="G71" t="s">
        <v>112</v>
      </c>
      <c r="H71" t="s">
        <v>577</v>
      </c>
      <c r="I71" t="s">
        <v>578</v>
      </c>
      <c r="J71" t="s">
        <v>579</v>
      </c>
      <c r="K71" t="s">
        <v>579</v>
      </c>
      <c r="L71" t="s">
        <v>580</v>
      </c>
      <c r="N71" t="s">
        <v>581</v>
      </c>
      <c r="O71" t="s">
        <v>118</v>
      </c>
      <c r="R71" t="s">
        <v>119</v>
      </c>
      <c r="S71" t="s">
        <v>120</v>
      </c>
      <c r="T71" t="s">
        <v>121</v>
      </c>
      <c r="U71" t="s">
        <v>519</v>
      </c>
      <c r="X71" t="s">
        <v>124</v>
      </c>
      <c r="Y71">
        <v>0</v>
      </c>
      <c r="AH71" t="s">
        <v>128</v>
      </c>
      <c r="AI71" t="s">
        <v>125</v>
      </c>
      <c r="AM71" t="s">
        <v>126</v>
      </c>
      <c r="AN71" t="s">
        <v>128</v>
      </c>
      <c r="AS71" t="s">
        <v>127</v>
      </c>
      <c r="BG71">
        <v>110</v>
      </c>
      <c r="BM71" t="s">
        <v>129</v>
      </c>
      <c r="BN71">
        <v>0</v>
      </c>
    </row>
    <row r="72" spans="1:91" x14ac:dyDescent="0.2">
      <c r="A72" t="s">
        <v>111</v>
      </c>
      <c r="B72" t="b">
        <v>1</v>
      </c>
      <c r="E72">
        <v>80</v>
      </c>
      <c r="F72" t="str">
        <f>HYPERLINK("https://portal.dnb.de/opac.htm?method=simpleSearch&amp;cqlMode=true&amp;query=idn%3D100389951X", "Portal")</f>
        <v>Portal</v>
      </c>
      <c r="G72" t="s">
        <v>112</v>
      </c>
      <c r="H72" t="s">
        <v>582</v>
      </c>
      <c r="I72" t="s">
        <v>583</v>
      </c>
      <c r="J72" t="s">
        <v>584</v>
      </c>
      <c r="K72" t="s">
        <v>584</v>
      </c>
      <c r="L72" t="s">
        <v>585</v>
      </c>
      <c r="N72" t="s">
        <v>586</v>
      </c>
      <c r="O72" t="s">
        <v>118</v>
      </c>
      <c r="R72" t="s">
        <v>286</v>
      </c>
      <c r="S72" t="s">
        <v>120</v>
      </c>
      <c r="T72" t="s">
        <v>136</v>
      </c>
      <c r="U72" t="s">
        <v>148</v>
      </c>
      <c r="X72" t="s">
        <v>124</v>
      </c>
      <c r="Y72">
        <v>1</v>
      </c>
      <c r="AH72" t="s">
        <v>128</v>
      </c>
      <c r="AI72" t="s">
        <v>338</v>
      </c>
      <c r="AM72" t="s">
        <v>150</v>
      </c>
      <c r="AS72" t="s">
        <v>127</v>
      </c>
      <c r="BE72">
        <v>2</v>
      </c>
      <c r="BG72">
        <v>110</v>
      </c>
      <c r="BM72" t="s">
        <v>129</v>
      </c>
      <c r="BN72">
        <v>0</v>
      </c>
      <c r="BW72" t="s">
        <v>525</v>
      </c>
    </row>
    <row r="73" spans="1:91" x14ac:dyDescent="0.2">
      <c r="A73" t="s">
        <v>111</v>
      </c>
      <c r="B73" t="b">
        <v>1</v>
      </c>
      <c r="E73">
        <v>81</v>
      </c>
      <c r="F73" t="str">
        <f>HYPERLINK("https://portal.dnb.de/opac.htm?method=simpleSearch&amp;cqlMode=true&amp;query=idn%3D1003982700", "Portal")</f>
        <v>Portal</v>
      </c>
      <c r="G73" t="s">
        <v>112</v>
      </c>
      <c r="H73" t="s">
        <v>587</v>
      </c>
      <c r="I73" t="s">
        <v>588</v>
      </c>
      <c r="J73" t="s">
        <v>589</v>
      </c>
      <c r="K73" t="s">
        <v>589</v>
      </c>
      <c r="L73" t="s">
        <v>590</v>
      </c>
      <c r="N73" t="s">
        <v>591</v>
      </c>
      <c r="O73" t="s">
        <v>118</v>
      </c>
      <c r="R73" t="s">
        <v>119</v>
      </c>
      <c r="S73" t="s">
        <v>120</v>
      </c>
      <c r="T73" t="s">
        <v>121</v>
      </c>
      <c r="U73" t="s">
        <v>592</v>
      </c>
      <c r="W73" t="s">
        <v>67</v>
      </c>
      <c r="X73" t="s">
        <v>175</v>
      </c>
      <c r="Y73">
        <v>0</v>
      </c>
      <c r="AI73" t="s">
        <v>125</v>
      </c>
      <c r="AM73" t="s">
        <v>126</v>
      </c>
      <c r="AN73" t="s">
        <v>128</v>
      </c>
      <c r="AS73" t="s">
        <v>127</v>
      </c>
      <c r="BG73">
        <v>45</v>
      </c>
      <c r="BM73" t="s">
        <v>129</v>
      </c>
      <c r="BN73">
        <v>0</v>
      </c>
      <c r="BP73" t="s">
        <v>177</v>
      </c>
      <c r="BW73" t="s">
        <v>593</v>
      </c>
    </row>
    <row r="74" spans="1:91" x14ac:dyDescent="0.2">
      <c r="A74" t="s">
        <v>111</v>
      </c>
      <c r="B74" t="b">
        <v>1</v>
      </c>
      <c r="E74">
        <v>82</v>
      </c>
      <c r="F74" t="str">
        <f>HYPERLINK("https://portal.dnb.de/opac.htm?method=simpleSearch&amp;cqlMode=true&amp;query=idn%3D1003868568", "Portal")</f>
        <v>Portal</v>
      </c>
      <c r="G74" t="s">
        <v>112</v>
      </c>
      <c r="H74" t="s">
        <v>594</v>
      </c>
      <c r="I74" t="s">
        <v>595</v>
      </c>
      <c r="J74" t="s">
        <v>596</v>
      </c>
      <c r="K74" t="s">
        <v>596</v>
      </c>
      <c r="L74" t="s">
        <v>597</v>
      </c>
      <c r="N74" t="s">
        <v>598</v>
      </c>
      <c r="O74" t="s">
        <v>118</v>
      </c>
      <c r="R74" t="s">
        <v>188</v>
      </c>
      <c r="S74" t="s">
        <v>120</v>
      </c>
      <c r="T74" t="s">
        <v>121</v>
      </c>
      <c r="U74" t="s">
        <v>599</v>
      </c>
      <c r="W74" t="s">
        <v>138</v>
      </c>
      <c r="X74" t="s">
        <v>203</v>
      </c>
      <c r="Y74">
        <v>0</v>
      </c>
      <c r="AI74" t="s">
        <v>469</v>
      </c>
      <c r="AM74" t="s">
        <v>191</v>
      </c>
      <c r="AS74" t="s">
        <v>127</v>
      </c>
      <c r="BE74">
        <v>4</v>
      </c>
      <c r="BG74" t="s">
        <v>366</v>
      </c>
      <c r="BM74" t="s">
        <v>129</v>
      </c>
      <c r="BN74">
        <v>0</v>
      </c>
      <c r="BT74" t="s">
        <v>140</v>
      </c>
      <c r="BU74" t="s">
        <v>128</v>
      </c>
      <c r="BV74" t="s">
        <v>600</v>
      </c>
      <c r="BY74" t="s">
        <v>141</v>
      </c>
    </row>
    <row r="75" spans="1:91" x14ac:dyDescent="0.2">
      <c r="A75" t="s">
        <v>111</v>
      </c>
      <c r="B75" t="b">
        <v>1</v>
      </c>
      <c r="E75">
        <v>83</v>
      </c>
      <c r="F75" t="str">
        <f>HYPERLINK("https://portal.dnb.de/opac.htm?method=simpleSearch&amp;cqlMode=true&amp;query=idn%3D1003989381", "Portal")</f>
        <v>Portal</v>
      </c>
      <c r="G75" t="s">
        <v>112</v>
      </c>
      <c r="H75" t="s">
        <v>601</v>
      </c>
      <c r="I75" t="s">
        <v>602</v>
      </c>
      <c r="J75" t="s">
        <v>603</v>
      </c>
      <c r="K75" t="s">
        <v>603</v>
      </c>
      <c r="L75" t="s">
        <v>604</v>
      </c>
      <c r="N75" t="s">
        <v>605</v>
      </c>
      <c r="O75" t="s">
        <v>118</v>
      </c>
      <c r="P75" t="s">
        <v>135</v>
      </c>
      <c r="R75" t="s">
        <v>119</v>
      </c>
      <c r="S75" t="s">
        <v>120</v>
      </c>
      <c r="T75" t="s">
        <v>121</v>
      </c>
      <c r="U75" t="s">
        <v>148</v>
      </c>
      <c r="W75" t="s">
        <v>67</v>
      </c>
      <c r="X75" t="s">
        <v>606</v>
      </c>
      <c r="Y75">
        <v>0</v>
      </c>
      <c r="AH75" t="s">
        <v>128</v>
      </c>
      <c r="AI75" t="s">
        <v>125</v>
      </c>
      <c r="AL75" t="s">
        <v>128</v>
      </c>
      <c r="AM75" t="s">
        <v>150</v>
      </c>
      <c r="AS75" t="s">
        <v>127</v>
      </c>
      <c r="AX75" t="s">
        <v>128</v>
      </c>
      <c r="BE75">
        <v>0</v>
      </c>
      <c r="BG75">
        <v>110</v>
      </c>
      <c r="BK75" t="s">
        <v>128</v>
      </c>
      <c r="BM75" t="s">
        <v>129</v>
      </c>
      <c r="BN75">
        <v>0</v>
      </c>
      <c r="BP75" t="s">
        <v>177</v>
      </c>
    </row>
    <row r="76" spans="1:91" x14ac:dyDescent="0.2">
      <c r="A76" t="s">
        <v>111</v>
      </c>
      <c r="B76" t="b">
        <v>1</v>
      </c>
      <c r="E76">
        <v>84</v>
      </c>
      <c r="F76" t="str">
        <f>HYPERLINK("https://portal.dnb.de/opac.htm?method=simpleSearch&amp;cqlMode=true&amp;query=idn%3D1003924077", "Portal")</f>
        <v>Portal</v>
      </c>
      <c r="G76" t="s">
        <v>112</v>
      </c>
      <c r="H76" t="s">
        <v>607</v>
      </c>
      <c r="I76" t="s">
        <v>608</v>
      </c>
      <c r="J76" t="s">
        <v>609</v>
      </c>
      <c r="K76" t="s">
        <v>609</v>
      </c>
      <c r="L76" t="s">
        <v>610</v>
      </c>
      <c r="N76" t="s">
        <v>611</v>
      </c>
      <c r="O76" t="s">
        <v>118</v>
      </c>
      <c r="R76" t="s">
        <v>188</v>
      </c>
      <c r="S76" t="s">
        <v>120</v>
      </c>
      <c r="T76" t="s">
        <v>121</v>
      </c>
      <c r="U76" t="s">
        <v>137</v>
      </c>
      <c r="W76" t="s">
        <v>67</v>
      </c>
      <c r="X76" t="s">
        <v>175</v>
      </c>
      <c r="Y76">
        <v>0</v>
      </c>
      <c r="AI76" t="s">
        <v>190</v>
      </c>
      <c r="AM76" t="s">
        <v>191</v>
      </c>
      <c r="AS76" t="s">
        <v>127</v>
      </c>
      <c r="BE76">
        <v>0</v>
      </c>
      <c r="BF76" t="s">
        <v>128</v>
      </c>
      <c r="BG76">
        <v>110</v>
      </c>
      <c r="BN76">
        <v>0</v>
      </c>
      <c r="BP76" t="s">
        <v>177</v>
      </c>
      <c r="BV76" t="s">
        <v>612</v>
      </c>
    </row>
    <row r="77" spans="1:91" x14ac:dyDescent="0.2">
      <c r="A77" t="s">
        <v>111</v>
      </c>
      <c r="B77" t="b">
        <v>1</v>
      </c>
      <c r="E77">
        <v>85</v>
      </c>
      <c r="F77" t="str">
        <f>HYPERLINK("https://portal.dnb.de/opac.htm?method=simpleSearch&amp;cqlMode=true&amp;query=idn%3D1066962731", "Portal")</f>
        <v>Portal</v>
      </c>
      <c r="G77" t="s">
        <v>163</v>
      </c>
      <c r="H77" t="s">
        <v>613</v>
      </c>
      <c r="I77" t="s">
        <v>614</v>
      </c>
      <c r="J77" t="s">
        <v>615</v>
      </c>
      <c r="K77" t="s">
        <v>615</v>
      </c>
      <c r="L77" t="s">
        <v>616</v>
      </c>
      <c r="N77" t="s">
        <v>617</v>
      </c>
      <c r="O77" t="s">
        <v>118</v>
      </c>
      <c r="R77" t="s">
        <v>618</v>
      </c>
      <c r="S77" t="s">
        <v>120</v>
      </c>
      <c r="T77" t="s">
        <v>121</v>
      </c>
      <c r="U77" t="s">
        <v>619</v>
      </c>
      <c r="W77" t="s">
        <v>67</v>
      </c>
      <c r="X77" t="s">
        <v>606</v>
      </c>
      <c r="Y77">
        <v>0</v>
      </c>
      <c r="AA77" t="s">
        <v>620</v>
      </c>
      <c r="AI77" t="s">
        <v>621</v>
      </c>
      <c r="AL77" t="s">
        <v>128</v>
      </c>
      <c r="AM77" t="s">
        <v>150</v>
      </c>
      <c r="AS77" t="s">
        <v>127</v>
      </c>
      <c r="BG77">
        <v>110</v>
      </c>
      <c r="BM77" t="s">
        <v>129</v>
      </c>
      <c r="BN77">
        <v>0</v>
      </c>
      <c r="BP77" t="s">
        <v>177</v>
      </c>
    </row>
    <row r="78" spans="1:91" x14ac:dyDescent="0.2">
      <c r="A78" t="s">
        <v>111</v>
      </c>
      <c r="B78" t="b">
        <v>1</v>
      </c>
      <c r="F78" t="str">
        <f>HYPERLINK("https://portal.dnb.de/opac.htm?method=simpleSearch&amp;cqlMode=true&amp;query=idn%3D1262276209", "Portal")</f>
        <v>Portal</v>
      </c>
      <c r="G78" t="s">
        <v>157</v>
      </c>
      <c r="H78" t="s">
        <v>622</v>
      </c>
      <c r="I78" t="s">
        <v>623</v>
      </c>
      <c r="J78" t="s">
        <v>624</v>
      </c>
      <c r="K78" t="s">
        <v>624</v>
      </c>
      <c r="L78" t="s">
        <v>624</v>
      </c>
      <c r="N78" t="s">
        <v>220</v>
      </c>
      <c r="O78" t="s">
        <v>118</v>
      </c>
      <c r="P78" t="s">
        <v>135</v>
      </c>
      <c r="R78" t="s">
        <v>119</v>
      </c>
      <c r="S78" t="s">
        <v>120</v>
      </c>
      <c r="T78" t="s">
        <v>136</v>
      </c>
      <c r="U78" t="s">
        <v>412</v>
      </c>
      <c r="Y78">
        <v>0</v>
      </c>
      <c r="AI78" t="s">
        <v>125</v>
      </c>
      <c r="AL78" t="s">
        <v>128</v>
      </c>
      <c r="AM78" t="s">
        <v>126</v>
      </c>
      <c r="AS78" t="s">
        <v>127</v>
      </c>
      <c r="BE78">
        <v>2</v>
      </c>
      <c r="BG78">
        <v>110</v>
      </c>
      <c r="BK78" t="s">
        <v>128</v>
      </c>
      <c r="BM78" t="s">
        <v>129</v>
      </c>
      <c r="BN78">
        <v>0</v>
      </c>
    </row>
    <row r="79" spans="1:91" x14ac:dyDescent="0.2">
      <c r="A79" t="s">
        <v>111</v>
      </c>
      <c r="B79" t="b">
        <v>1</v>
      </c>
      <c r="E79">
        <v>88</v>
      </c>
      <c r="F79" t="str">
        <f>HYPERLINK("https://portal.dnb.de/opac.htm?method=simpleSearch&amp;cqlMode=true&amp;query=idn%3D1003895549", "Portal")</f>
        <v>Portal</v>
      </c>
      <c r="G79" t="s">
        <v>112</v>
      </c>
      <c r="H79" t="s">
        <v>625</v>
      </c>
      <c r="I79" t="s">
        <v>626</v>
      </c>
      <c r="J79" t="s">
        <v>627</v>
      </c>
      <c r="K79" t="s">
        <v>627</v>
      </c>
      <c r="L79" t="s">
        <v>628</v>
      </c>
      <c r="N79" t="s">
        <v>629</v>
      </c>
      <c r="O79" t="s">
        <v>118</v>
      </c>
      <c r="R79" t="s">
        <v>119</v>
      </c>
      <c r="S79" t="s">
        <v>120</v>
      </c>
      <c r="T79" t="s">
        <v>136</v>
      </c>
      <c r="U79" t="s">
        <v>412</v>
      </c>
      <c r="W79" t="s">
        <v>67</v>
      </c>
      <c r="X79" t="s">
        <v>175</v>
      </c>
      <c r="Y79">
        <v>2</v>
      </c>
      <c r="AI79" t="s">
        <v>125</v>
      </c>
      <c r="AJ79" t="s">
        <v>630</v>
      </c>
      <c r="AL79" t="s">
        <v>128</v>
      </c>
      <c r="AM79" t="s">
        <v>126</v>
      </c>
      <c r="AS79" t="s">
        <v>127</v>
      </c>
      <c r="BE79">
        <v>2</v>
      </c>
      <c r="BG79" t="s">
        <v>176</v>
      </c>
      <c r="BH79" t="s">
        <v>631</v>
      </c>
      <c r="BM79" t="s">
        <v>129</v>
      </c>
      <c r="BN79">
        <v>0</v>
      </c>
      <c r="BP79" t="s">
        <v>177</v>
      </c>
    </row>
    <row r="80" spans="1:91" x14ac:dyDescent="0.2">
      <c r="A80" t="s">
        <v>111</v>
      </c>
      <c r="B80" t="b">
        <v>1</v>
      </c>
      <c r="F80" t="str">
        <f>HYPERLINK("https://portal.dnb.de/opac.htm?method=simpleSearch&amp;cqlMode=true&amp;query=idn%3D1262278775", "Portal")</f>
        <v>Portal</v>
      </c>
      <c r="G80" t="s">
        <v>157</v>
      </c>
      <c r="H80" t="s">
        <v>632</v>
      </c>
      <c r="I80" t="s">
        <v>633</v>
      </c>
      <c r="J80" t="s">
        <v>634</v>
      </c>
      <c r="K80" t="s">
        <v>634</v>
      </c>
      <c r="L80" t="s">
        <v>634</v>
      </c>
      <c r="N80" t="s">
        <v>220</v>
      </c>
      <c r="O80" t="s">
        <v>118</v>
      </c>
      <c r="R80" t="s">
        <v>467</v>
      </c>
      <c r="S80" t="s">
        <v>120</v>
      </c>
      <c r="T80" t="s">
        <v>121</v>
      </c>
      <c r="U80" t="s">
        <v>378</v>
      </c>
      <c r="W80" t="s">
        <v>365</v>
      </c>
      <c r="X80" t="s">
        <v>203</v>
      </c>
      <c r="Y80">
        <v>0</v>
      </c>
      <c r="AI80" t="s">
        <v>190</v>
      </c>
      <c r="AL80" t="s">
        <v>128</v>
      </c>
      <c r="AM80" t="s">
        <v>191</v>
      </c>
      <c r="AS80" t="s">
        <v>127</v>
      </c>
      <c r="AX80" t="s">
        <v>128</v>
      </c>
      <c r="BE80">
        <v>0</v>
      </c>
      <c r="BF80" t="s">
        <v>128</v>
      </c>
      <c r="BG80">
        <v>110</v>
      </c>
      <c r="BM80" t="s">
        <v>129</v>
      </c>
      <c r="BN80">
        <v>0</v>
      </c>
      <c r="BS80" t="s">
        <v>140</v>
      </c>
      <c r="BT80" t="s">
        <v>140</v>
      </c>
      <c r="BU80" t="s">
        <v>128</v>
      </c>
      <c r="BY80" t="s">
        <v>368</v>
      </c>
    </row>
    <row r="81" spans="1:111" x14ac:dyDescent="0.2">
      <c r="A81" t="s">
        <v>111</v>
      </c>
      <c r="B81" t="b">
        <v>1</v>
      </c>
      <c r="E81">
        <v>92</v>
      </c>
      <c r="F81" t="str">
        <f>HYPERLINK("https://portal.dnb.de/opac.htm?method=simpleSearch&amp;cqlMode=true&amp;query=idn%3D1003888895", "Portal")</f>
        <v>Portal</v>
      </c>
      <c r="G81" t="s">
        <v>112</v>
      </c>
      <c r="H81" t="s">
        <v>635</v>
      </c>
      <c r="I81" t="s">
        <v>636</v>
      </c>
      <c r="J81" t="s">
        <v>637</v>
      </c>
      <c r="K81" t="s">
        <v>637</v>
      </c>
      <c r="L81" t="s">
        <v>638</v>
      </c>
      <c r="N81" t="s">
        <v>639</v>
      </c>
      <c r="O81" t="s">
        <v>118</v>
      </c>
      <c r="R81" t="s">
        <v>147</v>
      </c>
      <c r="S81" t="s">
        <v>120</v>
      </c>
      <c r="T81" t="s">
        <v>121</v>
      </c>
      <c r="U81" t="s">
        <v>412</v>
      </c>
      <c r="X81" t="s">
        <v>124</v>
      </c>
      <c r="Y81">
        <v>2</v>
      </c>
      <c r="AH81" t="s">
        <v>128</v>
      </c>
      <c r="AI81" t="s">
        <v>127</v>
      </c>
      <c r="AM81" t="s">
        <v>150</v>
      </c>
      <c r="AS81" t="s">
        <v>127</v>
      </c>
      <c r="BG81">
        <v>110</v>
      </c>
      <c r="BM81" t="s">
        <v>129</v>
      </c>
      <c r="BN81">
        <v>0</v>
      </c>
      <c r="BY81" t="s">
        <v>430</v>
      </c>
    </row>
    <row r="82" spans="1:111" x14ac:dyDescent="0.2">
      <c r="A82" t="s">
        <v>111</v>
      </c>
      <c r="B82" t="b">
        <v>1</v>
      </c>
      <c r="F82" t="str">
        <f>HYPERLINK("https://portal.dnb.de/opac.htm?method=simpleSearch&amp;cqlMode=true&amp;query=idn%3D1138242179", "Portal")</f>
        <v>Portal</v>
      </c>
      <c r="G82" t="s">
        <v>157</v>
      </c>
      <c r="H82" t="s">
        <v>640</v>
      </c>
      <c r="I82" t="s">
        <v>641</v>
      </c>
      <c r="J82" t="s">
        <v>642</v>
      </c>
      <c r="K82" t="s">
        <v>642</v>
      </c>
      <c r="L82" t="s">
        <v>642</v>
      </c>
      <c r="N82" t="s">
        <v>220</v>
      </c>
      <c r="O82" t="s">
        <v>118</v>
      </c>
      <c r="Q82" t="s">
        <v>643</v>
      </c>
      <c r="R82" t="s">
        <v>119</v>
      </c>
      <c r="S82" t="s">
        <v>120</v>
      </c>
      <c r="T82" t="s">
        <v>136</v>
      </c>
      <c r="U82" t="s">
        <v>148</v>
      </c>
      <c r="W82" t="s">
        <v>138</v>
      </c>
      <c r="X82" t="s">
        <v>139</v>
      </c>
      <c r="Y82">
        <v>1</v>
      </c>
      <c r="AI82" t="s">
        <v>125</v>
      </c>
      <c r="AM82" t="s">
        <v>126</v>
      </c>
      <c r="AS82" t="s">
        <v>127</v>
      </c>
      <c r="BE82">
        <v>2</v>
      </c>
      <c r="BG82">
        <v>110</v>
      </c>
      <c r="BM82" t="s">
        <v>129</v>
      </c>
      <c r="BN82">
        <v>0</v>
      </c>
      <c r="BT82" t="s">
        <v>140</v>
      </c>
      <c r="BU82" t="s">
        <v>128</v>
      </c>
      <c r="BV82" t="s">
        <v>644</v>
      </c>
      <c r="BY82" t="s">
        <v>141</v>
      </c>
    </row>
    <row r="83" spans="1:111" x14ac:dyDescent="0.2">
      <c r="A83" t="s">
        <v>111</v>
      </c>
      <c r="B83" t="b">
        <v>1</v>
      </c>
      <c r="E83">
        <v>95</v>
      </c>
      <c r="F83" t="str">
        <f>HYPERLINK("https://portal.dnb.de/opac.htm?method=simpleSearch&amp;cqlMode=true&amp;query=idn%3D1003867375", "Portal")</f>
        <v>Portal</v>
      </c>
      <c r="G83" t="s">
        <v>112</v>
      </c>
      <c r="H83" t="s">
        <v>645</v>
      </c>
      <c r="I83" t="s">
        <v>646</v>
      </c>
      <c r="J83" t="s">
        <v>647</v>
      </c>
      <c r="K83" t="s">
        <v>647</v>
      </c>
      <c r="L83" t="s">
        <v>648</v>
      </c>
      <c r="N83" t="s">
        <v>649</v>
      </c>
      <c r="O83" t="s">
        <v>118</v>
      </c>
      <c r="R83" t="s">
        <v>119</v>
      </c>
      <c r="S83" t="s">
        <v>120</v>
      </c>
      <c r="T83" t="s">
        <v>121</v>
      </c>
      <c r="U83" t="s">
        <v>412</v>
      </c>
      <c r="X83" t="s">
        <v>124</v>
      </c>
      <c r="Y83">
        <v>0</v>
      </c>
      <c r="AI83" t="s">
        <v>125</v>
      </c>
      <c r="AM83" t="s">
        <v>126</v>
      </c>
      <c r="AS83" t="s">
        <v>127</v>
      </c>
      <c r="BE83">
        <v>4</v>
      </c>
      <c r="BG83">
        <v>110</v>
      </c>
      <c r="BM83" t="s">
        <v>129</v>
      </c>
      <c r="BN83">
        <v>0</v>
      </c>
    </row>
    <row r="84" spans="1:111" x14ac:dyDescent="0.2">
      <c r="A84" t="s">
        <v>111</v>
      </c>
      <c r="B84" t="b">
        <v>1</v>
      </c>
      <c r="E84">
        <v>96</v>
      </c>
      <c r="F84" t="str">
        <f>HYPERLINK("https://portal.dnb.de/opac.htm?method=simpleSearch&amp;cqlMode=true&amp;query=idn%3D1124489959", "Portal")</f>
        <v>Portal</v>
      </c>
      <c r="G84" t="s">
        <v>207</v>
      </c>
      <c r="H84" t="s">
        <v>650</v>
      </c>
      <c r="I84" t="s">
        <v>651</v>
      </c>
      <c r="J84" t="s">
        <v>652</v>
      </c>
      <c r="K84" t="s">
        <v>652</v>
      </c>
      <c r="L84" t="s">
        <v>653</v>
      </c>
      <c r="N84" t="s">
        <v>654</v>
      </c>
      <c r="O84" t="s">
        <v>655</v>
      </c>
      <c r="R84" t="s">
        <v>286</v>
      </c>
      <c r="S84" t="s">
        <v>120</v>
      </c>
      <c r="T84" t="s">
        <v>156</v>
      </c>
      <c r="X84" t="s">
        <v>124</v>
      </c>
      <c r="Y84">
        <v>1</v>
      </c>
      <c r="AI84" t="s">
        <v>338</v>
      </c>
      <c r="AM84" t="s">
        <v>126</v>
      </c>
      <c r="AS84" t="s">
        <v>127</v>
      </c>
      <c r="BG84">
        <v>110</v>
      </c>
      <c r="BM84" t="s">
        <v>129</v>
      </c>
      <c r="BN84">
        <v>0</v>
      </c>
    </row>
    <row r="85" spans="1:111" x14ac:dyDescent="0.2">
      <c r="A85" t="s">
        <v>111</v>
      </c>
      <c r="B85" t="b">
        <v>1</v>
      </c>
      <c r="E85">
        <v>97</v>
      </c>
      <c r="F85" t="str">
        <f>HYPERLINK("https://portal.dnb.de/opac.htm?method=simpleSearch&amp;cqlMode=true&amp;query=idn%3D1003867502", "Portal")</f>
        <v>Portal</v>
      </c>
      <c r="G85" t="s">
        <v>112</v>
      </c>
      <c r="H85" t="s">
        <v>656</v>
      </c>
      <c r="I85" t="s">
        <v>657</v>
      </c>
      <c r="J85" t="s">
        <v>658</v>
      </c>
      <c r="K85" t="s">
        <v>658</v>
      </c>
      <c r="L85" t="s">
        <v>659</v>
      </c>
      <c r="N85" t="s">
        <v>660</v>
      </c>
      <c r="O85" t="s">
        <v>118</v>
      </c>
      <c r="P85" t="s">
        <v>128</v>
      </c>
      <c r="R85" t="s">
        <v>147</v>
      </c>
      <c r="S85" t="s">
        <v>120</v>
      </c>
      <c r="T85" t="s">
        <v>121</v>
      </c>
      <c r="U85" t="s">
        <v>412</v>
      </c>
      <c r="W85" t="s">
        <v>67</v>
      </c>
      <c r="X85" t="s">
        <v>175</v>
      </c>
      <c r="Y85">
        <v>0</v>
      </c>
      <c r="AI85" t="s">
        <v>127</v>
      </c>
      <c r="AL85" t="s">
        <v>128</v>
      </c>
      <c r="AM85" t="s">
        <v>150</v>
      </c>
      <c r="AS85" t="s">
        <v>127</v>
      </c>
      <c r="BG85">
        <v>110</v>
      </c>
      <c r="BM85" t="s">
        <v>129</v>
      </c>
      <c r="BN85">
        <v>0</v>
      </c>
      <c r="BP85" t="s">
        <v>177</v>
      </c>
    </row>
    <row r="86" spans="1:111" x14ac:dyDescent="0.2">
      <c r="A86" t="s">
        <v>111</v>
      </c>
      <c r="B86" t="b">
        <v>1</v>
      </c>
      <c r="E86">
        <v>98</v>
      </c>
      <c r="F86" t="str">
        <f>HYPERLINK("https://portal.dnb.de/opac.htm?method=simpleSearch&amp;cqlMode=true&amp;query=idn%3D1003856071", "Portal")</f>
        <v>Portal</v>
      </c>
      <c r="G86" t="s">
        <v>112</v>
      </c>
      <c r="H86" t="s">
        <v>661</v>
      </c>
      <c r="I86" t="s">
        <v>662</v>
      </c>
      <c r="J86" t="s">
        <v>663</v>
      </c>
      <c r="K86" t="s">
        <v>663</v>
      </c>
      <c r="L86" t="s">
        <v>664</v>
      </c>
      <c r="N86" t="s">
        <v>665</v>
      </c>
      <c r="O86" t="s">
        <v>118</v>
      </c>
      <c r="P86" t="s">
        <v>135</v>
      </c>
      <c r="R86" t="s">
        <v>119</v>
      </c>
      <c r="S86" t="s">
        <v>120</v>
      </c>
      <c r="T86" t="s">
        <v>121</v>
      </c>
      <c r="U86" t="s">
        <v>137</v>
      </c>
      <c r="W86" t="s">
        <v>138</v>
      </c>
      <c r="X86" t="s">
        <v>203</v>
      </c>
      <c r="Y86">
        <v>1</v>
      </c>
      <c r="AI86" t="s">
        <v>125</v>
      </c>
      <c r="AM86" t="s">
        <v>126</v>
      </c>
      <c r="AS86" t="s">
        <v>127</v>
      </c>
      <c r="BE86">
        <v>4</v>
      </c>
      <c r="BG86">
        <v>45</v>
      </c>
      <c r="BI86" t="s">
        <v>128</v>
      </c>
      <c r="BJ86" t="s">
        <v>666</v>
      </c>
      <c r="BN86">
        <v>0</v>
      </c>
      <c r="BT86" t="s">
        <v>140</v>
      </c>
      <c r="BU86" t="s">
        <v>128</v>
      </c>
      <c r="BV86" t="s">
        <v>667</v>
      </c>
      <c r="BY86" t="s">
        <v>141</v>
      </c>
    </row>
    <row r="87" spans="1:111" x14ac:dyDescent="0.2">
      <c r="A87" t="s">
        <v>111</v>
      </c>
      <c r="B87" t="b">
        <v>1</v>
      </c>
      <c r="E87">
        <v>99</v>
      </c>
      <c r="F87" t="str">
        <f>HYPERLINK("https://portal.dnb.de/opac.htm?method=simpleSearch&amp;cqlMode=true&amp;query=idn%3D1003970443", "Portal")</f>
        <v>Portal</v>
      </c>
      <c r="G87" t="s">
        <v>112</v>
      </c>
      <c r="H87" t="s">
        <v>668</v>
      </c>
      <c r="I87" t="s">
        <v>669</v>
      </c>
      <c r="J87" t="s">
        <v>670</v>
      </c>
      <c r="K87" t="s">
        <v>670</v>
      </c>
      <c r="L87" t="s">
        <v>671</v>
      </c>
      <c r="N87" t="s">
        <v>672</v>
      </c>
      <c r="O87" t="s">
        <v>118</v>
      </c>
      <c r="P87" t="s">
        <v>128</v>
      </c>
      <c r="R87" t="s">
        <v>119</v>
      </c>
      <c r="S87" t="s">
        <v>120</v>
      </c>
      <c r="T87" t="s">
        <v>136</v>
      </c>
      <c r="U87" t="s">
        <v>148</v>
      </c>
      <c r="W87" t="s">
        <v>67</v>
      </c>
      <c r="X87" t="s">
        <v>175</v>
      </c>
      <c r="Y87">
        <v>0</v>
      </c>
      <c r="AI87" t="s">
        <v>125</v>
      </c>
      <c r="AL87" t="s">
        <v>128</v>
      </c>
      <c r="AM87" t="s">
        <v>150</v>
      </c>
      <c r="AS87" t="s">
        <v>127</v>
      </c>
      <c r="AZ87" t="s">
        <v>128</v>
      </c>
      <c r="BG87">
        <v>180</v>
      </c>
      <c r="BH87" t="s">
        <v>673</v>
      </c>
      <c r="BM87" t="s">
        <v>129</v>
      </c>
      <c r="BN87">
        <v>0</v>
      </c>
      <c r="BP87" t="s">
        <v>177</v>
      </c>
    </row>
    <row r="88" spans="1:111" x14ac:dyDescent="0.2">
      <c r="A88" t="s">
        <v>111</v>
      </c>
      <c r="B88" t="b">
        <v>1</v>
      </c>
      <c r="C88" t="s">
        <v>128</v>
      </c>
      <c r="E88">
        <v>100</v>
      </c>
      <c r="F88" t="str">
        <f>HYPERLINK("https://portal.dnb.de/opac.htm?method=simpleSearch&amp;cqlMode=true&amp;query=idn%3D100388962X", "Portal")</f>
        <v>Portal</v>
      </c>
      <c r="G88" t="s">
        <v>112</v>
      </c>
      <c r="H88" t="s">
        <v>674</v>
      </c>
      <c r="I88" t="s">
        <v>675</v>
      </c>
      <c r="J88" t="s">
        <v>676</v>
      </c>
      <c r="K88" t="s">
        <v>676</v>
      </c>
      <c r="L88" t="s">
        <v>677</v>
      </c>
      <c r="N88" t="s">
        <v>678</v>
      </c>
      <c r="O88" t="s">
        <v>118</v>
      </c>
      <c r="R88" t="s">
        <v>188</v>
      </c>
      <c r="S88" t="s">
        <v>214</v>
      </c>
      <c r="T88" t="s">
        <v>136</v>
      </c>
      <c r="U88" t="s">
        <v>679</v>
      </c>
      <c r="W88" t="s">
        <v>67</v>
      </c>
      <c r="X88" t="s">
        <v>175</v>
      </c>
      <c r="Y88">
        <v>3</v>
      </c>
      <c r="AF88" t="s">
        <v>680</v>
      </c>
      <c r="AI88" t="s">
        <v>190</v>
      </c>
      <c r="AM88" t="s">
        <v>191</v>
      </c>
      <c r="AS88" t="s">
        <v>127</v>
      </c>
      <c r="AZ88" t="s">
        <v>128</v>
      </c>
      <c r="BA88" t="s">
        <v>681</v>
      </c>
      <c r="BB88" t="s">
        <v>128</v>
      </c>
      <c r="BD88" t="s">
        <v>128</v>
      </c>
      <c r="BG88" t="s">
        <v>249</v>
      </c>
      <c r="BH88" t="s">
        <v>682</v>
      </c>
      <c r="BI88" t="s">
        <v>683</v>
      </c>
      <c r="BM88" t="s">
        <v>206</v>
      </c>
      <c r="BN88">
        <v>5</v>
      </c>
      <c r="BP88" t="s">
        <v>177</v>
      </c>
      <c r="CA88" t="s">
        <v>128</v>
      </c>
      <c r="CB88" t="s">
        <v>128</v>
      </c>
      <c r="CD88" t="s">
        <v>483</v>
      </c>
      <c r="CE88">
        <v>5</v>
      </c>
      <c r="CI88" t="s">
        <v>128</v>
      </c>
      <c r="CK88" t="s">
        <v>684</v>
      </c>
      <c r="CM88">
        <v>2.5</v>
      </c>
      <c r="CN88" t="s">
        <v>685</v>
      </c>
      <c r="CX88" t="s">
        <v>128</v>
      </c>
      <c r="CY88" t="s">
        <v>128</v>
      </c>
      <c r="DA88" t="s">
        <v>128</v>
      </c>
      <c r="DF88">
        <v>2.5</v>
      </c>
      <c r="DG88" t="s">
        <v>686</v>
      </c>
    </row>
    <row r="89" spans="1:111" x14ac:dyDescent="0.2">
      <c r="A89" t="s">
        <v>111</v>
      </c>
      <c r="B89" t="b">
        <v>1</v>
      </c>
      <c r="E89">
        <v>101</v>
      </c>
      <c r="F89" t="str">
        <f>HYPERLINK("https://portal.dnb.de/opac.htm?method=simpleSearch&amp;cqlMode=true&amp;query=idn%3D100389819X", "Portal")</f>
        <v>Portal</v>
      </c>
      <c r="G89" t="s">
        <v>112</v>
      </c>
      <c r="H89" t="s">
        <v>687</v>
      </c>
      <c r="I89" t="s">
        <v>688</v>
      </c>
      <c r="J89" t="s">
        <v>689</v>
      </c>
      <c r="K89" t="s">
        <v>689</v>
      </c>
      <c r="L89" t="s">
        <v>690</v>
      </c>
      <c r="N89" t="s">
        <v>691</v>
      </c>
      <c r="O89" t="s">
        <v>118</v>
      </c>
      <c r="R89" t="s">
        <v>188</v>
      </c>
      <c r="S89" t="s">
        <v>120</v>
      </c>
      <c r="T89" t="s">
        <v>121</v>
      </c>
      <c r="U89" t="s">
        <v>378</v>
      </c>
      <c r="W89" t="s">
        <v>67</v>
      </c>
      <c r="X89" t="s">
        <v>606</v>
      </c>
      <c r="Y89">
        <v>0</v>
      </c>
      <c r="AI89" t="s">
        <v>190</v>
      </c>
      <c r="AL89" t="s">
        <v>128</v>
      </c>
      <c r="AM89" t="s">
        <v>126</v>
      </c>
      <c r="AS89" t="s">
        <v>127</v>
      </c>
      <c r="AX89" t="s">
        <v>470</v>
      </c>
      <c r="BE89">
        <v>2</v>
      </c>
      <c r="BG89">
        <v>110</v>
      </c>
      <c r="BK89" t="s">
        <v>128</v>
      </c>
      <c r="BM89" t="s">
        <v>129</v>
      </c>
      <c r="BN89">
        <v>0</v>
      </c>
      <c r="BP89" t="s">
        <v>177</v>
      </c>
    </row>
    <row r="90" spans="1:111" x14ac:dyDescent="0.2">
      <c r="A90" t="s">
        <v>111</v>
      </c>
      <c r="B90" t="b">
        <v>1</v>
      </c>
      <c r="E90">
        <v>102</v>
      </c>
      <c r="F90" t="str">
        <f>HYPERLINK("https://portal.dnb.de/opac.htm?method=simpleSearch&amp;cqlMode=true&amp;query=idn%3D1003880487", "Portal")</f>
        <v>Portal</v>
      </c>
      <c r="G90" t="s">
        <v>207</v>
      </c>
      <c r="H90" t="s">
        <v>692</v>
      </c>
      <c r="I90" t="s">
        <v>693</v>
      </c>
      <c r="J90" t="s">
        <v>694</v>
      </c>
      <c r="K90" t="s">
        <v>694</v>
      </c>
      <c r="L90" t="s">
        <v>695</v>
      </c>
      <c r="N90" t="s">
        <v>696</v>
      </c>
      <c r="O90" t="s">
        <v>697</v>
      </c>
      <c r="R90" t="s">
        <v>188</v>
      </c>
      <c r="S90" t="s">
        <v>120</v>
      </c>
      <c r="T90" t="s">
        <v>156</v>
      </c>
      <c r="U90" t="s">
        <v>698</v>
      </c>
      <c r="W90" t="s">
        <v>138</v>
      </c>
      <c r="X90" t="s">
        <v>203</v>
      </c>
      <c r="Y90">
        <v>2</v>
      </c>
      <c r="AI90" t="s">
        <v>190</v>
      </c>
      <c r="AM90" t="s">
        <v>126</v>
      </c>
      <c r="AS90" t="s">
        <v>127</v>
      </c>
      <c r="BG90">
        <v>110</v>
      </c>
      <c r="BM90" t="s">
        <v>129</v>
      </c>
      <c r="BN90">
        <v>0</v>
      </c>
      <c r="BT90" t="s">
        <v>140</v>
      </c>
      <c r="BU90" t="s">
        <v>128</v>
      </c>
      <c r="BY90" t="s">
        <v>699</v>
      </c>
    </row>
    <row r="91" spans="1:111" x14ac:dyDescent="0.2">
      <c r="A91" t="s">
        <v>111</v>
      </c>
      <c r="B91" t="b">
        <v>1</v>
      </c>
      <c r="E91">
        <v>103</v>
      </c>
      <c r="F91" t="str">
        <f>HYPERLINK("https://portal.dnb.de/opac.htm?method=simpleSearch&amp;cqlMode=true&amp;query=idn%3D1149404639", "Portal")</f>
        <v>Portal</v>
      </c>
      <c r="G91" t="s">
        <v>207</v>
      </c>
      <c r="H91" t="s">
        <v>700</v>
      </c>
      <c r="I91" t="s">
        <v>701</v>
      </c>
      <c r="J91" t="s">
        <v>702</v>
      </c>
      <c r="K91" t="s">
        <v>702</v>
      </c>
      <c r="L91" t="s">
        <v>703</v>
      </c>
      <c r="M91" t="s">
        <v>704</v>
      </c>
      <c r="N91" t="s">
        <v>696</v>
      </c>
      <c r="O91" t="s">
        <v>705</v>
      </c>
      <c r="BN91">
        <v>0</v>
      </c>
    </row>
    <row r="92" spans="1:111" x14ac:dyDescent="0.2">
      <c r="A92" t="s">
        <v>111</v>
      </c>
      <c r="B92" t="b">
        <v>1</v>
      </c>
      <c r="E92">
        <v>104</v>
      </c>
      <c r="F92" t="str">
        <f>HYPERLINK("https://portal.dnb.de/opac.htm?method=simpleSearch&amp;cqlMode=true&amp;query=idn%3D1149404868", "Portal")</f>
        <v>Portal</v>
      </c>
      <c r="G92" t="s">
        <v>207</v>
      </c>
      <c r="H92" t="s">
        <v>706</v>
      </c>
      <c r="I92" t="s">
        <v>707</v>
      </c>
      <c r="J92" t="s">
        <v>708</v>
      </c>
      <c r="K92" t="s">
        <v>708</v>
      </c>
      <c r="L92" t="s">
        <v>709</v>
      </c>
      <c r="M92" t="s">
        <v>704</v>
      </c>
      <c r="N92" t="s">
        <v>696</v>
      </c>
      <c r="O92" t="s">
        <v>710</v>
      </c>
      <c r="BN92">
        <v>0</v>
      </c>
    </row>
    <row r="93" spans="1:111" x14ac:dyDescent="0.2">
      <c r="A93" t="s">
        <v>111</v>
      </c>
      <c r="B93" t="b">
        <v>1</v>
      </c>
      <c r="C93" t="s">
        <v>128</v>
      </c>
      <c r="E93">
        <v>105</v>
      </c>
      <c r="F93" t="str">
        <f>HYPERLINK("https://portal.dnb.de/opac.htm?method=simpleSearch&amp;cqlMode=true&amp;query=idn%3D1003838677", "Portal")</f>
        <v>Portal</v>
      </c>
      <c r="G93" t="s">
        <v>112</v>
      </c>
      <c r="H93" t="s">
        <v>711</v>
      </c>
      <c r="I93" t="s">
        <v>712</v>
      </c>
      <c r="J93" t="s">
        <v>713</v>
      </c>
      <c r="K93" t="s">
        <v>713</v>
      </c>
      <c r="L93" t="s">
        <v>714</v>
      </c>
      <c r="N93" t="s">
        <v>715</v>
      </c>
      <c r="O93" t="s">
        <v>118</v>
      </c>
      <c r="R93" t="s">
        <v>467</v>
      </c>
      <c r="S93" t="s">
        <v>201</v>
      </c>
      <c r="T93" t="s">
        <v>136</v>
      </c>
      <c r="U93" t="s">
        <v>716</v>
      </c>
      <c r="W93" t="s">
        <v>138</v>
      </c>
      <c r="X93" t="s">
        <v>203</v>
      </c>
      <c r="Y93">
        <v>2</v>
      </c>
      <c r="AI93" t="s">
        <v>469</v>
      </c>
      <c r="AM93" t="s">
        <v>191</v>
      </c>
      <c r="AS93" t="s">
        <v>127</v>
      </c>
      <c r="BG93">
        <v>110</v>
      </c>
      <c r="BM93" t="s">
        <v>206</v>
      </c>
      <c r="BN93">
        <v>3</v>
      </c>
      <c r="BR93" t="s">
        <v>128</v>
      </c>
      <c r="CB93" t="s">
        <v>128</v>
      </c>
      <c r="CL93" t="s">
        <v>128</v>
      </c>
      <c r="CM93">
        <v>1.5</v>
      </c>
      <c r="CN93" t="s">
        <v>717</v>
      </c>
      <c r="DA93" t="s">
        <v>128</v>
      </c>
      <c r="DF93">
        <v>1.5</v>
      </c>
    </row>
    <row r="94" spans="1:111" x14ac:dyDescent="0.2">
      <c r="A94" t="s">
        <v>111</v>
      </c>
      <c r="B94" t="b">
        <v>1</v>
      </c>
      <c r="C94" t="s">
        <v>128</v>
      </c>
      <c r="E94">
        <v>108</v>
      </c>
      <c r="F94" t="str">
        <f>HYPERLINK("https://portal.dnb.de/opac.htm?method=simpleSearch&amp;cqlMode=true&amp;query=idn%3D1003921124", "Portal")</f>
        <v>Portal</v>
      </c>
      <c r="G94" t="s">
        <v>207</v>
      </c>
      <c r="H94" t="s">
        <v>718</v>
      </c>
      <c r="I94" t="s">
        <v>719</v>
      </c>
      <c r="J94" t="s">
        <v>720</v>
      </c>
      <c r="K94" t="s">
        <v>720</v>
      </c>
      <c r="L94" t="s">
        <v>721</v>
      </c>
      <c r="N94" t="s">
        <v>722</v>
      </c>
      <c r="O94" t="s">
        <v>723</v>
      </c>
      <c r="S94" t="s">
        <v>201</v>
      </c>
      <c r="AI94" t="s">
        <v>190</v>
      </c>
      <c r="AM94" t="s">
        <v>191</v>
      </c>
      <c r="AS94" t="s">
        <v>127</v>
      </c>
      <c r="AW94" t="s">
        <v>128</v>
      </c>
      <c r="BG94">
        <v>60</v>
      </c>
      <c r="BM94" t="s">
        <v>206</v>
      </c>
      <c r="BN94">
        <v>16</v>
      </c>
      <c r="BT94" t="s">
        <v>140</v>
      </c>
      <c r="BU94" t="s">
        <v>128</v>
      </c>
      <c r="BV94" t="s">
        <v>724</v>
      </c>
      <c r="BY94" t="s">
        <v>352</v>
      </c>
      <c r="CB94" t="s">
        <v>128</v>
      </c>
      <c r="CI94" t="s">
        <v>128</v>
      </c>
      <c r="CL94" t="s">
        <v>128</v>
      </c>
      <c r="CM94">
        <v>6</v>
      </c>
      <c r="CN94" t="s">
        <v>725</v>
      </c>
      <c r="CO94" t="s">
        <v>128</v>
      </c>
      <c r="CP94" t="s">
        <v>128</v>
      </c>
      <c r="CV94" t="s">
        <v>128</v>
      </c>
      <c r="CX94" t="s">
        <v>128</v>
      </c>
      <c r="DF94">
        <v>10</v>
      </c>
      <c r="DG94" t="s">
        <v>726</v>
      </c>
    </row>
    <row r="95" spans="1:111" x14ac:dyDescent="0.2">
      <c r="A95" t="s">
        <v>111</v>
      </c>
      <c r="B95" t="b">
        <v>1</v>
      </c>
      <c r="E95">
        <v>106</v>
      </c>
      <c r="F95" t="str">
        <f>HYPERLINK("https://portal.dnb.de/opac.htm?method=simpleSearch&amp;cqlMode=true&amp;query=idn%3D1147722870", "Portal")</f>
        <v>Portal</v>
      </c>
      <c r="G95" t="s">
        <v>207</v>
      </c>
      <c r="H95" t="s">
        <v>727</v>
      </c>
      <c r="I95" t="s">
        <v>728</v>
      </c>
      <c r="J95" t="s">
        <v>720</v>
      </c>
      <c r="K95" t="s">
        <v>720</v>
      </c>
      <c r="L95" t="s">
        <v>729</v>
      </c>
      <c r="N95" t="s">
        <v>722</v>
      </c>
      <c r="O95" t="s">
        <v>730</v>
      </c>
      <c r="P95" t="s">
        <v>135</v>
      </c>
      <c r="R95" t="s">
        <v>188</v>
      </c>
      <c r="T95" t="s">
        <v>136</v>
      </c>
      <c r="U95" t="s">
        <v>731</v>
      </c>
      <c r="W95" t="s">
        <v>138</v>
      </c>
      <c r="X95" t="s">
        <v>203</v>
      </c>
      <c r="Y95">
        <v>2</v>
      </c>
      <c r="BN95">
        <v>0</v>
      </c>
    </row>
    <row r="96" spans="1:111" x14ac:dyDescent="0.2">
      <c r="A96" t="s">
        <v>111</v>
      </c>
      <c r="B96" t="b">
        <v>1</v>
      </c>
      <c r="E96">
        <v>107</v>
      </c>
      <c r="F96" t="str">
        <f>HYPERLINK("https://portal.dnb.de/opac.htm?method=simpleSearch&amp;cqlMode=true&amp;query=idn%3D114772265X", "Portal")</f>
        <v>Portal</v>
      </c>
      <c r="G96" t="s">
        <v>207</v>
      </c>
      <c r="H96" t="s">
        <v>732</v>
      </c>
      <c r="I96" t="s">
        <v>733</v>
      </c>
      <c r="J96" t="s">
        <v>720</v>
      </c>
      <c r="K96" t="s">
        <v>720</v>
      </c>
      <c r="L96" t="s">
        <v>729</v>
      </c>
      <c r="N96" t="s">
        <v>722</v>
      </c>
      <c r="O96" t="s">
        <v>734</v>
      </c>
      <c r="BN96">
        <v>0</v>
      </c>
    </row>
    <row r="97" spans="1:111" x14ac:dyDescent="0.2">
      <c r="A97" t="s">
        <v>111</v>
      </c>
      <c r="B97" t="b">
        <v>1</v>
      </c>
      <c r="E97">
        <v>109</v>
      </c>
      <c r="F97" t="str">
        <f>HYPERLINK("https://portal.dnb.de/opac.htm?method=simpleSearch&amp;cqlMode=true&amp;query=idn%3D1147722773", "Portal")</f>
        <v>Portal</v>
      </c>
      <c r="G97" t="s">
        <v>207</v>
      </c>
      <c r="H97" t="s">
        <v>735</v>
      </c>
      <c r="I97" t="s">
        <v>736</v>
      </c>
      <c r="J97" t="s">
        <v>720</v>
      </c>
      <c r="K97" t="s">
        <v>720</v>
      </c>
      <c r="L97" t="s">
        <v>729</v>
      </c>
      <c r="N97" t="s">
        <v>722</v>
      </c>
      <c r="O97" t="s">
        <v>737</v>
      </c>
      <c r="BN97">
        <v>0</v>
      </c>
    </row>
    <row r="98" spans="1:111" x14ac:dyDescent="0.2">
      <c r="A98" t="s">
        <v>111</v>
      </c>
      <c r="B98" t="b">
        <v>1</v>
      </c>
      <c r="E98">
        <v>110</v>
      </c>
      <c r="F98" t="str">
        <f>HYPERLINK("https://portal.dnb.de/opac.htm?method=simpleSearch&amp;cqlMode=true&amp;query=idn%3D114772265X", "Portal")</f>
        <v>Portal</v>
      </c>
      <c r="G98" t="s">
        <v>207</v>
      </c>
      <c r="H98" t="s">
        <v>738</v>
      </c>
      <c r="I98" t="s">
        <v>733</v>
      </c>
      <c r="J98" t="s">
        <v>739</v>
      </c>
      <c r="K98" t="s">
        <v>739</v>
      </c>
      <c r="L98" t="s">
        <v>740</v>
      </c>
      <c r="M98" t="s">
        <v>741</v>
      </c>
      <c r="N98" t="s">
        <v>722</v>
      </c>
      <c r="O98" t="s">
        <v>734</v>
      </c>
      <c r="P98" t="s">
        <v>135</v>
      </c>
      <c r="R98" t="s">
        <v>188</v>
      </c>
      <c r="S98" t="s">
        <v>201</v>
      </c>
      <c r="T98" t="s">
        <v>136</v>
      </c>
      <c r="U98" t="s">
        <v>742</v>
      </c>
      <c r="Y98">
        <v>3</v>
      </c>
      <c r="BN98">
        <v>0</v>
      </c>
    </row>
    <row r="99" spans="1:111" x14ac:dyDescent="0.2">
      <c r="A99" t="s">
        <v>111</v>
      </c>
      <c r="B99" t="b">
        <v>1</v>
      </c>
      <c r="E99">
        <v>111</v>
      </c>
      <c r="F99" t="str">
        <f>HYPERLINK("https://portal.dnb.de/opac.htm?method=simpleSearch&amp;cqlMode=true&amp;query=idn%3D1147722870", "Portal")</f>
        <v>Portal</v>
      </c>
      <c r="G99" t="s">
        <v>207</v>
      </c>
      <c r="H99" t="s">
        <v>743</v>
      </c>
      <c r="I99" t="s">
        <v>728</v>
      </c>
      <c r="J99" t="s">
        <v>739</v>
      </c>
      <c r="K99" t="s">
        <v>739</v>
      </c>
      <c r="L99" t="s">
        <v>740</v>
      </c>
      <c r="N99" t="s">
        <v>722</v>
      </c>
      <c r="O99" t="s">
        <v>730</v>
      </c>
      <c r="BN99">
        <v>0</v>
      </c>
    </row>
    <row r="100" spans="1:111" x14ac:dyDescent="0.2">
      <c r="A100" t="s">
        <v>111</v>
      </c>
      <c r="B100" t="b">
        <v>1</v>
      </c>
      <c r="E100">
        <v>112</v>
      </c>
      <c r="F100" t="str">
        <f>HYPERLINK("https://portal.dnb.de/opac.htm?method=simpleSearch&amp;cqlMode=true&amp;query=idn%3D1147722773", "Portal")</f>
        <v>Portal</v>
      </c>
      <c r="G100" t="s">
        <v>207</v>
      </c>
      <c r="H100" t="s">
        <v>744</v>
      </c>
      <c r="I100" t="s">
        <v>736</v>
      </c>
      <c r="J100" t="s">
        <v>739</v>
      </c>
      <c r="K100" t="s">
        <v>739</v>
      </c>
      <c r="L100" t="s">
        <v>740</v>
      </c>
      <c r="N100" t="s">
        <v>722</v>
      </c>
      <c r="O100" t="s">
        <v>737</v>
      </c>
      <c r="BN100">
        <v>0</v>
      </c>
    </row>
    <row r="101" spans="1:111" x14ac:dyDescent="0.2">
      <c r="A101" t="s">
        <v>111</v>
      </c>
      <c r="B101" t="b">
        <v>1</v>
      </c>
      <c r="E101">
        <v>113</v>
      </c>
      <c r="F101" t="str">
        <f>HYPERLINK("https://portal.dnb.de/opac.htm?method=simpleSearch&amp;cqlMode=true&amp;query=idn%3D1003921124", "Portal")</f>
        <v>Portal</v>
      </c>
      <c r="G101" t="s">
        <v>207</v>
      </c>
      <c r="H101" t="s">
        <v>745</v>
      </c>
      <c r="I101" t="s">
        <v>719</v>
      </c>
      <c r="J101" t="s">
        <v>739</v>
      </c>
      <c r="K101" t="s">
        <v>739</v>
      </c>
      <c r="L101" t="s">
        <v>740</v>
      </c>
      <c r="N101" t="s">
        <v>722</v>
      </c>
      <c r="O101" t="s">
        <v>723</v>
      </c>
      <c r="BN101">
        <v>0</v>
      </c>
    </row>
    <row r="102" spans="1:111" x14ac:dyDescent="0.2">
      <c r="A102" t="s">
        <v>111</v>
      </c>
      <c r="B102" t="b">
        <v>1</v>
      </c>
      <c r="E102">
        <v>114</v>
      </c>
      <c r="F102" t="str">
        <f>HYPERLINK("https://portal.dnb.de/opac.htm?method=simpleSearch&amp;cqlMode=true&amp;query=idn%3D1003927939", "Portal")</f>
        <v>Portal</v>
      </c>
      <c r="G102" t="s">
        <v>112</v>
      </c>
      <c r="H102" t="s">
        <v>746</v>
      </c>
      <c r="I102" t="s">
        <v>747</v>
      </c>
      <c r="J102" t="s">
        <v>748</v>
      </c>
      <c r="K102" t="s">
        <v>748</v>
      </c>
      <c r="L102" t="s">
        <v>749</v>
      </c>
      <c r="N102" t="s">
        <v>750</v>
      </c>
      <c r="O102" t="s">
        <v>118</v>
      </c>
      <c r="R102" t="s">
        <v>188</v>
      </c>
      <c r="S102" t="s">
        <v>120</v>
      </c>
      <c r="T102" t="s">
        <v>121</v>
      </c>
      <c r="U102" t="s">
        <v>412</v>
      </c>
      <c r="W102" t="s">
        <v>67</v>
      </c>
      <c r="X102" t="s">
        <v>175</v>
      </c>
      <c r="Y102">
        <v>0</v>
      </c>
      <c r="AH102" t="s">
        <v>128</v>
      </c>
      <c r="AI102" t="s">
        <v>190</v>
      </c>
      <c r="AM102" t="s">
        <v>150</v>
      </c>
      <c r="AS102" t="s">
        <v>127</v>
      </c>
      <c r="BE102">
        <v>0</v>
      </c>
      <c r="BG102">
        <v>110</v>
      </c>
      <c r="BM102" t="s">
        <v>129</v>
      </c>
      <c r="BN102">
        <v>0</v>
      </c>
      <c r="BP102" t="s">
        <v>177</v>
      </c>
    </row>
    <row r="103" spans="1:111" x14ac:dyDescent="0.2">
      <c r="A103" t="s">
        <v>111</v>
      </c>
      <c r="B103" t="b">
        <v>1</v>
      </c>
      <c r="C103" t="s">
        <v>128</v>
      </c>
      <c r="F103" t="str">
        <f>HYPERLINK("https://portal.dnb.de/opac.htm?method=simpleSearch&amp;cqlMode=true&amp;query=idn%3D1262274907", "Portal")</f>
        <v>Portal</v>
      </c>
      <c r="G103" t="s">
        <v>157</v>
      </c>
      <c r="H103" t="s">
        <v>751</v>
      </c>
      <c r="I103" t="s">
        <v>752</v>
      </c>
      <c r="J103" t="s">
        <v>753</v>
      </c>
      <c r="K103" t="s">
        <v>753</v>
      </c>
      <c r="L103" t="s">
        <v>753</v>
      </c>
      <c r="N103" t="s">
        <v>220</v>
      </c>
      <c r="O103" t="s">
        <v>118</v>
      </c>
      <c r="Q103" t="s">
        <v>643</v>
      </c>
      <c r="R103" t="s">
        <v>147</v>
      </c>
      <c r="S103" t="s">
        <v>120</v>
      </c>
      <c r="T103" t="s">
        <v>136</v>
      </c>
      <c r="U103" t="s">
        <v>619</v>
      </c>
      <c r="W103" t="s">
        <v>67</v>
      </c>
      <c r="X103" t="s">
        <v>606</v>
      </c>
      <c r="Y103">
        <v>3</v>
      </c>
      <c r="AA103" t="s">
        <v>754</v>
      </c>
      <c r="AI103" t="s">
        <v>755</v>
      </c>
      <c r="AS103" t="s">
        <v>127</v>
      </c>
      <c r="BG103">
        <v>0</v>
      </c>
      <c r="BH103" t="s">
        <v>756</v>
      </c>
      <c r="BM103" t="s">
        <v>206</v>
      </c>
      <c r="BN103">
        <v>40</v>
      </c>
      <c r="BP103" t="s">
        <v>177</v>
      </c>
      <c r="BT103" t="s">
        <v>128</v>
      </c>
      <c r="BU103" t="s">
        <v>128</v>
      </c>
      <c r="BV103" t="s">
        <v>757</v>
      </c>
      <c r="CB103" t="s">
        <v>128</v>
      </c>
      <c r="CD103" t="s">
        <v>128</v>
      </c>
      <c r="CF103" t="s">
        <v>128</v>
      </c>
      <c r="CM103">
        <v>40</v>
      </c>
      <c r="CN103" t="s">
        <v>758</v>
      </c>
    </row>
    <row r="104" spans="1:111" x14ac:dyDescent="0.2">
      <c r="A104" t="s">
        <v>111</v>
      </c>
      <c r="B104" t="b">
        <v>1</v>
      </c>
      <c r="E104">
        <v>117</v>
      </c>
      <c r="F104" t="str">
        <f>HYPERLINK("https://portal.dnb.de/opac.htm?method=simpleSearch&amp;cqlMode=true&amp;query=idn%3D100389948X", "Portal")</f>
        <v>Portal</v>
      </c>
      <c r="G104" t="s">
        <v>112</v>
      </c>
      <c r="H104" t="s">
        <v>759</v>
      </c>
      <c r="I104" t="s">
        <v>760</v>
      </c>
      <c r="J104" t="s">
        <v>761</v>
      </c>
      <c r="K104" t="s">
        <v>761</v>
      </c>
      <c r="L104" t="s">
        <v>762</v>
      </c>
      <c r="N104" t="s">
        <v>763</v>
      </c>
      <c r="O104" t="s">
        <v>118</v>
      </c>
      <c r="R104" t="s">
        <v>119</v>
      </c>
      <c r="S104" t="s">
        <v>120</v>
      </c>
      <c r="T104" t="s">
        <v>136</v>
      </c>
      <c r="U104" t="s">
        <v>148</v>
      </c>
      <c r="W104" t="s">
        <v>67</v>
      </c>
      <c r="X104" t="s">
        <v>175</v>
      </c>
      <c r="Y104">
        <v>0</v>
      </c>
      <c r="AI104" t="s">
        <v>125</v>
      </c>
      <c r="AJ104" t="s">
        <v>764</v>
      </c>
      <c r="AM104" t="s">
        <v>126</v>
      </c>
      <c r="AS104" t="s">
        <v>127</v>
      </c>
      <c r="BC104" t="s">
        <v>493</v>
      </c>
      <c r="BD104" t="s">
        <v>128</v>
      </c>
      <c r="BG104">
        <v>110</v>
      </c>
      <c r="BM104" t="s">
        <v>129</v>
      </c>
      <c r="BN104">
        <v>0</v>
      </c>
      <c r="BP104" t="s">
        <v>177</v>
      </c>
    </row>
    <row r="105" spans="1:111" x14ac:dyDescent="0.2">
      <c r="A105" t="s">
        <v>111</v>
      </c>
      <c r="B105" t="b">
        <v>1</v>
      </c>
      <c r="E105">
        <v>118</v>
      </c>
      <c r="F105" t="str">
        <f>HYPERLINK("https://portal.dnb.de/opac.htm?method=simpleSearch&amp;cqlMode=true&amp;query=idn%3D1003840140", "Portal")</f>
        <v>Portal</v>
      </c>
      <c r="G105" t="s">
        <v>112</v>
      </c>
      <c r="H105" t="s">
        <v>765</v>
      </c>
      <c r="I105" t="s">
        <v>766</v>
      </c>
      <c r="J105" t="s">
        <v>767</v>
      </c>
      <c r="K105" t="s">
        <v>767</v>
      </c>
      <c r="L105" t="s">
        <v>768</v>
      </c>
      <c r="N105" t="s">
        <v>769</v>
      </c>
      <c r="O105" t="s">
        <v>118</v>
      </c>
      <c r="R105" t="s">
        <v>188</v>
      </c>
      <c r="S105" t="s">
        <v>120</v>
      </c>
      <c r="T105" t="s">
        <v>136</v>
      </c>
      <c r="U105" t="s">
        <v>412</v>
      </c>
      <c r="W105" t="s">
        <v>138</v>
      </c>
      <c r="X105" t="s">
        <v>203</v>
      </c>
      <c r="Y105">
        <v>0</v>
      </c>
      <c r="AH105" t="s">
        <v>128</v>
      </c>
      <c r="AI105" t="s">
        <v>190</v>
      </c>
      <c r="AM105" t="s">
        <v>191</v>
      </c>
      <c r="AS105" t="s">
        <v>127</v>
      </c>
      <c r="BE105">
        <v>2</v>
      </c>
      <c r="BG105" t="s">
        <v>176</v>
      </c>
      <c r="BM105" t="s">
        <v>129</v>
      </c>
      <c r="BN105">
        <v>0</v>
      </c>
      <c r="BT105" t="s">
        <v>140</v>
      </c>
      <c r="BU105" t="s">
        <v>128</v>
      </c>
      <c r="BY105" t="s">
        <v>770</v>
      </c>
    </row>
    <row r="106" spans="1:111" x14ac:dyDescent="0.2">
      <c r="A106" t="s">
        <v>111</v>
      </c>
      <c r="B106" t="b">
        <v>1</v>
      </c>
      <c r="F106" t="str">
        <f>HYPERLINK("https://portal.dnb.de/opac.htm?method=simpleSearch&amp;cqlMode=true&amp;query=idn%3D1262280885", "Portal")</f>
        <v>Portal</v>
      </c>
      <c r="G106" t="s">
        <v>157</v>
      </c>
      <c r="H106" t="s">
        <v>771</v>
      </c>
      <c r="I106" t="s">
        <v>772</v>
      </c>
      <c r="J106" t="s">
        <v>773</v>
      </c>
      <c r="K106" t="s">
        <v>773</v>
      </c>
      <c r="L106" t="s">
        <v>773</v>
      </c>
      <c r="N106" t="s">
        <v>774</v>
      </c>
      <c r="O106" t="s">
        <v>118</v>
      </c>
      <c r="R106" t="s">
        <v>188</v>
      </c>
      <c r="S106" t="s">
        <v>120</v>
      </c>
      <c r="T106" t="s">
        <v>121</v>
      </c>
      <c r="U106" t="s">
        <v>378</v>
      </c>
      <c r="W106" t="s">
        <v>67</v>
      </c>
      <c r="X106" t="s">
        <v>175</v>
      </c>
      <c r="Y106">
        <v>0</v>
      </c>
      <c r="AH106" t="s">
        <v>128</v>
      </c>
      <c r="AI106" t="s">
        <v>190</v>
      </c>
      <c r="AL106" t="s">
        <v>128</v>
      </c>
      <c r="AM106" t="s">
        <v>191</v>
      </c>
      <c r="AS106" t="s">
        <v>127</v>
      </c>
      <c r="AX106" t="s">
        <v>128</v>
      </c>
      <c r="BE106">
        <v>0</v>
      </c>
      <c r="BF106" t="s">
        <v>128</v>
      </c>
      <c r="BG106">
        <v>110</v>
      </c>
      <c r="BM106" t="s">
        <v>129</v>
      </c>
      <c r="BN106">
        <v>0</v>
      </c>
      <c r="BP106" t="s">
        <v>177</v>
      </c>
      <c r="BV106" t="s">
        <v>775</v>
      </c>
    </row>
    <row r="107" spans="1:111" x14ac:dyDescent="0.2">
      <c r="A107" t="s">
        <v>111</v>
      </c>
      <c r="B107" t="b">
        <v>1</v>
      </c>
      <c r="E107">
        <v>121</v>
      </c>
      <c r="F107" t="str">
        <f>HYPERLINK("https://portal.dnb.de/opac.htm?method=simpleSearch&amp;cqlMode=true&amp;query=idn%3D1003937128", "Portal")</f>
        <v>Portal</v>
      </c>
      <c r="G107" t="s">
        <v>112</v>
      </c>
      <c r="H107" t="s">
        <v>776</v>
      </c>
      <c r="I107" t="s">
        <v>777</v>
      </c>
      <c r="J107" t="s">
        <v>778</v>
      </c>
      <c r="K107" t="s">
        <v>778</v>
      </c>
      <c r="L107" t="s">
        <v>779</v>
      </c>
      <c r="N107" t="s">
        <v>780</v>
      </c>
      <c r="O107" t="s">
        <v>118</v>
      </c>
      <c r="P107" t="s">
        <v>128</v>
      </c>
      <c r="R107" t="s">
        <v>119</v>
      </c>
      <c r="S107" t="s">
        <v>120</v>
      </c>
      <c r="T107" t="s">
        <v>136</v>
      </c>
      <c r="U107" t="s">
        <v>519</v>
      </c>
      <c r="W107" t="s">
        <v>365</v>
      </c>
      <c r="X107" t="s">
        <v>203</v>
      </c>
      <c r="Y107">
        <v>0</v>
      </c>
      <c r="AI107" t="s">
        <v>125</v>
      </c>
      <c r="AJ107" t="s">
        <v>781</v>
      </c>
      <c r="AM107" t="s">
        <v>126</v>
      </c>
      <c r="AN107" t="s">
        <v>128</v>
      </c>
      <c r="AS107" t="s">
        <v>127</v>
      </c>
      <c r="BG107">
        <v>60</v>
      </c>
      <c r="BM107" t="s">
        <v>129</v>
      </c>
      <c r="BN107">
        <v>0</v>
      </c>
      <c r="BS107" t="s">
        <v>140</v>
      </c>
      <c r="BU107" t="s">
        <v>128</v>
      </c>
    </row>
    <row r="108" spans="1:111" x14ac:dyDescent="0.2">
      <c r="A108" t="s">
        <v>111</v>
      </c>
      <c r="B108" t="b">
        <v>1</v>
      </c>
      <c r="E108">
        <v>122</v>
      </c>
      <c r="F108" t="str">
        <f>HYPERLINK("https://portal.dnb.de/opac.htm?method=simpleSearch&amp;cqlMode=true&amp;query=idn%3D1003971172", "Portal")</f>
        <v>Portal</v>
      </c>
      <c r="G108" t="s">
        <v>112</v>
      </c>
      <c r="H108" t="s">
        <v>782</v>
      </c>
      <c r="I108" t="s">
        <v>783</v>
      </c>
      <c r="J108" t="s">
        <v>784</v>
      </c>
      <c r="K108" t="s">
        <v>784</v>
      </c>
      <c r="L108" t="s">
        <v>785</v>
      </c>
      <c r="N108" t="s">
        <v>786</v>
      </c>
      <c r="O108" t="s">
        <v>118</v>
      </c>
      <c r="R108" t="s">
        <v>119</v>
      </c>
      <c r="S108" t="s">
        <v>120</v>
      </c>
      <c r="T108" t="s">
        <v>136</v>
      </c>
      <c r="U108" t="s">
        <v>716</v>
      </c>
      <c r="W108" t="s">
        <v>67</v>
      </c>
      <c r="X108" t="s">
        <v>175</v>
      </c>
      <c r="Y108">
        <v>2</v>
      </c>
      <c r="AI108" t="s">
        <v>190</v>
      </c>
      <c r="AJ108" t="s">
        <v>787</v>
      </c>
      <c r="AM108" t="s">
        <v>191</v>
      </c>
      <c r="AS108" t="s">
        <v>127</v>
      </c>
      <c r="BG108">
        <v>60</v>
      </c>
      <c r="BM108" t="s">
        <v>129</v>
      </c>
      <c r="BN108">
        <v>0</v>
      </c>
      <c r="BP108" t="s">
        <v>788</v>
      </c>
    </row>
    <row r="109" spans="1:111" x14ac:dyDescent="0.2">
      <c r="A109" t="s">
        <v>111</v>
      </c>
      <c r="B109" t="b">
        <v>1</v>
      </c>
      <c r="C109" t="s">
        <v>128</v>
      </c>
      <c r="E109">
        <v>123</v>
      </c>
      <c r="F109" t="str">
        <f>HYPERLINK("https://portal.dnb.de/opac.htm?method=simpleSearch&amp;cqlMode=true&amp;query=idn%3D1003966217", "Portal")</f>
        <v>Portal</v>
      </c>
      <c r="G109" t="s">
        <v>112</v>
      </c>
      <c r="H109" t="s">
        <v>789</v>
      </c>
      <c r="I109" t="s">
        <v>790</v>
      </c>
      <c r="J109" t="s">
        <v>791</v>
      </c>
      <c r="K109" t="s">
        <v>791</v>
      </c>
      <c r="L109" t="s">
        <v>792</v>
      </c>
      <c r="N109" t="s">
        <v>793</v>
      </c>
      <c r="O109" t="s">
        <v>118</v>
      </c>
      <c r="P109" t="s">
        <v>128</v>
      </c>
      <c r="R109" t="s">
        <v>147</v>
      </c>
      <c r="S109" t="s">
        <v>120</v>
      </c>
      <c r="T109" t="s">
        <v>136</v>
      </c>
      <c r="U109" t="s">
        <v>232</v>
      </c>
      <c r="X109" t="s">
        <v>124</v>
      </c>
      <c r="Y109">
        <v>1</v>
      </c>
      <c r="AI109" t="s">
        <v>149</v>
      </c>
      <c r="AM109" t="s">
        <v>150</v>
      </c>
      <c r="AS109" t="s">
        <v>127</v>
      </c>
      <c r="BG109">
        <v>110</v>
      </c>
      <c r="BM109" t="s">
        <v>206</v>
      </c>
      <c r="BN109">
        <v>4.5</v>
      </c>
      <c r="CB109" t="s">
        <v>128</v>
      </c>
      <c r="CM109">
        <v>0.5</v>
      </c>
      <c r="CN109" t="s">
        <v>794</v>
      </c>
      <c r="CP109" t="s">
        <v>128</v>
      </c>
      <c r="CW109" t="s">
        <v>128</v>
      </c>
      <c r="DF109">
        <v>4</v>
      </c>
      <c r="DG109" t="s">
        <v>795</v>
      </c>
    </row>
    <row r="110" spans="1:111" x14ac:dyDescent="0.2">
      <c r="A110" t="s">
        <v>111</v>
      </c>
      <c r="B110" t="b">
        <v>1</v>
      </c>
      <c r="E110">
        <v>124</v>
      </c>
      <c r="F110" t="str">
        <f>HYPERLINK("https://portal.dnb.de/opac.htm?method=simpleSearch&amp;cqlMode=true&amp;query=idn%3D100390291X", "Portal")</f>
        <v>Portal</v>
      </c>
      <c r="G110" t="s">
        <v>112</v>
      </c>
      <c r="H110" t="s">
        <v>796</v>
      </c>
      <c r="I110" t="s">
        <v>797</v>
      </c>
      <c r="J110" t="s">
        <v>798</v>
      </c>
      <c r="K110" t="s">
        <v>798</v>
      </c>
      <c r="L110" t="s">
        <v>799</v>
      </c>
      <c r="N110" t="s">
        <v>800</v>
      </c>
      <c r="O110" t="s">
        <v>118</v>
      </c>
      <c r="P110" t="s">
        <v>128</v>
      </c>
      <c r="R110" t="s">
        <v>188</v>
      </c>
      <c r="S110" t="s">
        <v>120</v>
      </c>
      <c r="T110" t="s">
        <v>121</v>
      </c>
      <c r="U110" t="s">
        <v>801</v>
      </c>
      <c r="W110" t="s">
        <v>138</v>
      </c>
      <c r="X110" t="s">
        <v>203</v>
      </c>
      <c r="AH110" t="s">
        <v>128</v>
      </c>
      <c r="AI110" t="s">
        <v>190</v>
      </c>
      <c r="AM110" t="s">
        <v>191</v>
      </c>
      <c r="AS110" t="s">
        <v>127</v>
      </c>
      <c r="BE110">
        <v>2</v>
      </c>
      <c r="BG110" t="s">
        <v>176</v>
      </c>
      <c r="BM110" t="s">
        <v>129</v>
      </c>
      <c r="BN110">
        <v>0</v>
      </c>
      <c r="BT110" t="s">
        <v>140</v>
      </c>
      <c r="BU110" t="s">
        <v>128</v>
      </c>
    </row>
    <row r="111" spans="1:111" x14ac:dyDescent="0.2">
      <c r="A111" t="s">
        <v>111</v>
      </c>
      <c r="B111" t="b">
        <v>1</v>
      </c>
      <c r="E111">
        <v>125</v>
      </c>
      <c r="F111" t="str">
        <f>HYPERLINK("https://portal.dnb.de/opac.htm?method=simpleSearch&amp;cqlMode=true&amp;query=idn%3D1003983278", "Portal")</f>
        <v>Portal</v>
      </c>
      <c r="G111" t="s">
        <v>112</v>
      </c>
      <c r="H111" t="s">
        <v>802</v>
      </c>
      <c r="I111" t="s">
        <v>803</v>
      </c>
      <c r="J111" t="s">
        <v>804</v>
      </c>
      <c r="K111" t="s">
        <v>804</v>
      </c>
      <c r="L111" t="s">
        <v>805</v>
      </c>
      <c r="N111" t="s">
        <v>806</v>
      </c>
      <c r="O111" t="s">
        <v>118</v>
      </c>
      <c r="R111" t="s">
        <v>188</v>
      </c>
      <c r="S111" t="s">
        <v>120</v>
      </c>
      <c r="T111" t="s">
        <v>121</v>
      </c>
      <c r="U111" t="s">
        <v>807</v>
      </c>
      <c r="W111" t="s">
        <v>67</v>
      </c>
      <c r="X111" t="s">
        <v>175</v>
      </c>
      <c r="Y111">
        <v>0</v>
      </c>
      <c r="AI111" t="s">
        <v>190</v>
      </c>
      <c r="AL111" t="s">
        <v>128</v>
      </c>
      <c r="AM111" t="s">
        <v>191</v>
      </c>
      <c r="AS111" t="s">
        <v>127</v>
      </c>
      <c r="AW111" t="s">
        <v>128</v>
      </c>
      <c r="BE111">
        <v>0</v>
      </c>
      <c r="BF111" t="s">
        <v>128</v>
      </c>
      <c r="BG111" t="s">
        <v>366</v>
      </c>
      <c r="BM111" t="s">
        <v>129</v>
      </c>
      <c r="BN111">
        <v>0</v>
      </c>
      <c r="BP111" t="s">
        <v>177</v>
      </c>
      <c r="BV111" t="s">
        <v>808</v>
      </c>
    </row>
    <row r="112" spans="1:111" x14ac:dyDescent="0.2">
      <c r="A112" t="s">
        <v>111</v>
      </c>
      <c r="B112" t="b">
        <v>1</v>
      </c>
      <c r="C112" t="s">
        <v>128</v>
      </c>
      <c r="E112">
        <v>126</v>
      </c>
      <c r="F112" t="str">
        <f>HYPERLINK("https://portal.dnb.de/opac.htm?method=simpleSearch&amp;cqlMode=true&amp;query=idn%3D1003928617", "Portal")</f>
        <v>Portal</v>
      </c>
      <c r="G112" t="s">
        <v>112</v>
      </c>
      <c r="H112" t="s">
        <v>809</v>
      </c>
      <c r="I112" t="s">
        <v>810</v>
      </c>
      <c r="J112" t="s">
        <v>811</v>
      </c>
      <c r="K112" t="s">
        <v>811</v>
      </c>
      <c r="L112" t="s">
        <v>812</v>
      </c>
      <c r="N112" t="s">
        <v>813</v>
      </c>
      <c r="O112" t="s">
        <v>118</v>
      </c>
      <c r="R112" t="s">
        <v>467</v>
      </c>
      <c r="S112" t="s">
        <v>120</v>
      </c>
      <c r="T112" t="s">
        <v>121</v>
      </c>
      <c r="U112" t="s">
        <v>378</v>
      </c>
      <c r="W112" t="s">
        <v>138</v>
      </c>
      <c r="X112" t="s">
        <v>203</v>
      </c>
      <c r="Y112">
        <v>0</v>
      </c>
      <c r="AH112" t="s">
        <v>128</v>
      </c>
      <c r="AI112" t="s">
        <v>469</v>
      </c>
      <c r="AM112" t="s">
        <v>191</v>
      </c>
      <c r="AS112" t="s">
        <v>127</v>
      </c>
      <c r="BE112">
        <v>2</v>
      </c>
      <c r="BG112" t="s">
        <v>176</v>
      </c>
      <c r="BM112" t="s">
        <v>206</v>
      </c>
      <c r="BN112">
        <v>1.5</v>
      </c>
      <c r="BT112" t="s">
        <v>140</v>
      </c>
      <c r="BU112" t="s">
        <v>128</v>
      </c>
      <c r="BV112" t="s">
        <v>814</v>
      </c>
      <c r="BY112" t="s">
        <v>815</v>
      </c>
      <c r="CA112" t="s">
        <v>128</v>
      </c>
      <c r="CB112" t="s">
        <v>128</v>
      </c>
      <c r="CH112" t="s">
        <v>128</v>
      </c>
      <c r="CM112">
        <v>1.5</v>
      </c>
    </row>
    <row r="113" spans="1:111" x14ac:dyDescent="0.2">
      <c r="A113" t="s">
        <v>111</v>
      </c>
      <c r="B113" t="b">
        <v>1</v>
      </c>
      <c r="C113" t="s">
        <v>128</v>
      </c>
      <c r="E113">
        <v>127</v>
      </c>
      <c r="F113" t="str">
        <f>HYPERLINK("https://portal.dnb.de/opac.htm?method=simpleSearch&amp;cqlMode=true&amp;query=idn%3D1003799868", "Portal")</f>
        <v>Portal</v>
      </c>
      <c r="G113" t="s">
        <v>112</v>
      </c>
      <c r="H113" t="s">
        <v>816</v>
      </c>
      <c r="I113" t="s">
        <v>817</v>
      </c>
      <c r="J113" t="s">
        <v>818</v>
      </c>
      <c r="K113" t="s">
        <v>818</v>
      </c>
      <c r="L113" t="s">
        <v>819</v>
      </c>
      <c r="N113" t="s">
        <v>820</v>
      </c>
      <c r="O113" t="s">
        <v>118</v>
      </c>
      <c r="R113" t="s">
        <v>821</v>
      </c>
      <c r="S113" t="s">
        <v>120</v>
      </c>
      <c r="T113" t="s">
        <v>136</v>
      </c>
      <c r="U113" t="s">
        <v>412</v>
      </c>
      <c r="W113" t="s">
        <v>67</v>
      </c>
      <c r="X113" t="s">
        <v>606</v>
      </c>
      <c r="Y113">
        <v>1</v>
      </c>
      <c r="AH113" t="s">
        <v>128</v>
      </c>
      <c r="AI113" t="s">
        <v>125</v>
      </c>
      <c r="AJ113" t="s">
        <v>822</v>
      </c>
      <c r="AM113" t="s">
        <v>126</v>
      </c>
      <c r="AS113" t="s">
        <v>127</v>
      </c>
      <c r="BE113">
        <v>2</v>
      </c>
      <c r="BF113" t="s">
        <v>128</v>
      </c>
      <c r="BG113" t="s">
        <v>823</v>
      </c>
      <c r="BH113" t="s">
        <v>824</v>
      </c>
      <c r="BM113" t="s">
        <v>206</v>
      </c>
      <c r="BN113">
        <v>6</v>
      </c>
      <c r="BP113" t="s">
        <v>177</v>
      </c>
      <c r="BV113" t="s">
        <v>825</v>
      </c>
      <c r="CB113" t="s">
        <v>128</v>
      </c>
      <c r="CM113">
        <v>2</v>
      </c>
      <c r="CN113" t="s">
        <v>826</v>
      </c>
      <c r="CV113" t="s">
        <v>128</v>
      </c>
      <c r="CW113" t="s">
        <v>128</v>
      </c>
      <c r="CX113" t="s">
        <v>128</v>
      </c>
      <c r="DF113">
        <v>4</v>
      </c>
      <c r="DG113" t="s">
        <v>827</v>
      </c>
    </row>
    <row r="114" spans="1:111" x14ac:dyDescent="0.2">
      <c r="A114" t="s">
        <v>111</v>
      </c>
      <c r="B114" t="b">
        <v>1</v>
      </c>
      <c r="C114" t="s">
        <v>128</v>
      </c>
      <c r="E114">
        <v>128</v>
      </c>
      <c r="F114" t="str">
        <f>HYPERLINK("https://portal.dnb.de/opac.htm?method=simpleSearch&amp;cqlMode=true&amp;query=idn%3D1003964591", "Portal")</f>
        <v>Portal</v>
      </c>
      <c r="G114" t="s">
        <v>207</v>
      </c>
      <c r="H114" t="s">
        <v>828</v>
      </c>
      <c r="I114" t="s">
        <v>829</v>
      </c>
      <c r="J114" t="s">
        <v>830</v>
      </c>
      <c r="K114" t="s">
        <v>830</v>
      </c>
      <c r="L114" t="s">
        <v>831</v>
      </c>
      <c r="N114" t="s">
        <v>832</v>
      </c>
      <c r="O114" t="s">
        <v>833</v>
      </c>
      <c r="P114" t="s">
        <v>135</v>
      </c>
      <c r="R114" t="s">
        <v>188</v>
      </c>
      <c r="S114" t="s">
        <v>120</v>
      </c>
      <c r="T114" t="s">
        <v>136</v>
      </c>
      <c r="W114" t="s">
        <v>68</v>
      </c>
      <c r="X114" t="s">
        <v>175</v>
      </c>
      <c r="Y114">
        <v>0</v>
      </c>
      <c r="AI114" t="s">
        <v>190</v>
      </c>
      <c r="AL114" t="s">
        <v>128</v>
      </c>
      <c r="AM114" t="s">
        <v>191</v>
      </c>
      <c r="AS114" t="s">
        <v>127</v>
      </c>
      <c r="BG114">
        <v>45</v>
      </c>
      <c r="BM114" t="s">
        <v>206</v>
      </c>
      <c r="BN114">
        <v>1</v>
      </c>
      <c r="BQ114" t="s">
        <v>128</v>
      </c>
      <c r="BT114" t="s">
        <v>194</v>
      </c>
      <c r="BV114" t="s">
        <v>834</v>
      </c>
      <c r="CA114" t="s">
        <v>128</v>
      </c>
      <c r="CB114" t="s">
        <v>128</v>
      </c>
      <c r="CM114">
        <v>1</v>
      </c>
      <c r="CN114" t="s">
        <v>794</v>
      </c>
    </row>
    <row r="115" spans="1:111" x14ac:dyDescent="0.2">
      <c r="A115" t="s">
        <v>111</v>
      </c>
      <c r="B115" t="b">
        <v>1</v>
      </c>
      <c r="E115">
        <v>129</v>
      </c>
      <c r="F115" t="str">
        <f>HYPERLINK("https://portal.dnb.de/opac.htm?method=simpleSearch&amp;cqlMode=true&amp;query=idn%3D100390307X", "Portal")</f>
        <v>Portal</v>
      </c>
      <c r="G115" t="s">
        <v>112</v>
      </c>
      <c r="H115" t="s">
        <v>835</v>
      </c>
      <c r="I115" t="s">
        <v>836</v>
      </c>
      <c r="J115" t="s">
        <v>837</v>
      </c>
      <c r="K115" t="s">
        <v>837</v>
      </c>
      <c r="L115" t="s">
        <v>838</v>
      </c>
      <c r="N115" t="s">
        <v>839</v>
      </c>
      <c r="O115" t="s">
        <v>118</v>
      </c>
      <c r="P115" t="s">
        <v>135</v>
      </c>
      <c r="R115" t="s">
        <v>618</v>
      </c>
      <c r="S115" t="s">
        <v>120</v>
      </c>
      <c r="T115" t="s">
        <v>136</v>
      </c>
      <c r="U115" t="s">
        <v>423</v>
      </c>
      <c r="W115" t="s">
        <v>67</v>
      </c>
      <c r="X115" t="s">
        <v>606</v>
      </c>
      <c r="Y115">
        <v>0</v>
      </c>
      <c r="AH115" t="s">
        <v>470</v>
      </c>
      <c r="AI115" t="s">
        <v>190</v>
      </c>
      <c r="AM115" t="s">
        <v>204</v>
      </c>
      <c r="AS115" t="s">
        <v>127</v>
      </c>
      <c r="BG115">
        <v>110</v>
      </c>
      <c r="BI115" t="s">
        <v>128</v>
      </c>
      <c r="BJ115" t="s">
        <v>840</v>
      </c>
      <c r="BM115" t="s">
        <v>129</v>
      </c>
      <c r="BN115">
        <v>0</v>
      </c>
      <c r="BP115" t="s">
        <v>177</v>
      </c>
      <c r="BV115" t="s">
        <v>841</v>
      </c>
      <c r="BY115" t="s">
        <v>430</v>
      </c>
    </row>
    <row r="116" spans="1:111" x14ac:dyDescent="0.2">
      <c r="A116" t="s">
        <v>111</v>
      </c>
      <c r="B116" t="b">
        <v>0</v>
      </c>
      <c r="E116">
        <v>130</v>
      </c>
      <c r="F116" t="str">
        <f>HYPERLINK("https://portal.dnb.de/opac.htm?method=simpleSearch&amp;cqlMode=true&amp;query=idn%3D1003922767", "Portal")</f>
        <v>Portal</v>
      </c>
      <c r="H116" t="s">
        <v>842</v>
      </c>
      <c r="I116" t="s">
        <v>843</v>
      </c>
      <c r="L116" t="s">
        <v>844</v>
      </c>
      <c r="M116" t="s">
        <v>845</v>
      </c>
      <c r="P116" t="s">
        <v>135</v>
      </c>
      <c r="R116" t="s">
        <v>188</v>
      </c>
      <c r="S116" t="s">
        <v>120</v>
      </c>
      <c r="T116" t="s">
        <v>136</v>
      </c>
      <c r="U116" t="s">
        <v>423</v>
      </c>
      <c r="W116" t="s">
        <v>67</v>
      </c>
      <c r="X116" t="s">
        <v>606</v>
      </c>
      <c r="Y116">
        <v>0</v>
      </c>
      <c r="AH116" t="s">
        <v>470</v>
      </c>
      <c r="AI116" t="s">
        <v>190</v>
      </c>
      <c r="AM116" t="s">
        <v>204</v>
      </c>
      <c r="AS116" t="s">
        <v>127</v>
      </c>
      <c r="BG116">
        <v>110</v>
      </c>
      <c r="BI116" t="s">
        <v>128</v>
      </c>
      <c r="BJ116" t="s">
        <v>840</v>
      </c>
      <c r="BM116" t="s">
        <v>129</v>
      </c>
      <c r="BN116">
        <v>0</v>
      </c>
      <c r="BP116" t="s">
        <v>177</v>
      </c>
      <c r="BU116" t="s">
        <v>128</v>
      </c>
      <c r="BV116" t="s">
        <v>846</v>
      </c>
      <c r="BY116" t="s">
        <v>430</v>
      </c>
    </row>
    <row r="117" spans="1:111" x14ac:dyDescent="0.2">
      <c r="A117" t="s">
        <v>111</v>
      </c>
      <c r="B117" t="b">
        <v>1</v>
      </c>
      <c r="E117">
        <v>131</v>
      </c>
      <c r="F117" t="str">
        <f>HYPERLINK("https://portal.dnb.de/opac.htm?method=simpleSearch&amp;cqlMode=true&amp;query=idn%3D100397788X", "Portal")</f>
        <v>Portal</v>
      </c>
      <c r="G117" t="s">
        <v>112</v>
      </c>
      <c r="H117" t="s">
        <v>847</v>
      </c>
      <c r="I117" t="s">
        <v>848</v>
      </c>
      <c r="J117" t="s">
        <v>849</v>
      </c>
      <c r="K117" t="s">
        <v>849</v>
      </c>
      <c r="L117" t="s">
        <v>850</v>
      </c>
      <c r="N117" t="s">
        <v>851</v>
      </c>
      <c r="O117" t="s">
        <v>118</v>
      </c>
      <c r="R117" t="s">
        <v>162</v>
      </c>
      <c r="S117" t="s">
        <v>214</v>
      </c>
      <c r="T117" t="s">
        <v>136</v>
      </c>
      <c r="U117" t="s">
        <v>148</v>
      </c>
      <c r="Y117">
        <v>0</v>
      </c>
      <c r="AI117" t="s">
        <v>149</v>
      </c>
      <c r="AL117" t="s">
        <v>128</v>
      </c>
      <c r="AM117" t="s">
        <v>150</v>
      </c>
      <c r="AS117" t="s">
        <v>127</v>
      </c>
      <c r="BG117">
        <v>110</v>
      </c>
      <c r="BM117" t="s">
        <v>129</v>
      </c>
      <c r="BN117">
        <v>0</v>
      </c>
    </row>
    <row r="118" spans="1:111" x14ac:dyDescent="0.2">
      <c r="A118" t="s">
        <v>111</v>
      </c>
      <c r="B118" t="b">
        <v>1</v>
      </c>
      <c r="C118" t="s">
        <v>128</v>
      </c>
      <c r="E118">
        <v>132</v>
      </c>
      <c r="F118" t="str">
        <f>HYPERLINK("https://portal.dnb.de/opac.htm?method=simpleSearch&amp;cqlMode=true&amp;query=idn%3D1066956618", "Portal")</f>
        <v>Portal</v>
      </c>
      <c r="G118" t="s">
        <v>163</v>
      </c>
      <c r="H118" t="s">
        <v>852</v>
      </c>
      <c r="I118" t="s">
        <v>853</v>
      </c>
      <c r="J118" t="s">
        <v>854</v>
      </c>
      <c r="K118" t="s">
        <v>854</v>
      </c>
      <c r="L118" t="s">
        <v>855</v>
      </c>
      <c r="N118" t="s">
        <v>856</v>
      </c>
      <c r="O118" t="s">
        <v>118</v>
      </c>
      <c r="R118" t="s">
        <v>467</v>
      </c>
      <c r="S118" t="s">
        <v>214</v>
      </c>
      <c r="T118" t="s">
        <v>121</v>
      </c>
      <c r="U118" t="s">
        <v>378</v>
      </c>
      <c r="X118" t="s">
        <v>124</v>
      </c>
      <c r="Y118">
        <v>2</v>
      </c>
      <c r="AI118" t="s">
        <v>190</v>
      </c>
      <c r="AM118" t="s">
        <v>191</v>
      </c>
      <c r="AS118" t="s">
        <v>127</v>
      </c>
      <c r="BG118">
        <v>80</v>
      </c>
      <c r="BM118" t="s">
        <v>206</v>
      </c>
      <c r="BN118">
        <v>2</v>
      </c>
      <c r="BV118" t="s">
        <v>857</v>
      </c>
      <c r="CO118" t="s">
        <v>128</v>
      </c>
      <c r="CV118" t="s">
        <v>128</v>
      </c>
      <c r="DA118" t="s">
        <v>128</v>
      </c>
      <c r="DF118">
        <v>2</v>
      </c>
    </row>
    <row r="119" spans="1:111" x14ac:dyDescent="0.2">
      <c r="A119" t="s">
        <v>111</v>
      </c>
      <c r="B119" t="b">
        <v>1</v>
      </c>
      <c r="C119" t="s">
        <v>128</v>
      </c>
      <c r="E119">
        <v>133</v>
      </c>
      <c r="F119" t="str">
        <f>HYPERLINK("https://portal.dnb.de/opac.htm?method=simpleSearch&amp;cqlMode=true&amp;query=idn%3D1066956979", "Portal")</f>
        <v>Portal</v>
      </c>
      <c r="G119" t="s">
        <v>163</v>
      </c>
      <c r="H119" t="s">
        <v>858</v>
      </c>
      <c r="I119" t="s">
        <v>859</v>
      </c>
      <c r="J119" t="s">
        <v>860</v>
      </c>
      <c r="K119" t="s">
        <v>860</v>
      </c>
      <c r="L119" t="s">
        <v>861</v>
      </c>
      <c r="N119" t="s">
        <v>862</v>
      </c>
      <c r="O119" t="s">
        <v>118</v>
      </c>
      <c r="R119" t="s">
        <v>467</v>
      </c>
      <c r="S119" t="s">
        <v>214</v>
      </c>
      <c r="T119" t="s">
        <v>136</v>
      </c>
      <c r="U119" t="s">
        <v>807</v>
      </c>
      <c r="X119" t="s">
        <v>124</v>
      </c>
      <c r="Y119">
        <v>2</v>
      </c>
      <c r="AI119" t="s">
        <v>469</v>
      </c>
      <c r="AM119" t="s">
        <v>191</v>
      </c>
      <c r="AS119" t="s">
        <v>127</v>
      </c>
      <c r="BG119">
        <v>60</v>
      </c>
      <c r="BM119" t="s">
        <v>206</v>
      </c>
      <c r="BN119">
        <v>18</v>
      </c>
      <c r="BY119" t="s">
        <v>863</v>
      </c>
      <c r="CB119" t="s">
        <v>128</v>
      </c>
      <c r="CI119" t="s">
        <v>128</v>
      </c>
      <c r="CJ119" t="s">
        <v>128</v>
      </c>
      <c r="CM119">
        <v>10</v>
      </c>
      <c r="CN119" t="s">
        <v>864</v>
      </c>
      <c r="CO119" t="s">
        <v>128</v>
      </c>
      <c r="CV119" t="s">
        <v>128</v>
      </c>
      <c r="CZ119" t="s">
        <v>128</v>
      </c>
      <c r="DA119" t="s">
        <v>128</v>
      </c>
      <c r="DF119">
        <v>8</v>
      </c>
    </row>
    <row r="120" spans="1:111" x14ac:dyDescent="0.2">
      <c r="A120" t="s">
        <v>111</v>
      </c>
      <c r="B120" t="b">
        <v>1</v>
      </c>
      <c r="C120" t="s">
        <v>128</v>
      </c>
      <c r="E120">
        <v>134</v>
      </c>
      <c r="F120" t="str">
        <f>HYPERLINK("https://portal.dnb.de/opac.htm?method=simpleSearch&amp;cqlMode=true&amp;query=idn%3D1066957967", "Portal")</f>
        <v>Portal</v>
      </c>
      <c r="G120" t="s">
        <v>163</v>
      </c>
      <c r="H120" t="s">
        <v>865</v>
      </c>
      <c r="I120" t="s">
        <v>866</v>
      </c>
      <c r="J120" t="s">
        <v>867</v>
      </c>
      <c r="K120" t="s">
        <v>867</v>
      </c>
      <c r="L120" t="s">
        <v>868</v>
      </c>
      <c r="N120" t="s">
        <v>869</v>
      </c>
      <c r="O120" t="s">
        <v>118</v>
      </c>
      <c r="R120" t="s">
        <v>467</v>
      </c>
      <c r="S120" t="s">
        <v>214</v>
      </c>
      <c r="T120" t="s">
        <v>136</v>
      </c>
      <c r="U120" t="s">
        <v>137</v>
      </c>
      <c r="X120" t="s">
        <v>124</v>
      </c>
      <c r="Y120">
        <v>3</v>
      </c>
      <c r="AI120" t="s">
        <v>469</v>
      </c>
      <c r="AM120" t="s">
        <v>191</v>
      </c>
      <c r="AS120" t="s">
        <v>127</v>
      </c>
      <c r="BG120">
        <v>110</v>
      </c>
      <c r="BM120" t="s">
        <v>206</v>
      </c>
      <c r="BN120">
        <v>15</v>
      </c>
      <c r="BY120" t="s">
        <v>863</v>
      </c>
      <c r="CB120" t="s">
        <v>128</v>
      </c>
      <c r="CI120" t="s">
        <v>128</v>
      </c>
      <c r="CM120">
        <v>12</v>
      </c>
      <c r="CN120" t="s">
        <v>870</v>
      </c>
      <c r="CO120" t="s">
        <v>128</v>
      </c>
      <c r="CZ120" t="s">
        <v>128</v>
      </c>
      <c r="DF120">
        <v>3</v>
      </c>
    </row>
    <row r="121" spans="1:111" x14ac:dyDescent="0.2">
      <c r="A121" t="s">
        <v>111</v>
      </c>
      <c r="B121" t="b">
        <v>1</v>
      </c>
      <c r="E121">
        <v>135</v>
      </c>
      <c r="F121" t="str">
        <f>HYPERLINK("https://portal.dnb.de/opac.htm?method=simpleSearch&amp;cqlMode=true&amp;query=idn%3D1003970656", "Portal")</f>
        <v>Portal</v>
      </c>
      <c r="G121" t="s">
        <v>112</v>
      </c>
      <c r="H121" t="s">
        <v>871</v>
      </c>
      <c r="I121" t="s">
        <v>872</v>
      </c>
      <c r="J121" t="s">
        <v>873</v>
      </c>
      <c r="K121" t="s">
        <v>873</v>
      </c>
      <c r="L121" t="s">
        <v>874</v>
      </c>
      <c r="N121" t="s">
        <v>875</v>
      </c>
      <c r="O121" t="s">
        <v>118</v>
      </c>
      <c r="R121" t="s">
        <v>188</v>
      </c>
      <c r="S121" t="s">
        <v>214</v>
      </c>
      <c r="T121" t="s">
        <v>136</v>
      </c>
      <c r="W121" t="s">
        <v>67</v>
      </c>
      <c r="X121" t="s">
        <v>175</v>
      </c>
      <c r="Y121">
        <v>0</v>
      </c>
      <c r="AI121" t="s">
        <v>190</v>
      </c>
      <c r="AL121" t="s">
        <v>128</v>
      </c>
      <c r="AM121" t="s">
        <v>191</v>
      </c>
      <c r="AS121" t="s">
        <v>127</v>
      </c>
      <c r="AX121" t="s">
        <v>128</v>
      </c>
      <c r="BG121">
        <v>110</v>
      </c>
      <c r="BM121" t="s">
        <v>129</v>
      </c>
      <c r="BN121">
        <v>0</v>
      </c>
      <c r="BP121" t="s">
        <v>177</v>
      </c>
    </row>
    <row r="122" spans="1:111" x14ac:dyDescent="0.2">
      <c r="A122" t="s">
        <v>111</v>
      </c>
      <c r="B122" t="b">
        <v>1</v>
      </c>
      <c r="C122" t="s">
        <v>128</v>
      </c>
      <c r="F122" t="str">
        <f>HYPERLINK("https://portal.dnb.de/opac.htm?method=simpleSearch&amp;cqlMode=true&amp;query=idn%3D1138239534", "Portal")</f>
        <v>Portal</v>
      </c>
      <c r="G122" t="s">
        <v>157</v>
      </c>
      <c r="H122" t="s">
        <v>876</v>
      </c>
      <c r="I122" t="s">
        <v>877</v>
      </c>
      <c r="J122" t="s">
        <v>878</v>
      </c>
      <c r="K122" t="s">
        <v>878</v>
      </c>
      <c r="L122" t="s">
        <v>878</v>
      </c>
      <c r="N122" t="s">
        <v>220</v>
      </c>
      <c r="O122" t="s">
        <v>118</v>
      </c>
      <c r="Q122" t="s">
        <v>879</v>
      </c>
      <c r="R122" t="s">
        <v>162</v>
      </c>
      <c r="S122" t="s">
        <v>214</v>
      </c>
      <c r="T122" t="s">
        <v>136</v>
      </c>
      <c r="U122" t="s">
        <v>232</v>
      </c>
      <c r="Y122">
        <v>1</v>
      </c>
      <c r="AI122" t="s">
        <v>149</v>
      </c>
      <c r="AM122" t="s">
        <v>126</v>
      </c>
      <c r="AS122" t="s">
        <v>127</v>
      </c>
      <c r="BG122">
        <v>110</v>
      </c>
      <c r="BM122" t="s">
        <v>206</v>
      </c>
      <c r="BN122">
        <v>1.5</v>
      </c>
      <c r="CB122" t="s">
        <v>128</v>
      </c>
      <c r="CI122" t="s">
        <v>128</v>
      </c>
      <c r="CM122">
        <v>1.5</v>
      </c>
    </row>
    <row r="123" spans="1:111" x14ac:dyDescent="0.2">
      <c r="A123" t="s">
        <v>111</v>
      </c>
      <c r="B123" t="b">
        <v>1</v>
      </c>
      <c r="E123">
        <v>138</v>
      </c>
      <c r="F123" t="str">
        <f>HYPERLINK("https://portal.dnb.de/opac.htm?method=simpleSearch&amp;cqlMode=true&amp;query=idn%3D1003898033", "Portal")</f>
        <v>Portal</v>
      </c>
      <c r="G123" t="s">
        <v>112</v>
      </c>
      <c r="H123" t="s">
        <v>880</v>
      </c>
      <c r="I123" t="s">
        <v>881</v>
      </c>
      <c r="J123" t="s">
        <v>882</v>
      </c>
      <c r="K123" t="s">
        <v>882</v>
      </c>
      <c r="L123" t="s">
        <v>883</v>
      </c>
      <c r="N123" t="s">
        <v>884</v>
      </c>
      <c r="O123" t="s">
        <v>118</v>
      </c>
      <c r="R123" t="s">
        <v>467</v>
      </c>
      <c r="S123" t="s">
        <v>214</v>
      </c>
      <c r="T123" t="s">
        <v>136</v>
      </c>
      <c r="U123" t="s">
        <v>137</v>
      </c>
      <c r="W123" t="s">
        <v>67</v>
      </c>
      <c r="X123" t="s">
        <v>175</v>
      </c>
      <c r="Y123">
        <v>0</v>
      </c>
      <c r="AA123" t="s">
        <v>885</v>
      </c>
      <c r="AI123" t="s">
        <v>469</v>
      </c>
      <c r="AL123" t="s">
        <v>128</v>
      </c>
      <c r="AM123" t="s">
        <v>191</v>
      </c>
      <c r="AS123" t="s">
        <v>127</v>
      </c>
      <c r="BG123">
        <v>110</v>
      </c>
      <c r="BM123" t="s">
        <v>129</v>
      </c>
      <c r="BN123">
        <v>0</v>
      </c>
      <c r="BP123" t="s">
        <v>177</v>
      </c>
      <c r="BV123" t="s">
        <v>886</v>
      </c>
    </row>
    <row r="124" spans="1:111" x14ac:dyDescent="0.2">
      <c r="A124" t="s">
        <v>111</v>
      </c>
      <c r="B124" t="b">
        <v>1</v>
      </c>
      <c r="E124">
        <v>139</v>
      </c>
      <c r="F124" t="str">
        <f>HYPERLINK("https://portal.dnb.de/opac.htm?method=simpleSearch&amp;cqlMode=true&amp;query=idn%3D1066942137", "Portal")</f>
        <v>Portal</v>
      </c>
      <c r="G124" t="s">
        <v>163</v>
      </c>
      <c r="H124" t="s">
        <v>887</v>
      </c>
      <c r="I124" t="s">
        <v>888</v>
      </c>
      <c r="J124" t="s">
        <v>889</v>
      </c>
      <c r="K124" t="s">
        <v>889</v>
      </c>
      <c r="L124" t="s">
        <v>890</v>
      </c>
      <c r="N124" t="s">
        <v>891</v>
      </c>
      <c r="O124" t="s">
        <v>118</v>
      </c>
      <c r="P124" t="s">
        <v>135</v>
      </c>
      <c r="R124" t="s">
        <v>147</v>
      </c>
      <c r="S124" t="s">
        <v>214</v>
      </c>
      <c r="T124" t="s">
        <v>156</v>
      </c>
      <c r="U124" t="s">
        <v>148</v>
      </c>
      <c r="X124" t="s">
        <v>124</v>
      </c>
      <c r="Y124">
        <v>0</v>
      </c>
      <c r="AI124" t="s">
        <v>127</v>
      </c>
      <c r="AM124" t="s">
        <v>150</v>
      </c>
      <c r="AS124" t="s">
        <v>127</v>
      </c>
      <c r="BG124">
        <v>180</v>
      </c>
      <c r="BM124" t="s">
        <v>129</v>
      </c>
      <c r="BN124">
        <v>0</v>
      </c>
    </row>
    <row r="125" spans="1:111" x14ac:dyDescent="0.2">
      <c r="A125" t="s">
        <v>111</v>
      </c>
      <c r="B125" t="b">
        <v>1</v>
      </c>
      <c r="C125" t="s">
        <v>128</v>
      </c>
      <c r="E125">
        <v>140</v>
      </c>
      <c r="F125" t="str">
        <f>HYPERLINK("https://portal.dnb.de/opac.htm?method=simpleSearch&amp;cqlMode=true&amp;query=idn%3D1066956782", "Portal")</f>
        <v>Portal</v>
      </c>
      <c r="G125" t="s">
        <v>163</v>
      </c>
      <c r="H125" t="s">
        <v>892</v>
      </c>
      <c r="I125" t="s">
        <v>893</v>
      </c>
      <c r="J125" t="s">
        <v>894</v>
      </c>
      <c r="K125" t="s">
        <v>894</v>
      </c>
      <c r="L125" t="s">
        <v>895</v>
      </c>
      <c r="N125" t="s">
        <v>896</v>
      </c>
      <c r="O125" t="s">
        <v>118</v>
      </c>
      <c r="P125" t="s">
        <v>135</v>
      </c>
      <c r="R125" t="s">
        <v>467</v>
      </c>
      <c r="S125" t="s">
        <v>214</v>
      </c>
      <c r="T125" t="s">
        <v>136</v>
      </c>
      <c r="U125" t="s">
        <v>897</v>
      </c>
      <c r="W125" t="s">
        <v>138</v>
      </c>
      <c r="X125" t="s">
        <v>203</v>
      </c>
      <c r="Y125">
        <v>3</v>
      </c>
      <c r="AA125" t="s">
        <v>898</v>
      </c>
      <c r="AI125" t="s">
        <v>469</v>
      </c>
      <c r="AM125" t="s">
        <v>191</v>
      </c>
      <c r="AS125" t="s">
        <v>127</v>
      </c>
      <c r="BG125" t="s">
        <v>249</v>
      </c>
      <c r="BI125" t="s">
        <v>899</v>
      </c>
      <c r="BM125" t="s">
        <v>900</v>
      </c>
      <c r="BN125">
        <v>9</v>
      </c>
      <c r="BT125" t="s">
        <v>140</v>
      </c>
      <c r="BU125" t="s">
        <v>128</v>
      </c>
      <c r="BV125" t="s">
        <v>901</v>
      </c>
      <c r="BY125" t="s">
        <v>902</v>
      </c>
      <c r="CA125" t="s">
        <v>128</v>
      </c>
      <c r="CB125" t="s">
        <v>128</v>
      </c>
      <c r="CD125" t="s">
        <v>296</v>
      </c>
      <c r="CJ125" t="s">
        <v>903</v>
      </c>
      <c r="CM125">
        <v>9</v>
      </c>
      <c r="CN125" t="s">
        <v>904</v>
      </c>
      <c r="CO125" t="s">
        <v>128</v>
      </c>
    </row>
    <row r="126" spans="1:111" x14ac:dyDescent="0.2">
      <c r="A126" t="s">
        <v>111</v>
      </c>
      <c r="B126" t="b">
        <v>1</v>
      </c>
      <c r="E126">
        <v>141</v>
      </c>
      <c r="F126" t="str">
        <f>HYPERLINK("https://portal.dnb.de/opac.htm?method=simpleSearch&amp;cqlMode=true&amp;query=idn%3D100380232X", "Portal")</f>
        <v>Portal</v>
      </c>
      <c r="G126" t="s">
        <v>112</v>
      </c>
      <c r="H126" t="s">
        <v>905</v>
      </c>
      <c r="I126" t="s">
        <v>906</v>
      </c>
      <c r="J126" t="s">
        <v>907</v>
      </c>
      <c r="K126" t="s">
        <v>907</v>
      </c>
      <c r="L126" t="s">
        <v>908</v>
      </c>
      <c r="N126" t="s">
        <v>909</v>
      </c>
      <c r="O126" t="s">
        <v>118</v>
      </c>
      <c r="R126" t="s">
        <v>188</v>
      </c>
      <c r="S126" t="s">
        <v>214</v>
      </c>
      <c r="T126" t="s">
        <v>136</v>
      </c>
      <c r="U126" t="s">
        <v>897</v>
      </c>
      <c r="X126" t="s">
        <v>124</v>
      </c>
      <c r="Y126">
        <v>3</v>
      </c>
      <c r="AA126" t="s">
        <v>910</v>
      </c>
      <c r="AI126" t="s">
        <v>190</v>
      </c>
      <c r="AM126" t="s">
        <v>191</v>
      </c>
      <c r="AS126" t="s">
        <v>127</v>
      </c>
      <c r="AW126" t="s">
        <v>128</v>
      </c>
      <c r="BG126">
        <v>60</v>
      </c>
      <c r="BM126" t="s">
        <v>129</v>
      </c>
      <c r="BN126">
        <v>0</v>
      </c>
      <c r="BV126" t="s">
        <v>911</v>
      </c>
    </row>
    <row r="127" spans="1:111" x14ac:dyDescent="0.2">
      <c r="A127" t="s">
        <v>111</v>
      </c>
      <c r="B127" t="b">
        <v>1</v>
      </c>
      <c r="E127">
        <v>142</v>
      </c>
      <c r="F127" t="str">
        <f>HYPERLINK("https://portal.dnb.de/opac.htm?method=simpleSearch&amp;cqlMode=true&amp;query=idn%3D1003929311", "Portal")</f>
        <v>Portal</v>
      </c>
      <c r="G127" t="s">
        <v>112</v>
      </c>
      <c r="H127" t="s">
        <v>912</v>
      </c>
      <c r="I127" t="s">
        <v>913</v>
      </c>
      <c r="J127" t="s">
        <v>914</v>
      </c>
      <c r="K127" t="s">
        <v>914</v>
      </c>
      <c r="L127" t="s">
        <v>915</v>
      </c>
      <c r="N127" t="s">
        <v>916</v>
      </c>
      <c r="O127" t="s">
        <v>118</v>
      </c>
      <c r="R127" t="s">
        <v>467</v>
      </c>
      <c r="S127" t="s">
        <v>214</v>
      </c>
      <c r="T127" t="s">
        <v>136</v>
      </c>
      <c r="U127" t="s">
        <v>599</v>
      </c>
      <c r="W127" t="s">
        <v>67</v>
      </c>
      <c r="X127" t="s">
        <v>175</v>
      </c>
      <c r="Y127">
        <v>1</v>
      </c>
      <c r="AI127" t="s">
        <v>469</v>
      </c>
      <c r="AL127" t="s">
        <v>128</v>
      </c>
      <c r="AM127" t="s">
        <v>191</v>
      </c>
      <c r="AS127" t="s">
        <v>127</v>
      </c>
      <c r="AX127" t="s">
        <v>128</v>
      </c>
      <c r="BE127">
        <v>0</v>
      </c>
      <c r="BF127" t="s">
        <v>128</v>
      </c>
      <c r="BG127">
        <v>80</v>
      </c>
      <c r="BM127" t="s">
        <v>129</v>
      </c>
      <c r="BN127">
        <v>0</v>
      </c>
      <c r="BP127" t="s">
        <v>177</v>
      </c>
    </row>
    <row r="128" spans="1:111" x14ac:dyDescent="0.2">
      <c r="A128" t="s">
        <v>111</v>
      </c>
      <c r="B128" t="b">
        <v>1</v>
      </c>
      <c r="C128" t="s">
        <v>128</v>
      </c>
      <c r="E128">
        <v>143</v>
      </c>
      <c r="F128" t="str">
        <f>HYPERLINK("https://portal.dnb.de/opac.htm?method=simpleSearch&amp;cqlMode=true&amp;query=idn%3D1003927556", "Portal")</f>
        <v>Portal</v>
      </c>
      <c r="G128" t="s">
        <v>207</v>
      </c>
      <c r="H128" t="s">
        <v>917</v>
      </c>
      <c r="I128" t="s">
        <v>918</v>
      </c>
      <c r="J128" t="s">
        <v>919</v>
      </c>
      <c r="K128" t="s">
        <v>919</v>
      </c>
      <c r="L128" t="s">
        <v>920</v>
      </c>
      <c r="N128" t="s">
        <v>212</v>
      </c>
      <c r="O128" t="s">
        <v>921</v>
      </c>
      <c r="R128" t="s">
        <v>119</v>
      </c>
      <c r="S128" t="s">
        <v>214</v>
      </c>
      <c r="T128" t="s">
        <v>136</v>
      </c>
      <c r="U128" t="s">
        <v>922</v>
      </c>
      <c r="X128" t="s">
        <v>124</v>
      </c>
      <c r="Y128">
        <v>2</v>
      </c>
      <c r="AI128" t="s">
        <v>125</v>
      </c>
      <c r="AM128" t="s">
        <v>126</v>
      </c>
      <c r="AS128" t="s">
        <v>127</v>
      </c>
      <c r="AZ128" t="s">
        <v>128</v>
      </c>
      <c r="BA128" t="s">
        <v>923</v>
      </c>
      <c r="BB128" t="s">
        <v>128</v>
      </c>
      <c r="BG128">
        <v>110</v>
      </c>
      <c r="BM128" t="s">
        <v>206</v>
      </c>
      <c r="BN128">
        <v>5</v>
      </c>
      <c r="BR128" t="s">
        <v>128</v>
      </c>
      <c r="CX128" t="s">
        <v>128</v>
      </c>
      <c r="DA128" t="s">
        <v>128</v>
      </c>
      <c r="DF128">
        <v>5</v>
      </c>
    </row>
    <row r="129" spans="1:111" x14ac:dyDescent="0.2">
      <c r="A129" t="s">
        <v>111</v>
      </c>
      <c r="B129" t="b">
        <v>1</v>
      </c>
      <c r="E129">
        <v>144</v>
      </c>
      <c r="F129" t="str">
        <f>HYPERLINK("https://portal.dnb.de/opac.htm?method=simpleSearch&amp;cqlMode=true&amp;query=idn%3D1003927602", "Portal")</f>
        <v>Portal</v>
      </c>
      <c r="G129" t="s">
        <v>207</v>
      </c>
      <c r="H129" t="s">
        <v>924</v>
      </c>
      <c r="I129" t="s">
        <v>925</v>
      </c>
      <c r="J129" t="s">
        <v>926</v>
      </c>
      <c r="K129" t="s">
        <v>926</v>
      </c>
      <c r="L129" t="s">
        <v>927</v>
      </c>
      <c r="N129" t="s">
        <v>928</v>
      </c>
      <c r="O129" t="s">
        <v>929</v>
      </c>
      <c r="R129" t="s">
        <v>119</v>
      </c>
      <c r="S129" t="s">
        <v>214</v>
      </c>
      <c r="T129" t="s">
        <v>136</v>
      </c>
      <c r="U129" t="s">
        <v>922</v>
      </c>
      <c r="X129" t="s">
        <v>124</v>
      </c>
      <c r="Y129">
        <v>1</v>
      </c>
      <c r="AI129" t="s">
        <v>125</v>
      </c>
      <c r="AM129" t="s">
        <v>126</v>
      </c>
      <c r="AS129" t="s">
        <v>127</v>
      </c>
      <c r="AZ129" t="s">
        <v>128</v>
      </c>
      <c r="BB129" t="s">
        <v>128</v>
      </c>
      <c r="BG129">
        <v>110</v>
      </c>
      <c r="BM129" t="s">
        <v>129</v>
      </c>
      <c r="BN129">
        <v>0</v>
      </c>
    </row>
    <row r="130" spans="1:111" x14ac:dyDescent="0.2">
      <c r="A130" t="s">
        <v>111</v>
      </c>
      <c r="B130" t="b">
        <v>1</v>
      </c>
      <c r="E130">
        <v>145</v>
      </c>
      <c r="F130" t="str">
        <f>HYPERLINK("https://portal.dnb.de/opac.htm?method=simpleSearch&amp;cqlMode=true&amp;query=idn%3D100392767X", "Portal")</f>
        <v>Portal</v>
      </c>
      <c r="G130" t="s">
        <v>207</v>
      </c>
      <c r="H130" t="s">
        <v>930</v>
      </c>
      <c r="I130" t="s">
        <v>931</v>
      </c>
      <c r="J130" t="s">
        <v>932</v>
      </c>
      <c r="K130" t="s">
        <v>932</v>
      </c>
      <c r="L130" t="s">
        <v>933</v>
      </c>
      <c r="N130" t="s">
        <v>928</v>
      </c>
      <c r="O130" t="s">
        <v>934</v>
      </c>
      <c r="R130" t="s">
        <v>119</v>
      </c>
      <c r="S130" t="s">
        <v>214</v>
      </c>
      <c r="T130" t="s">
        <v>136</v>
      </c>
      <c r="U130" t="s">
        <v>922</v>
      </c>
      <c r="X130" t="s">
        <v>124</v>
      </c>
      <c r="Y130">
        <v>1</v>
      </c>
      <c r="AI130" t="s">
        <v>125</v>
      </c>
      <c r="AM130" t="s">
        <v>126</v>
      </c>
      <c r="AS130" t="s">
        <v>127</v>
      </c>
      <c r="AZ130" t="s">
        <v>128</v>
      </c>
      <c r="BB130" t="s">
        <v>128</v>
      </c>
      <c r="BG130">
        <v>110</v>
      </c>
      <c r="BM130" t="s">
        <v>129</v>
      </c>
      <c r="BN130">
        <v>0</v>
      </c>
    </row>
    <row r="131" spans="1:111" x14ac:dyDescent="0.2">
      <c r="A131" t="s">
        <v>111</v>
      </c>
      <c r="B131" t="b">
        <v>1</v>
      </c>
      <c r="C131" t="s">
        <v>128</v>
      </c>
      <c r="F131" t="str">
        <f>HYPERLINK("https://portal.dnb.de/opac.htm?method=simpleSearch&amp;cqlMode=true&amp;query=idn%3D1147901104", "Portal")</f>
        <v>Portal</v>
      </c>
      <c r="G131" t="s">
        <v>157</v>
      </c>
      <c r="H131" t="s">
        <v>935</v>
      </c>
      <c r="I131" t="s">
        <v>936</v>
      </c>
      <c r="J131" t="s">
        <v>937</v>
      </c>
      <c r="K131" t="s">
        <v>937</v>
      </c>
      <c r="L131" t="s">
        <v>937</v>
      </c>
      <c r="N131" t="s">
        <v>938</v>
      </c>
      <c r="O131" t="s">
        <v>118</v>
      </c>
      <c r="Q131" t="s">
        <v>879</v>
      </c>
      <c r="R131" t="s">
        <v>188</v>
      </c>
      <c r="S131" t="s">
        <v>214</v>
      </c>
      <c r="T131" t="s">
        <v>136</v>
      </c>
      <c r="U131" t="s">
        <v>137</v>
      </c>
      <c r="X131" t="s">
        <v>124</v>
      </c>
      <c r="Y131">
        <v>2</v>
      </c>
      <c r="AI131" t="s">
        <v>190</v>
      </c>
      <c r="AM131" t="s">
        <v>191</v>
      </c>
      <c r="AS131" t="s">
        <v>127</v>
      </c>
      <c r="BG131">
        <v>60</v>
      </c>
      <c r="BM131" t="s">
        <v>206</v>
      </c>
      <c r="BN131">
        <v>2.5</v>
      </c>
      <c r="BR131" t="s">
        <v>128</v>
      </c>
      <c r="CB131" t="s">
        <v>128</v>
      </c>
      <c r="CI131" t="s">
        <v>128</v>
      </c>
      <c r="CM131">
        <v>2.5</v>
      </c>
    </row>
    <row r="132" spans="1:111" x14ac:dyDescent="0.2">
      <c r="A132" t="s">
        <v>111</v>
      </c>
      <c r="B132" t="b">
        <v>1</v>
      </c>
      <c r="C132" t="s">
        <v>128</v>
      </c>
      <c r="E132">
        <v>149</v>
      </c>
      <c r="F132" t="str">
        <f>HYPERLINK("https://portal.dnb.de/opac.htm?method=simpleSearch&amp;cqlMode=true&amp;query=idn%3D1132649080", "Portal")</f>
        <v>Portal</v>
      </c>
      <c r="G132" t="s">
        <v>939</v>
      </c>
      <c r="H132" t="s">
        <v>940</v>
      </c>
      <c r="I132" t="s">
        <v>941</v>
      </c>
      <c r="J132" t="s">
        <v>942</v>
      </c>
      <c r="K132" t="s">
        <v>942</v>
      </c>
      <c r="L132" t="s">
        <v>943</v>
      </c>
      <c r="N132" t="s">
        <v>944</v>
      </c>
      <c r="O132" t="s">
        <v>945</v>
      </c>
      <c r="R132" t="s">
        <v>467</v>
      </c>
      <c r="S132" t="s">
        <v>214</v>
      </c>
      <c r="T132" t="s">
        <v>136</v>
      </c>
      <c r="U132" t="s">
        <v>137</v>
      </c>
      <c r="X132" t="s">
        <v>124</v>
      </c>
      <c r="Y132">
        <v>2</v>
      </c>
      <c r="AI132" t="s">
        <v>469</v>
      </c>
      <c r="AM132" t="s">
        <v>191</v>
      </c>
      <c r="AS132" t="s">
        <v>127</v>
      </c>
      <c r="BG132">
        <v>60</v>
      </c>
      <c r="BM132" t="s">
        <v>206</v>
      </c>
      <c r="BN132">
        <v>4</v>
      </c>
      <c r="BR132" t="s">
        <v>128</v>
      </c>
      <c r="CB132" t="s">
        <v>128</v>
      </c>
      <c r="CI132" t="s">
        <v>128</v>
      </c>
      <c r="CM132">
        <v>4</v>
      </c>
      <c r="CN132" t="s">
        <v>946</v>
      </c>
    </row>
    <row r="133" spans="1:111" x14ac:dyDescent="0.2">
      <c r="A133" t="s">
        <v>111</v>
      </c>
      <c r="B133" t="b">
        <v>1</v>
      </c>
      <c r="E133">
        <v>150</v>
      </c>
      <c r="F133" t="str">
        <f>HYPERLINK("https://portal.dnb.de/opac.htm?method=simpleSearch&amp;cqlMode=true&amp;query=idn%3D1132649099", "Portal")</f>
        <v>Portal</v>
      </c>
      <c r="G133" t="s">
        <v>939</v>
      </c>
      <c r="H133" t="s">
        <v>947</v>
      </c>
      <c r="I133" t="s">
        <v>948</v>
      </c>
      <c r="J133" t="s">
        <v>942</v>
      </c>
      <c r="K133" t="s">
        <v>942</v>
      </c>
      <c r="L133" t="s">
        <v>943</v>
      </c>
      <c r="N133" t="s">
        <v>944</v>
      </c>
      <c r="O133" t="s">
        <v>949</v>
      </c>
      <c r="BN133">
        <v>0</v>
      </c>
    </row>
    <row r="134" spans="1:111" x14ac:dyDescent="0.2">
      <c r="A134" t="s">
        <v>111</v>
      </c>
      <c r="B134" t="b">
        <v>1</v>
      </c>
      <c r="E134">
        <v>151</v>
      </c>
      <c r="F134" t="str">
        <f>HYPERLINK("https://portal.dnb.de/opac.htm?method=simpleSearch&amp;cqlMode=true&amp;query=idn%3D1132649072", "Portal")</f>
        <v>Portal</v>
      </c>
      <c r="G134" t="s">
        <v>939</v>
      </c>
      <c r="H134" t="s">
        <v>950</v>
      </c>
      <c r="I134" t="s">
        <v>951</v>
      </c>
      <c r="J134" t="s">
        <v>942</v>
      </c>
      <c r="K134" t="s">
        <v>942</v>
      </c>
      <c r="L134" t="s">
        <v>943</v>
      </c>
      <c r="N134" t="s">
        <v>944</v>
      </c>
      <c r="O134" t="s">
        <v>952</v>
      </c>
      <c r="BN134">
        <v>0</v>
      </c>
    </row>
    <row r="135" spans="1:111" x14ac:dyDescent="0.2">
      <c r="A135" t="s">
        <v>111</v>
      </c>
      <c r="B135" t="b">
        <v>1</v>
      </c>
      <c r="E135">
        <v>152</v>
      </c>
      <c r="F135" t="str">
        <f>HYPERLINK("https://portal.dnb.de/opac.htm?method=simpleSearch&amp;cqlMode=true&amp;query=idn%3D1132649102", "Portal")</f>
        <v>Portal</v>
      </c>
      <c r="G135" t="s">
        <v>939</v>
      </c>
      <c r="H135" t="s">
        <v>953</v>
      </c>
      <c r="I135" t="s">
        <v>954</v>
      </c>
      <c r="J135" t="s">
        <v>942</v>
      </c>
      <c r="K135" t="s">
        <v>942</v>
      </c>
      <c r="L135" t="s">
        <v>943</v>
      </c>
      <c r="N135" t="s">
        <v>944</v>
      </c>
      <c r="O135" t="s">
        <v>955</v>
      </c>
      <c r="BN135">
        <v>0</v>
      </c>
    </row>
    <row r="136" spans="1:111" x14ac:dyDescent="0.2">
      <c r="A136" t="s">
        <v>111</v>
      </c>
      <c r="B136" t="b">
        <v>1</v>
      </c>
      <c r="E136">
        <v>153</v>
      </c>
      <c r="F136" t="str">
        <f>HYPERLINK("https://portal.dnb.de/opac.htm?method=simpleSearch&amp;cqlMode=true&amp;query=idn%3D1003940358", "Portal")</f>
        <v>Portal</v>
      </c>
      <c r="G136" t="s">
        <v>112</v>
      </c>
      <c r="H136" t="s">
        <v>956</v>
      </c>
      <c r="I136" t="s">
        <v>957</v>
      </c>
      <c r="J136" t="s">
        <v>958</v>
      </c>
      <c r="K136" t="s">
        <v>958</v>
      </c>
      <c r="L136" t="s">
        <v>959</v>
      </c>
      <c r="N136" t="s">
        <v>960</v>
      </c>
      <c r="O136" t="s">
        <v>118</v>
      </c>
      <c r="P136" t="s">
        <v>135</v>
      </c>
      <c r="R136" t="s">
        <v>188</v>
      </c>
      <c r="S136" t="s">
        <v>201</v>
      </c>
      <c r="T136" t="s">
        <v>136</v>
      </c>
      <c r="U136" t="s">
        <v>137</v>
      </c>
      <c r="X136" t="s">
        <v>124</v>
      </c>
      <c r="Y136">
        <v>1</v>
      </c>
      <c r="AI136" t="s">
        <v>190</v>
      </c>
      <c r="AM136" t="s">
        <v>191</v>
      </c>
      <c r="AS136" t="s">
        <v>127</v>
      </c>
      <c r="AW136" t="s">
        <v>128</v>
      </c>
      <c r="BG136">
        <v>80</v>
      </c>
      <c r="BM136" t="s">
        <v>129</v>
      </c>
      <c r="BN136">
        <v>0</v>
      </c>
      <c r="BY136" t="s">
        <v>352</v>
      </c>
    </row>
    <row r="137" spans="1:111" x14ac:dyDescent="0.2">
      <c r="A137" t="s">
        <v>111</v>
      </c>
      <c r="B137" t="b">
        <v>1</v>
      </c>
      <c r="E137">
        <v>154</v>
      </c>
      <c r="F137" t="str">
        <f>HYPERLINK("https://portal.dnb.de/opac.htm?method=simpleSearch&amp;cqlMode=true&amp;query=idn%3D1066754675", "Portal")</f>
        <v>Portal</v>
      </c>
      <c r="G137" t="s">
        <v>163</v>
      </c>
      <c r="H137" t="s">
        <v>961</v>
      </c>
      <c r="I137" t="s">
        <v>962</v>
      </c>
      <c r="J137" t="s">
        <v>963</v>
      </c>
      <c r="K137" t="s">
        <v>963</v>
      </c>
      <c r="L137" t="s">
        <v>964</v>
      </c>
      <c r="N137" t="s">
        <v>965</v>
      </c>
      <c r="O137" t="s">
        <v>118</v>
      </c>
      <c r="P137" t="s">
        <v>135</v>
      </c>
      <c r="R137" t="s">
        <v>467</v>
      </c>
      <c r="S137" t="s">
        <v>214</v>
      </c>
      <c r="T137" t="s">
        <v>136</v>
      </c>
      <c r="U137" t="s">
        <v>148</v>
      </c>
      <c r="X137" t="s">
        <v>124</v>
      </c>
      <c r="Y137">
        <v>2</v>
      </c>
      <c r="AI137" t="s">
        <v>469</v>
      </c>
      <c r="AM137" t="s">
        <v>191</v>
      </c>
      <c r="AS137" t="s">
        <v>127</v>
      </c>
      <c r="BG137">
        <v>60</v>
      </c>
      <c r="BM137" t="s">
        <v>129</v>
      </c>
      <c r="BN137">
        <v>0</v>
      </c>
      <c r="BV137" t="s">
        <v>966</v>
      </c>
    </row>
    <row r="138" spans="1:111" x14ac:dyDescent="0.2">
      <c r="A138" t="s">
        <v>111</v>
      </c>
      <c r="B138" t="b">
        <v>1</v>
      </c>
      <c r="C138" t="s">
        <v>128</v>
      </c>
      <c r="E138">
        <v>155</v>
      </c>
      <c r="F138" t="str">
        <f>HYPERLINK("https://portal.dnb.de/opac.htm?method=simpleSearch&amp;cqlMode=true&amp;query=idn%3D1066936919", "Portal")</f>
        <v>Portal</v>
      </c>
      <c r="G138" t="s">
        <v>163</v>
      </c>
      <c r="H138" t="s">
        <v>967</v>
      </c>
      <c r="I138" t="s">
        <v>968</v>
      </c>
      <c r="J138" t="s">
        <v>969</v>
      </c>
      <c r="K138" t="s">
        <v>969</v>
      </c>
      <c r="L138" t="s">
        <v>970</v>
      </c>
      <c r="N138" t="s">
        <v>971</v>
      </c>
      <c r="O138" t="s">
        <v>118</v>
      </c>
      <c r="P138" t="s">
        <v>135</v>
      </c>
      <c r="R138" t="s">
        <v>188</v>
      </c>
      <c r="S138" t="s">
        <v>214</v>
      </c>
      <c r="T138" t="s">
        <v>136</v>
      </c>
      <c r="X138" t="s">
        <v>124</v>
      </c>
      <c r="Y138">
        <v>2</v>
      </c>
      <c r="AA138" t="s">
        <v>320</v>
      </c>
      <c r="AI138" t="s">
        <v>190</v>
      </c>
      <c r="AM138" t="s">
        <v>191</v>
      </c>
      <c r="AS138" t="s">
        <v>127</v>
      </c>
      <c r="BG138">
        <v>60</v>
      </c>
      <c r="BM138" t="s">
        <v>206</v>
      </c>
      <c r="BN138">
        <v>3</v>
      </c>
      <c r="BR138" t="s">
        <v>128</v>
      </c>
      <c r="CA138" t="s">
        <v>128</v>
      </c>
      <c r="CB138" t="s">
        <v>128</v>
      </c>
      <c r="CI138" t="s">
        <v>128</v>
      </c>
      <c r="CM138">
        <v>2.5</v>
      </c>
      <c r="CN138" t="s">
        <v>972</v>
      </c>
      <c r="CV138" t="s">
        <v>128</v>
      </c>
      <c r="DF138">
        <v>0.5</v>
      </c>
      <c r="DG138" t="s">
        <v>973</v>
      </c>
    </row>
    <row r="139" spans="1:111" x14ac:dyDescent="0.2">
      <c r="A139" t="s">
        <v>111</v>
      </c>
      <c r="B139" t="b">
        <v>1</v>
      </c>
      <c r="E139">
        <v>156</v>
      </c>
      <c r="F139" t="str">
        <f>HYPERLINK("https://portal.dnb.de/opac.htm?method=simpleSearch&amp;cqlMode=true&amp;query=idn%3D1003971741", "Portal")</f>
        <v>Portal</v>
      </c>
      <c r="G139" t="s">
        <v>112</v>
      </c>
      <c r="H139" t="s">
        <v>974</v>
      </c>
      <c r="I139" t="s">
        <v>975</v>
      </c>
      <c r="J139" t="s">
        <v>976</v>
      </c>
      <c r="K139" t="s">
        <v>976</v>
      </c>
      <c r="L139" t="s">
        <v>977</v>
      </c>
      <c r="N139" t="s">
        <v>978</v>
      </c>
      <c r="O139" t="s">
        <v>118</v>
      </c>
      <c r="P139" t="s">
        <v>135</v>
      </c>
      <c r="R139" t="s">
        <v>119</v>
      </c>
      <c r="S139" t="s">
        <v>214</v>
      </c>
      <c r="T139" t="s">
        <v>136</v>
      </c>
      <c r="U139" t="s">
        <v>519</v>
      </c>
      <c r="W139" t="s">
        <v>67</v>
      </c>
      <c r="X139" t="s">
        <v>175</v>
      </c>
      <c r="Y139">
        <v>0</v>
      </c>
      <c r="AI139" t="s">
        <v>125</v>
      </c>
      <c r="AL139" t="s">
        <v>128</v>
      </c>
      <c r="AM139" t="s">
        <v>126</v>
      </c>
      <c r="AN139" t="s">
        <v>128</v>
      </c>
      <c r="AS139" t="s">
        <v>127</v>
      </c>
      <c r="BG139">
        <v>110</v>
      </c>
      <c r="BM139" t="s">
        <v>129</v>
      </c>
      <c r="BN139">
        <v>0</v>
      </c>
      <c r="BP139" t="s">
        <v>177</v>
      </c>
    </row>
    <row r="140" spans="1:111" x14ac:dyDescent="0.2">
      <c r="A140" t="s">
        <v>111</v>
      </c>
      <c r="B140" t="b">
        <v>1</v>
      </c>
      <c r="E140">
        <v>157</v>
      </c>
      <c r="F140" t="str">
        <f>HYPERLINK("https://portal.dnb.de/opac.htm?method=simpleSearch&amp;cqlMode=true&amp;query=idn%3D1132643635", "Portal")</f>
        <v>Portal</v>
      </c>
      <c r="G140" t="s">
        <v>939</v>
      </c>
      <c r="H140" t="s">
        <v>979</v>
      </c>
      <c r="I140" t="s">
        <v>980</v>
      </c>
      <c r="J140" t="s">
        <v>981</v>
      </c>
      <c r="K140" t="s">
        <v>981</v>
      </c>
      <c r="L140" t="s">
        <v>982</v>
      </c>
      <c r="N140" t="s">
        <v>983</v>
      </c>
      <c r="O140" t="s">
        <v>984</v>
      </c>
      <c r="BN140">
        <v>0</v>
      </c>
    </row>
    <row r="141" spans="1:111" x14ac:dyDescent="0.2">
      <c r="A141" t="s">
        <v>111</v>
      </c>
      <c r="B141" t="b">
        <v>1</v>
      </c>
      <c r="E141">
        <v>158</v>
      </c>
      <c r="F141" t="str">
        <f>HYPERLINK("https://portal.dnb.de/opac.htm?method=simpleSearch&amp;cqlMode=true&amp;query=idn%3D1132643619", "Portal")</f>
        <v>Portal</v>
      </c>
      <c r="G141" t="s">
        <v>939</v>
      </c>
      <c r="H141" t="s">
        <v>985</v>
      </c>
      <c r="I141" t="s">
        <v>986</v>
      </c>
      <c r="J141" t="s">
        <v>981</v>
      </c>
      <c r="K141" t="s">
        <v>981</v>
      </c>
      <c r="L141" t="s">
        <v>982</v>
      </c>
      <c r="N141" t="s">
        <v>983</v>
      </c>
      <c r="O141" t="s">
        <v>987</v>
      </c>
      <c r="P141" t="s">
        <v>135</v>
      </c>
      <c r="R141" t="s">
        <v>467</v>
      </c>
      <c r="S141" t="s">
        <v>214</v>
      </c>
      <c r="T141" t="s">
        <v>136</v>
      </c>
      <c r="U141" t="s">
        <v>189</v>
      </c>
      <c r="X141" t="s">
        <v>124</v>
      </c>
      <c r="Y141">
        <v>1</v>
      </c>
      <c r="AI141" t="s">
        <v>469</v>
      </c>
      <c r="AM141" t="s">
        <v>191</v>
      </c>
      <c r="AS141" t="s">
        <v>127</v>
      </c>
      <c r="AU141" t="s">
        <v>128</v>
      </c>
      <c r="BG141">
        <v>60</v>
      </c>
      <c r="BM141" t="s">
        <v>129</v>
      </c>
      <c r="BN141">
        <v>0</v>
      </c>
      <c r="BR141" t="s">
        <v>128</v>
      </c>
      <c r="BV141" t="s">
        <v>988</v>
      </c>
    </row>
    <row r="142" spans="1:111" x14ac:dyDescent="0.2">
      <c r="A142" t="s">
        <v>111</v>
      </c>
      <c r="B142" t="b">
        <v>1</v>
      </c>
      <c r="E142">
        <v>159</v>
      </c>
      <c r="F142" t="str">
        <f>HYPERLINK("https://portal.dnb.de/opac.htm?method=simpleSearch&amp;cqlMode=true&amp;query=idn%3D1132643627", "Portal")</f>
        <v>Portal</v>
      </c>
      <c r="G142" t="s">
        <v>939</v>
      </c>
      <c r="H142" t="s">
        <v>989</v>
      </c>
      <c r="I142" t="s">
        <v>990</v>
      </c>
      <c r="J142" t="s">
        <v>981</v>
      </c>
      <c r="K142" t="s">
        <v>981</v>
      </c>
      <c r="L142" t="s">
        <v>982</v>
      </c>
      <c r="N142" t="s">
        <v>983</v>
      </c>
      <c r="O142" t="s">
        <v>991</v>
      </c>
      <c r="BN142">
        <v>0</v>
      </c>
    </row>
    <row r="143" spans="1:111" x14ac:dyDescent="0.2">
      <c r="A143" t="s">
        <v>111</v>
      </c>
      <c r="B143" t="b">
        <v>1</v>
      </c>
      <c r="E143">
        <v>160</v>
      </c>
      <c r="F143" t="str">
        <f>HYPERLINK("https://portal.dnb.de/opac.htm?method=simpleSearch&amp;cqlMode=true&amp;query=idn%3D1066957258", "Portal")</f>
        <v>Portal</v>
      </c>
      <c r="G143" t="s">
        <v>163</v>
      </c>
      <c r="H143" t="s">
        <v>992</v>
      </c>
      <c r="I143" t="s">
        <v>993</v>
      </c>
      <c r="J143" t="s">
        <v>994</v>
      </c>
      <c r="K143" t="s">
        <v>994</v>
      </c>
      <c r="L143" t="s">
        <v>995</v>
      </c>
      <c r="N143" t="s">
        <v>996</v>
      </c>
      <c r="O143" t="s">
        <v>118</v>
      </c>
      <c r="P143" t="s">
        <v>135</v>
      </c>
      <c r="R143" t="s">
        <v>467</v>
      </c>
      <c r="S143" t="s">
        <v>214</v>
      </c>
      <c r="T143" t="s">
        <v>136</v>
      </c>
      <c r="U143" t="s">
        <v>997</v>
      </c>
      <c r="V143" t="s">
        <v>123</v>
      </c>
      <c r="X143" t="s">
        <v>124</v>
      </c>
      <c r="Y143">
        <v>0</v>
      </c>
      <c r="AI143" t="s">
        <v>190</v>
      </c>
      <c r="AL143" t="s">
        <v>128</v>
      </c>
      <c r="AM143" t="s">
        <v>191</v>
      </c>
      <c r="AS143" t="s">
        <v>127</v>
      </c>
      <c r="AW143" t="s">
        <v>128</v>
      </c>
      <c r="BC143" t="s">
        <v>998</v>
      </c>
      <c r="BD143" t="s">
        <v>128</v>
      </c>
      <c r="BG143">
        <v>60</v>
      </c>
      <c r="BM143" t="s">
        <v>129</v>
      </c>
      <c r="BN143">
        <v>0</v>
      </c>
      <c r="CP143" t="s">
        <v>128</v>
      </c>
    </row>
    <row r="144" spans="1:111" x14ac:dyDescent="0.2">
      <c r="A144" t="s">
        <v>111</v>
      </c>
      <c r="B144" t="b">
        <v>1</v>
      </c>
      <c r="E144">
        <v>161</v>
      </c>
      <c r="F144" t="str">
        <f>HYPERLINK("https://portal.dnb.de/opac.htm?method=simpleSearch&amp;cqlMode=true&amp;query=idn%3D1066849587", "Portal")</f>
        <v>Portal</v>
      </c>
      <c r="G144" t="s">
        <v>163</v>
      </c>
      <c r="H144" t="s">
        <v>999</v>
      </c>
      <c r="I144" t="s">
        <v>1000</v>
      </c>
      <c r="J144" t="s">
        <v>1001</v>
      </c>
      <c r="K144" t="s">
        <v>1001</v>
      </c>
      <c r="L144" t="s">
        <v>1002</v>
      </c>
      <c r="N144" t="s">
        <v>1003</v>
      </c>
      <c r="O144" t="s">
        <v>118</v>
      </c>
      <c r="P144" t="s">
        <v>135</v>
      </c>
      <c r="R144" t="s">
        <v>467</v>
      </c>
      <c r="S144" t="s">
        <v>214</v>
      </c>
      <c r="T144" t="s">
        <v>136</v>
      </c>
      <c r="U144" t="s">
        <v>137</v>
      </c>
      <c r="X144" t="s">
        <v>124</v>
      </c>
      <c r="Y144">
        <v>1</v>
      </c>
      <c r="AA144" t="s">
        <v>320</v>
      </c>
      <c r="AI144" t="s">
        <v>469</v>
      </c>
      <c r="AM144" t="s">
        <v>191</v>
      </c>
      <c r="AS144" t="s">
        <v>127</v>
      </c>
      <c r="BG144">
        <v>60</v>
      </c>
      <c r="BM144" t="s">
        <v>129</v>
      </c>
      <c r="BN144">
        <v>0</v>
      </c>
      <c r="BR144" t="s">
        <v>128</v>
      </c>
    </row>
    <row r="145" spans="1:110" x14ac:dyDescent="0.2">
      <c r="A145" t="s">
        <v>111</v>
      </c>
      <c r="B145" t="b">
        <v>1</v>
      </c>
      <c r="E145">
        <v>162</v>
      </c>
      <c r="F145" t="str">
        <f>HYPERLINK("https://portal.dnb.de/opac.htm?method=simpleSearch&amp;cqlMode=true&amp;query=idn%3D1066957835", "Portal")</f>
        <v>Portal</v>
      </c>
      <c r="G145" t="s">
        <v>163</v>
      </c>
      <c r="H145" t="s">
        <v>1004</v>
      </c>
      <c r="I145" t="s">
        <v>1005</v>
      </c>
      <c r="J145" t="s">
        <v>1006</v>
      </c>
      <c r="K145" t="s">
        <v>1006</v>
      </c>
      <c r="L145" t="s">
        <v>1007</v>
      </c>
      <c r="N145" t="s">
        <v>1008</v>
      </c>
      <c r="O145" t="s">
        <v>118</v>
      </c>
      <c r="P145" t="s">
        <v>135</v>
      </c>
      <c r="R145" t="s">
        <v>286</v>
      </c>
      <c r="S145" t="s">
        <v>214</v>
      </c>
      <c r="T145" t="s">
        <v>136</v>
      </c>
      <c r="U145" t="s">
        <v>189</v>
      </c>
      <c r="X145" t="s">
        <v>124</v>
      </c>
      <c r="Y145">
        <v>0</v>
      </c>
      <c r="AI145" t="s">
        <v>338</v>
      </c>
      <c r="AL145" t="s">
        <v>128</v>
      </c>
      <c r="AM145" t="s">
        <v>191</v>
      </c>
      <c r="AS145" t="s">
        <v>127</v>
      </c>
      <c r="BG145">
        <v>60</v>
      </c>
      <c r="BM145" t="s">
        <v>129</v>
      </c>
      <c r="BN145">
        <v>0</v>
      </c>
    </row>
    <row r="146" spans="1:110" x14ac:dyDescent="0.2">
      <c r="A146" t="s">
        <v>111</v>
      </c>
      <c r="B146" t="b">
        <v>1</v>
      </c>
      <c r="E146">
        <v>163</v>
      </c>
      <c r="F146" t="str">
        <f>HYPERLINK("https://portal.dnb.de/opac.htm?method=simpleSearch&amp;cqlMode=true&amp;query=idn%3D1066942501", "Portal")</f>
        <v>Portal</v>
      </c>
      <c r="G146" t="s">
        <v>163</v>
      </c>
      <c r="H146" t="s">
        <v>1009</v>
      </c>
      <c r="I146" t="s">
        <v>1010</v>
      </c>
      <c r="J146" t="s">
        <v>1011</v>
      </c>
      <c r="K146" t="s">
        <v>1011</v>
      </c>
      <c r="L146" t="s">
        <v>1012</v>
      </c>
      <c r="N146" t="s">
        <v>1013</v>
      </c>
      <c r="O146" t="s">
        <v>118</v>
      </c>
      <c r="P146" t="s">
        <v>135</v>
      </c>
      <c r="R146" t="s">
        <v>467</v>
      </c>
      <c r="S146" t="s">
        <v>214</v>
      </c>
      <c r="T146" t="s">
        <v>136</v>
      </c>
      <c r="U146" t="s">
        <v>364</v>
      </c>
      <c r="W146" t="s">
        <v>1014</v>
      </c>
      <c r="X146" t="s">
        <v>606</v>
      </c>
      <c r="Y146">
        <v>0</v>
      </c>
      <c r="AI146" t="s">
        <v>190</v>
      </c>
      <c r="AL146" t="s">
        <v>128</v>
      </c>
      <c r="AM146" t="s">
        <v>191</v>
      </c>
      <c r="AS146" t="s">
        <v>127</v>
      </c>
      <c r="AU146" t="s">
        <v>128</v>
      </c>
      <c r="AW146" t="s">
        <v>128</v>
      </c>
      <c r="BF146" t="s">
        <v>128</v>
      </c>
      <c r="BG146">
        <v>45</v>
      </c>
      <c r="BM146" t="s">
        <v>129</v>
      </c>
      <c r="BN146">
        <v>0</v>
      </c>
      <c r="BS146" t="s">
        <v>128</v>
      </c>
      <c r="BV146" t="s">
        <v>988</v>
      </c>
    </row>
    <row r="147" spans="1:110" x14ac:dyDescent="0.2">
      <c r="A147" t="s">
        <v>111</v>
      </c>
      <c r="B147" t="b">
        <v>1</v>
      </c>
      <c r="E147">
        <v>164</v>
      </c>
      <c r="F147" t="str">
        <f>HYPERLINK("https://portal.dnb.de/opac.htm?method=simpleSearch&amp;cqlMode=true&amp;query=idn%3D1003976174", "Portal")</f>
        <v>Portal</v>
      </c>
      <c r="G147" t="s">
        <v>112</v>
      </c>
      <c r="H147" t="s">
        <v>1015</v>
      </c>
      <c r="I147" t="s">
        <v>1016</v>
      </c>
      <c r="J147" t="s">
        <v>1017</v>
      </c>
      <c r="K147" t="s">
        <v>1017</v>
      </c>
      <c r="L147" t="s">
        <v>1018</v>
      </c>
      <c r="N147" t="s">
        <v>1019</v>
      </c>
      <c r="O147" t="s">
        <v>118</v>
      </c>
      <c r="P147" t="s">
        <v>135</v>
      </c>
      <c r="R147" t="s">
        <v>467</v>
      </c>
      <c r="S147" t="s">
        <v>214</v>
      </c>
      <c r="T147" t="s">
        <v>136</v>
      </c>
      <c r="U147" t="s">
        <v>137</v>
      </c>
      <c r="X147" t="s">
        <v>124</v>
      </c>
      <c r="Y147">
        <v>0</v>
      </c>
      <c r="AI147" t="s">
        <v>469</v>
      </c>
      <c r="AM147" t="s">
        <v>191</v>
      </c>
      <c r="AS147" t="s">
        <v>127</v>
      </c>
      <c r="BG147">
        <v>110</v>
      </c>
      <c r="BM147" t="s">
        <v>129</v>
      </c>
      <c r="BN147">
        <v>0</v>
      </c>
    </row>
    <row r="148" spans="1:110" x14ac:dyDescent="0.2">
      <c r="A148" t="s">
        <v>111</v>
      </c>
      <c r="B148" t="b">
        <v>1</v>
      </c>
      <c r="E148">
        <v>165</v>
      </c>
      <c r="F148" t="str">
        <f>HYPERLINK("https://portal.dnb.de/opac.htm?method=simpleSearch&amp;cqlMode=true&amp;query=idn%3D1003879004", "Portal")</f>
        <v>Portal</v>
      </c>
      <c r="G148" t="s">
        <v>112</v>
      </c>
      <c r="H148" t="s">
        <v>1020</v>
      </c>
      <c r="I148" t="s">
        <v>1021</v>
      </c>
      <c r="J148" t="s">
        <v>1022</v>
      </c>
      <c r="K148" t="s">
        <v>1022</v>
      </c>
      <c r="L148" t="s">
        <v>1023</v>
      </c>
      <c r="N148" t="s">
        <v>1024</v>
      </c>
      <c r="O148" t="s">
        <v>118</v>
      </c>
      <c r="P148" t="s">
        <v>135</v>
      </c>
      <c r="R148" t="s">
        <v>1025</v>
      </c>
      <c r="S148" t="s">
        <v>214</v>
      </c>
      <c r="T148" t="s">
        <v>156</v>
      </c>
      <c r="U148" t="s">
        <v>519</v>
      </c>
      <c r="W148" t="s">
        <v>67</v>
      </c>
      <c r="X148" t="s">
        <v>175</v>
      </c>
      <c r="Y148">
        <v>0</v>
      </c>
      <c r="AI148" t="s">
        <v>125</v>
      </c>
      <c r="AL148" t="s">
        <v>128</v>
      </c>
      <c r="AM148" t="s">
        <v>150</v>
      </c>
      <c r="AN148" t="s">
        <v>128</v>
      </c>
      <c r="AS148" t="s">
        <v>127</v>
      </c>
      <c r="BG148">
        <v>110</v>
      </c>
      <c r="BM148" t="s">
        <v>129</v>
      </c>
      <c r="BN148">
        <v>0</v>
      </c>
      <c r="BP148" t="s">
        <v>177</v>
      </c>
    </row>
    <row r="149" spans="1:110" x14ac:dyDescent="0.2">
      <c r="A149" t="s">
        <v>111</v>
      </c>
      <c r="B149" t="b">
        <v>1</v>
      </c>
      <c r="F149" t="str">
        <f>HYPERLINK("https://portal.dnb.de/opac.htm?method=simpleSearch&amp;cqlMode=true&amp;query=idn%3D1148790519", "Portal")</f>
        <v>Portal</v>
      </c>
      <c r="G149" t="s">
        <v>157</v>
      </c>
      <c r="H149" t="s">
        <v>1026</v>
      </c>
      <c r="I149" t="s">
        <v>1027</v>
      </c>
      <c r="J149" t="s">
        <v>1028</v>
      </c>
      <c r="K149" t="s">
        <v>1028</v>
      </c>
      <c r="L149" t="s">
        <v>1028</v>
      </c>
      <c r="N149" t="s">
        <v>1029</v>
      </c>
      <c r="O149" t="s">
        <v>118</v>
      </c>
      <c r="P149" t="s">
        <v>135</v>
      </c>
      <c r="R149" t="s">
        <v>188</v>
      </c>
      <c r="S149" t="s">
        <v>214</v>
      </c>
      <c r="T149" t="s">
        <v>136</v>
      </c>
      <c r="U149" t="s">
        <v>137</v>
      </c>
      <c r="X149" t="s">
        <v>124</v>
      </c>
      <c r="Y149">
        <v>1</v>
      </c>
      <c r="AI149" t="s">
        <v>190</v>
      </c>
      <c r="AM149" t="s">
        <v>191</v>
      </c>
      <c r="AS149" t="s">
        <v>127</v>
      </c>
      <c r="AW149" t="s">
        <v>128</v>
      </c>
      <c r="BG149">
        <v>110</v>
      </c>
      <c r="BM149" t="s">
        <v>129</v>
      </c>
      <c r="BN149">
        <v>0</v>
      </c>
      <c r="BV149" t="s">
        <v>1030</v>
      </c>
    </row>
    <row r="150" spans="1:110" x14ac:dyDescent="0.2">
      <c r="A150" t="s">
        <v>111</v>
      </c>
      <c r="B150" t="b">
        <v>1</v>
      </c>
      <c r="C150" t="s">
        <v>128</v>
      </c>
      <c r="E150">
        <v>168</v>
      </c>
      <c r="F150" t="str">
        <f>HYPERLINK("https://portal.dnb.de/opac.htm?method=simpleSearch&amp;cqlMode=true&amp;query=idn%3D1003897894", "Portal")</f>
        <v>Portal</v>
      </c>
      <c r="G150" t="s">
        <v>207</v>
      </c>
      <c r="H150" t="s">
        <v>1031</v>
      </c>
      <c r="I150" t="s">
        <v>1032</v>
      </c>
      <c r="J150" t="s">
        <v>1033</v>
      </c>
      <c r="K150" t="s">
        <v>1033</v>
      </c>
      <c r="L150" t="s">
        <v>1034</v>
      </c>
      <c r="N150" t="s">
        <v>1035</v>
      </c>
      <c r="O150" t="s">
        <v>1036</v>
      </c>
      <c r="P150" t="s">
        <v>135</v>
      </c>
      <c r="R150" t="s">
        <v>188</v>
      </c>
      <c r="S150" t="s">
        <v>201</v>
      </c>
      <c r="T150" t="s">
        <v>136</v>
      </c>
      <c r="U150" t="s">
        <v>232</v>
      </c>
      <c r="X150" t="s">
        <v>124</v>
      </c>
      <c r="Y150">
        <v>1</v>
      </c>
      <c r="AI150" t="s">
        <v>190</v>
      </c>
      <c r="AM150" t="s">
        <v>204</v>
      </c>
      <c r="AO150" t="s">
        <v>128</v>
      </c>
      <c r="AS150" t="s">
        <v>127</v>
      </c>
      <c r="BG150">
        <v>60</v>
      </c>
      <c r="BM150" t="s">
        <v>206</v>
      </c>
      <c r="BN150">
        <v>2.5</v>
      </c>
      <c r="BR150" t="s">
        <v>128</v>
      </c>
      <c r="BY150" t="s">
        <v>295</v>
      </c>
      <c r="CA150" t="s">
        <v>128</v>
      </c>
      <c r="CD150" t="s">
        <v>296</v>
      </c>
      <c r="CM150">
        <v>2.5</v>
      </c>
      <c r="CN150" t="s">
        <v>1037</v>
      </c>
    </row>
    <row r="151" spans="1:110" x14ac:dyDescent="0.2">
      <c r="A151" t="s">
        <v>111</v>
      </c>
      <c r="B151" t="b">
        <v>1</v>
      </c>
      <c r="E151">
        <v>169</v>
      </c>
      <c r="F151" t="str">
        <f>HYPERLINK("https://portal.dnb.de/opac.htm?method=simpleSearch&amp;cqlMode=true&amp;query=idn%3D1003872166", "Portal")</f>
        <v>Portal</v>
      </c>
      <c r="G151" t="s">
        <v>112</v>
      </c>
      <c r="H151" t="s">
        <v>1038</v>
      </c>
      <c r="I151" t="s">
        <v>1039</v>
      </c>
      <c r="J151" t="s">
        <v>1040</v>
      </c>
      <c r="K151" t="s">
        <v>1040</v>
      </c>
      <c r="L151" t="s">
        <v>1041</v>
      </c>
      <c r="N151" t="s">
        <v>1042</v>
      </c>
      <c r="O151" t="s">
        <v>118</v>
      </c>
      <c r="P151" t="s">
        <v>135</v>
      </c>
      <c r="R151" t="s">
        <v>119</v>
      </c>
      <c r="S151" t="s">
        <v>214</v>
      </c>
      <c r="T151" t="s">
        <v>136</v>
      </c>
      <c r="U151" t="s">
        <v>232</v>
      </c>
      <c r="W151" t="s">
        <v>138</v>
      </c>
      <c r="X151" t="s">
        <v>203</v>
      </c>
      <c r="Y151">
        <v>0</v>
      </c>
      <c r="AI151" t="s">
        <v>125</v>
      </c>
      <c r="AJ151" t="s">
        <v>1043</v>
      </c>
      <c r="AM151" t="s">
        <v>126</v>
      </c>
      <c r="AS151" t="s">
        <v>127</v>
      </c>
      <c r="BG151">
        <v>110</v>
      </c>
      <c r="BM151" t="s">
        <v>129</v>
      </c>
      <c r="BN151">
        <v>0</v>
      </c>
      <c r="BT151" t="s">
        <v>140</v>
      </c>
      <c r="BU151" t="s">
        <v>128</v>
      </c>
      <c r="BY151" t="s">
        <v>770</v>
      </c>
    </row>
    <row r="152" spans="1:110" x14ac:dyDescent="0.2">
      <c r="A152" t="s">
        <v>111</v>
      </c>
      <c r="B152" t="b">
        <v>1</v>
      </c>
      <c r="F152" t="str">
        <f>HYPERLINK("https://portal.dnb.de/opac.htm?method=simpleSearch&amp;cqlMode=true&amp;query=idn%3D1138380075", "Portal")</f>
        <v>Portal</v>
      </c>
      <c r="G152" t="s">
        <v>157</v>
      </c>
      <c r="H152" t="s">
        <v>1044</v>
      </c>
      <c r="I152" t="s">
        <v>1045</v>
      </c>
      <c r="J152" t="s">
        <v>1046</v>
      </c>
      <c r="K152" t="s">
        <v>1046</v>
      </c>
      <c r="L152" t="s">
        <v>1046</v>
      </c>
      <c r="N152" t="s">
        <v>1047</v>
      </c>
      <c r="O152" t="s">
        <v>118</v>
      </c>
      <c r="P152" t="s">
        <v>135</v>
      </c>
      <c r="R152" t="s">
        <v>147</v>
      </c>
      <c r="S152" t="s">
        <v>214</v>
      </c>
      <c r="T152" t="s">
        <v>136</v>
      </c>
      <c r="U152" t="s">
        <v>232</v>
      </c>
      <c r="W152" t="s">
        <v>138</v>
      </c>
      <c r="X152" t="s">
        <v>203</v>
      </c>
      <c r="Y152">
        <v>0</v>
      </c>
      <c r="AI152" t="s">
        <v>127</v>
      </c>
      <c r="AL152" t="s">
        <v>128</v>
      </c>
      <c r="AM152" t="s">
        <v>150</v>
      </c>
      <c r="AS152" t="s">
        <v>127</v>
      </c>
      <c r="BG152">
        <v>110</v>
      </c>
      <c r="BM152" t="s">
        <v>129</v>
      </c>
      <c r="BN152">
        <v>0</v>
      </c>
      <c r="BT152" t="s">
        <v>140</v>
      </c>
      <c r="BU152" t="s">
        <v>128</v>
      </c>
      <c r="BY152" t="s">
        <v>1048</v>
      </c>
    </row>
    <row r="153" spans="1:110" x14ac:dyDescent="0.2">
      <c r="A153" t="s">
        <v>111</v>
      </c>
      <c r="B153" t="b">
        <v>1</v>
      </c>
      <c r="E153">
        <v>176</v>
      </c>
      <c r="F153" t="str">
        <f>HYPERLINK("https://portal.dnb.de/opac.htm?method=simpleSearch&amp;cqlMode=true&amp;query=idn%3D1003867979", "Portal")</f>
        <v>Portal</v>
      </c>
      <c r="G153" t="s">
        <v>112</v>
      </c>
      <c r="H153" t="s">
        <v>1049</v>
      </c>
      <c r="I153" t="s">
        <v>1050</v>
      </c>
      <c r="J153" t="s">
        <v>1051</v>
      </c>
      <c r="K153" t="s">
        <v>1051</v>
      </c>
      <c r="L153" t="s">
        <v>1052</v>
      </c>
      <c r="N153" t="s">
        <v>1053</v>
      </c>
      <c r="O153" t="s">
        <v>118</v>
      </c>
      <c r="P153" t="s">
        <v>135</v>
      </c>
      <c r="R153" t="s">
        <v>119</v>
      </c>
      <c r="S153" t="s">
        <v>214</v>
      </c>
      <c r="T153" t="s">
        <v>136</v>
      </c>
      <c r="U153" t="s">
        <v>1054</v>
      </c>
      <c r="X153" t="s">
        <v>124</v>
      </c>
      <c r="Y153">
        <v>0</v>
      </c>
      <c r="AI153" t="s">
        <v>1055</v>
      </c>
      <c r="AM153" t="s">
        <v>150</v>
      </c>
      <c r="AS153" t="s">
        <v>127</v>
      </c>
      <c r="BG153">
        <v>110</v>
      </c>
      <c r="BM153" t="s">
        <v>129</v>
      </c>
      <c r="BN153">
        <v>0</v>
      </c>
      <c r="BY153" t="s">
        <v>1056</v>
      </c>
    </row>
    <row r="154" spans="1:110" x14ac:dyDescent="0.2">
      <c r="A154" t="s">
        <v>111</v>
      </c>
      <c r="B154" t="b">
        <v>1</v>
      </c>
      <c r="C154" t="s">
        <v>128</v>
      </c>
      <c r="E154">
        <v>177</v>
      </c>
      <c r="F154" t="str">
        <f>HYPERLINK("https://portal.dnb.de/opac.htm?method=simpleSearch&amp;cqlMode=true&amp;query=idn%3D1066957932", "Portal")</f>
        <v>Portal</v>
      </c>
      <c r="G154" t="s">
        <v>163</v>
      </c>
      <c r="H154" t="s">
        <v>1057</v>
      </c>
      <c r="I154" t="s">
        <v>1058</v>
      </c>
      <c r="J154" t="s">
        <v>1059</v>
      </c>
      <c r="K154" t="s">
        <v>1059</v>
      </c>
      <c r="L154" t="s">
        <v>1060</v>
      </c>
      <c r="N154" t="s">
        <v>1061</v>
      </c>
      <c r="O154" t="s">
        <v>118</v>
      </c>
      <c r="P154" t="s">
        <v>135</v>
      </c>
      <c r="R154" t="s">
        <v>467</v>
      </c>
      <c r="S154" t="s">
        <v>214</v>
      </c>
      <c r="T154" t="s">
        <v>136</v>
      </c>
      <c r="U154" t="s">
        <v>807</v>
      </c>
      <c r="X154" t="s">
        <v>124</v>
      </c>
      <c r="Y154">
        <v>0</v>
      </c>
      <c r="AI154" t="s">
        <v>190</v>
      </c>
      <c r="AM154" t="s">
        <v>191</v>
      </c>
      <c r="AS154" t="s">
        <v>127</v>
      </c>
      <c r="BE154">
        <v>3</v>
      </c>
      <c r="BF154" t="s">
        <v>128</v>
      </c>
      <c r="BG154">
        <v>60</v>
      </c>
      <c r="BM154" t="s">
        <v>206</v>
      </c>
      <c r="BN154">
        <v>3</v>
      </c>
      <c r="CB154" t="s">
        <v>128</v>
      </c>
      <c r="CI154" t="s">
        <v>128</v>
      </c>
      <c r="CM154">
        <v>1</v>
      </c>
      <c r="CN154" t="s">
        <v>1062</v>
      </c>
      <c r="CO154" t="s">
        <v>128</v>
      </c>
      <c r="CV154" t="s">
        <v>128</v>
      </c>
      <c r="CX154" t="s">
        <v>128</v>
      </c>
      <c r="CZ154" t="s">
        <v>128</v>
      </c>
      <c r="DF154">
        <v>2</v>
      </c>
    </row>
    <row r="155" spans="1:110" x14ac:dyDescent="0.2">
      <c r="A155" t="s">
        <v>111</v>
      </c>
      <c r="B155" t="b">
        <v>1</v>
      </c>
      <c r="E155">
        <v>178</v>
      </c>
      <c r="F155" t="str">
        <f>HYPERLINK("https://portal.dnb.de/opac.htm?method=simpleSearch&amp;cqlMode=true&amp;query=idn%3D1066962642", "Portal")</f>
        <v>Portal</v>
      </c>
      <c r="G155" t="s">
        <v>163</v>
      </c>
      <c r="H155" t="s">
        <v>1063</v>
      </c>
      <c r="I155" t="s">
        <v>1064</v>
      </c>
      <c r="J155" t="s">
        <v>1065</v>
      </c>
      <c r="K155" t="s">
        <v>1065</v>
      </c>
      <c r="L155" t="s">
        <v>1066</v>
      </c>
      <c r="N155" t="s">
        <v>1067</v>
      </c>
      <c r="O155" t="s">
        <v>118</v>
      </c>
      <c r="P155" t="s">
        <v>135</v>
      </c>
      <c r="R155" t="s">
        <v>467</v>
      </c>
      <c r="S155" t="s">
        <v>214</v>
      </c>
      <c r="T155" t="s">
        <v>136</v>
      </c>
      <c r="W155" t="s">
        <v>67</v>
      </c>
      <c r="X155" t="s">
        <v>175</v>
      </c>
      <c r="Y155">
        <v>0</v>
      </c>
      <c r="AA155" t="s">
        <v>1068</v>
      </c>
      <c r="AI155" t="s">
        <v>469</v>
      </c>
      <c r="AL155" t="s">
        <v>128</v>
      </c>
      <c r="AM155" t="s">
        <v>191</v>
      </c>
      <c r="AS155" t="s">
        <v>127</v>
      </c>
      <c r="BG155">
        <v>110</v>
      </c>
      <c r="BM155" t="s">
        <v>129</v>
      </c>
      <c r="BN155">
        <v>0</v>
      </c>
      <c r="BP155" t="s">
        <v>177</v>
      </c>
      <c r="BV155" t="s">
        <v>1069</v>
      </c>
    </row>
    <row r="156" spans="1:110" x14ac:dyDescent="0.2">
      <c r="A156" t="s">
        <v>111</v>
      </c>
      <c r="B156" t="b">
        <v>0</v>
      </c>
      <c r="E156">
        <v>179</v>
      </c>
      <c r="F156" t="str">
        <f>HYPERLINK("https://portal.dnb.de/opac.htm?method=simpleSearch&amp;cqlMode=true&amp;query=idn%3D999799924", "Portal")</f>
        <v>Portal</v>
      </c>
      <c r="G156" t="s">
        <v>112</v>
      </c>
      <c r="H156" t="s">
        <v>1070</v>
      </c>
      <c r="I156" t="s">
        <v>1071</v>
      </c>
      <c r="J156" t="s">
        <v>1072</v>
      </c>
      <c r="L156" t="s">
        <v>1072</v>
      </c>
      <c r="P156" t="s">
        <v>135</v>
      </c>
      <c r="R156" t="s">
        <v>162</v>
      </c>
      <c r="S156" t="s">
        <v>214</v>
      </c>
      <c r="T156" t="s">
        <v>136</v>
      </c>
      <c r="U156" t="s">
        <v>148</v>
      </c>
      <c r="Y156">
        <v>0</v>
      </c>
      <c r="AI156" t="s">
        <v>149</v>
      </c>
      <c r="AM156" t="s">
        <v>150</v>
      </c>
      <c r="AS156" t="s">
        <v>127</v>
      </c>
      <c r="BG156">
        <v>110</v>
      </c>
      <c r="BM156" t="s">
        <v>129</v>
      </c>
      <c r="BN156">
        <v>0</v>
      </c>
    </row>
    <row r="157" spans="1:110" x14ac:dyDescent="0.2">
      <c r="A157" t="s">
        <v>111</v>
      </c>
      <c r="B157" t="b">
        <v>1</v>
      </c>
      <c r="E157">
        <v>180</v>
      </c>
      <c r="F157" t="str">
        <f>HYPERLINK("https://portal.dnb.de/opac.htm?method=simpleSearch&amp;cqlMode=true&amp;query=idn%3D100398861X", "Portal")</f>
        <v>Portal</v>
      </c>
      <c r="G157" t="s">
        <v>207</v>
      </c>
      <c r="H157" t="s">
        <v>1073</v>
      </c>
      <c r="I157" t="s">
        <v>1074</v>
      </c>
      <c r="J157" t="s">
        <v>1075</v>
      </c>
      <c r="K157" t="s">
        <v>1075</v>
      </c>
      <c r="L157" t="s">
        <v>1076</v>
      </c>
      <c r="N157" t="s">
        <v>1077</v>
      </c>
      <c r="O157" t="s">
        <v>1078</v>
      </c>
      <c r="P157" t="s">
        <v>135</v>
      </c>
      <c r="R157" t="s">
        <v>188</v>
      </c>
      <c r="S157" t="s">
        <v>214</v>
      </c>
      <c r="T157" t="s">
        <v>156</v>
      </c>
      <c r="U157" t="s">
        <v>148</v>
      </c>
      <c r="W157" t="s">
        <v>138</v>
      </c>
      <c r="X157" t="s">
        <v>203</v>
      </c>
      <c r="Y157">
        <v>0</v>
      </c>
      <c r="AI157" t="s">
        <v>190</v>
      </c>
      <c r="AM157" t="s">
        <v>150</v>
      </c>
      <c r="AS157" t="s">
        <v>127</v>
      </c>
      <c r="BG157">
        <v>110</v>
      </c>
      <c r="BM157" t="s">
        <v>129</v>
      </c>
      <c r="BN157">
        <v>0</v>
      </c>
      <c r="BT157" t="s">
        <v>140</v>
      </c>
      <c r="BU157" t="s">
        <v>128</v>
      </c>
      <c r="BY157" t="s">
        <v>1056</v>
      </c>
    </row>
    <row r="158" spans="1:110" x14ac:dyDescent="0.2">
      <c r="A158" t="s">
        <v>111</v>
      </c>
      <c r="B158" t="b">
        <v>1</v>
      </c>
      <c r="C158" t="s">
        <v>128</v>
      </c>
      <c r="E158">
        <v>181</v>
      </c>
      <c r="F158" t="str">
        <f>HYPERLINK("https://portal.dnb.de/opac.htm?method=simpleSearch&amp;cqlMode=true&amp;query=idn%3D100398908X", "Portal")</f>
        <v>Portal</v>
      </c>
      <c r="G158" t="s">
        <v>112</v>
      </c>
      <c r="H158" t="s">
        <v>1079</v>
      </c>
      <c r="I158" t="s">
        <v>1080</v>
      </c>
      <c r="J158" t="s">
        <v>1081</v>
      </c>
      <c r="K158" t="s">
        <v>1081</v>
      </c>
      <c r="L158" t="s">
        <v>1082</v>
      </c>
      <c r="N158" t="s">
        <v>1083</v>
      </c>
      <c r="O158" t="s">
        <v>118</v>
      </c>
      <c r="P158" t="s">
        <v>135</v>
      </c>
      <c r="R158" t="s">
        <v>147</v>
      </c>
      <c r="S158" t="s">
        <v>214</v>
      </c>
      <c r="T158" t="s">
        <v>156</v>
      </c>
      <c r="X158" t="s">
        <v>124</v>
      </c>
      <c r="Y158">
        <v>1</v>
      </c>
      <c r="AI158" t="s">
        <v>127</v>
      </c>
      <c r="AM158" t="s">
        <v>150</v>
      </c>
      <c r="AS158" t="s">
        <v>127</v>
      </c>
      <c r="BG158">
        <v>110</v>
      </c>
      <c r="BM158" t="s">
        <v>206</v>
      </c>
      <c r="BN158">
        <v>2</v>
      </c>
      <c r="BR158" t="s">
        <v>128</v>
      </c>
      <c r="CB158" t="s">
        <v>128</v>
      </c>
      <c r="CM158">
        <v>2</v>
      </c>
      <c r="CN158" t="s">
        <v>1084</v>
      </c>
    </row>
    <row r="159" spans="1:110" x14ac:dyDescent="0.2">
      <c r="A159" t="s">
        <v>111</v>
      </c>
      <c r="B159" t="b">
        <v>1</v>
      </c>
      <c r="C159" t="s">
        <v>128</v>
      </c>
      <c r="E159">
        <v>182</v>
      </c>
      <c r="F159" t="str">
        <f>HYPERLINK("https://portal.dnb.de/opac.htm?method=simpleSearch&amp;cqlMode=true&amp;query=idn%3D1003925332", "Portal")</f>
        <v>Portal</v>
      </c>
      <c r="G159" t="s">
        <v>112</v>
      </c>
      <c r="H159" t="s">
        <v>1085</v>
      </c>
      <c r="I159" t="s">
        <v>1086</v>
      </c>
      <c r="J159" t="s">
        <v>1087</v>
      </c>
      <c r="K159" t="s">
        <v>1087</v>
      </c>
      <c r="L159" t="s">
        <v>1088</v>
      </c>
      <c r="N159" t="s">
        <v>1089</v>
      </c>
      <c r="O159" t="s">
        <v>118</v>
      </c>
      <c r="P159" t="s">
        <v>135</v>
      </c>
      <c r="R159" t="s">
        <v>286</v>
      </c>
      <c r="S159" t="s">
        <v>214</v>
      </c>
      <c r="T159" t="s">
        <v>136</v>
      </c>
      <c r="U159" t="s">
        <v>189</v>
      </c>
      <c r="X159" t="s">
        <v>124</v>
      </c>
      <c r="Y159">
        <v>1</v>
      </c>
      <c r="AI159" t="s">
        <v>338</v>
      </c>
      <c r="AM159" t="s">
        <v>204</v>
      </c>
      <c r="AS159" t="s">
        <v>127</v>
      </c>
      <c r="BG159">
        <v>60</v>
      </c>
      <c r="BM159" t="s">
        <v>206</v>
      </c>
      <c r="BN159">
        <v>3.5</v>
      </c>
      <c r="BR159" t="s">
        <v>128</v>
      </c>
      <c r="CA159" t="s">
        <v>128</v>
      </c>
      <c r="CB159" t="s">
        <v>128</v>
      </c>
      <c r="CI159" t="s">
        <v>128</v>
      </c>
      <c r="CM159">
        <v>3.5</v>
      </c>
    </row>
    <row r="160" spans="1:110" x14ac:dyDescent="0.2">
      <c r="A160" t="s">
        <v>111</v>
      </c>
      <c r="B160" t="b">
        <v>0</v>
      </c>
      <c r="E160">
        <v>183</v>
      </c>
      <c r="F160" t="str">
        <f>HYPERLINK("https://portal.dnb.de/opac.htm?method=simpleSearch&amp;cqlMode=true&amp;query=idn%3D997039531", "Portal")</f>
        <v>Portal</v>
      </c>
      <c r="G160" t="s">
        <v>112</v>
      </c>
      <c r="H160" t="s">
        <v>1090</v>
      </c>
      <c r="I160" t="s">
        <v>1091</v>
      </c>
      <c r="J160" t="s">
        <v>1092</v>
      </c>
      <c r="L160" t="s">
        <v>1092</v>
      </c>
      <c r="P160" t="s">
        <v>135</v>
      </c>
      <c r="R160" t="s">
        <v>119</v>
      </c>
      <c r="S160" t="s">
        <v>214</v>
      </c>
      <c r="T160" t="s">
        <v>136</v>
      </c>
      <c r="U160" t="s">
        <v>148</v>
      </c>
      <c r="W160" t="s">
        <v>67</v>
      </c>
      <c r="X160" t="s">
        <v>175</v>
      </c>
      <c r="Y160">
        <v>0</v>
      </c>
      <c r="AI160" t="s">
        <v>125</v>
      </c>
      <c r="AL160" t="s">
        <v>128</v>
      </c>
      <c r="AM160" t="s">
        <v>150</v>
      </c>
      <c r="AS160" t="s">
        <v>127</v>
      </c>
      <c r="BG160">
        <v>110</v>
      </c>
      <c r="BM160" t="s">
        <v>129</v>
      </c>
      <c r="BN160">
        <v>0</v>
      </c>
      <c r="BP160" t="s">
        <v>177</v>
      </c>
    </row>
    <row r="161" spans="1:111" x14ac:dyDescent="0.2">
      <c r="A161" t="s">
        <v>111</v>
      </c>
      <c r="B161" t="b">
        <v>1</v>
      </c>
      <c r="E161">
        <v>185</v>
      </c>
      <c r="F161" t="str">
        <f>HYPERLINK("https://portal.dnb.de/opac.htm?method=simpleSearch&amp;cqlMode=true&amp;query=idn%3D1066960186", "Portal")</f>
        <v>Portal</v>
      </c>
      <c r="G161" t="s">
        <v>112</v>
      </c>
      <c r="H161" t="s">
        <v>1093</v>
      </c>
      <c r="I161" t="s">
        <v>1094</v>
      </c>
      <c r="J161" t="s">
        <v>1095</v>
      </c>
      <c r="K161" t="s">
        <v>1095</v>
      </c>
      <c r="L161" t="s">
        <v>1096</v>
      </c>
      <c r="N161" t="s">
        <v>1097</v>
      </c>
      <c r="O161" t="s">
        <v>118</v>
      </c>
      <c r="P161" t="s">
        <v>135</v>
      </c>
      <c r="R161" t="s">
        <v>162</v>
      </c>
      <c r="S161" t="s">
        <v>214</v>
      </c>
      <c r="T161" t="s">
        <v>136</v>
      </c>
      <c r="U161" t="s">
        <v>148</v>
      </c>
      <c r="Y161">
        <v>0</v>
      </c>
      <c r="AI161" t="s">
        <v>149</v>
      </c>
      <c r="AL161" t="s">
        <v>128</v>
      </c>
      <c r="AM161" t="s">
        <v>150</v>
      </c>
      <c r="AS161" t="s">
        <v>127</v>
      </c>
      <c r="BG161">
        <v>110</v>
      </c>
      <c r="BM161" t="s">
        <v>129</v>
      </c>
      <c r="BN161">
        <v>0</v>
      </c>
    </row>
    <row r="162" spans="1:111" x14ac:dyDescent="0.2">
      <c r="A162" t="s">
        <v>111</v>
      </c>
      <c r="B162" t="b">
        <v>1</v>
      </c>
      <c r="E162">
        <v>186</v>
      </c>
      <c r="F162" t="str">
        <f>HYPERLINK("https://portal.dnb.de/opac.htm?method=simpleSearch&amp;cqlMode=true&amp;query=idn%3D1003986471", "Portal")</f>
        <v>Portal</v>
      </c>
      <c r="G162" t="s">
        <v>112</v>
      </c>
      <c r="H162" t="s">
        <v>1098</v>
      </c>
      <c r="I162" t="s">
        <v>1099</v>
      </c>
      <c r="J162" t="s">
        <v>1100</v>
      </c>
      <c r="K162" t="s">
        <v>1100</v>
      </c>
      <c r="L162" t="s">
        <v>1101</v>
      </c>
      <c r="N162" t="s">
        <v>1102</v>
      </c>
      <c r="O162" t="s">
        <v>118</v>
      </c>
      <c r="R162" t="s">
        <v>188</v>
      </c>
      <c r="S162" t="s">
        <v>422</v>
      </c>
      <c r="T162" t="s">
        <v>136</v>
      </c>
      <c r="U162" t="s">
        <v>1103</v>
      </c>
      <c r="W162" t="s">
        <v>138</v>
      </c>
      <c r="X162" t="s">
        <v>203</v>
      </c>
      <c r="Y162">
        <v>3</v>
      </c>
      <c r="AI162" t="s">
        <v>190</v>
      </c>
      <c r="AM162" t="s">
        <v>150</v>
      </c>
      <c r="AO162" t="s">
        <v>128</v>
      </c>
      <c r="AS162" t="s">
        <v>127</v>
      </c>
      <c r="BG162">
        <v>60</v>
      </c>
      <c r="BM162" t="s">
        <v>129</v>
      </c>
      <c r="BN162">
        <v>0</v>
      </c>
      <c r="BS162" t="s">
        <v>128</v>
      </c>
      <c r="BT162" t="s">
        <v>140</v>
      </c>
      <c r="BU162" t="s">
        <v>128</v>
      </c>
      <c r="BY162" t="s">
        <v>295</v>
      </c>
    </row>
    <row r="163" spans="1:111" x14ac:dyDescent="0.2">
      <c r="A163" t="s">
        <v>111</v>
      </c>
      <c r="B163" t="b">
        <v>1</v>
      </c>
      <c r="E163">
        <v>187</v>
      </c>
      <c r="F163" t="str">
        <f>HYPERLINK("https://portal.dnb.de/opac.htm?method=simpleSearch&amp;cqlMode=true&amp;query=idn%3D1003893422", "Portal")</f>
        <v>Portal</v>
      </c>
      <c r="G163" t="s">
        <v>112</v>
      </c>
      <c r="H163" t="s">
        <v>1104</v>
      </c>
      <c r="I163" t="s">
        <v>1105</v>
      </c>
      <c r="J163" t="s">
        <v>1106</v>
      </c>
      <c r="K163" t="s">
        <v>1106</v>
      </c>
      <c r="L163" t="s">
        <v>1107</v>
      </c>
      <c r="N163" t="s">
        <v>1108</v>
      </c>
      <c r="O163" t="s">
        <v>118</v>
      </c>
      <c r="P163" t="s">
        <v>135</v>
      </c>
      <c r="R163" t="s">
        <v>147</v>
      </c>
      <c r="S163" t="s">
        <v>214</v>
      </c>
      <c r="T163" t="s">
        <v>136</v>
      </c>
      <c r="U163" t="s">
        <v>412</v>
      </c>
      <c r="X163" t="s">
        <v>124</v>
      </c>
      <c r="Y163">
        <v>0</v>
      </c>
      <c r="AI163" t="s">
        <v>127</v>
      </c>
      <c r="AM163" t="s">
        <v>150</v>
      </c>
      <c r="AS163" t="s">
        <v>127</v>
      </c>
      <c r="BG163">
        <v>110</v>
      </c>
      <c r="BM163" t="s">
        <v>129</v>
      </c>
      <c r="BN163">
        <v>0</v>
      </c>
    </row>
    <row r="164" spans="1:111" x14ac:dyDescent="0.2">
      <c r="A164" t="s">
        <v>111</v>
      </c>
      <c r="B164" t="b">
        <v>1</v>
      </c>
      <c r="C164" t="s">
        <v>128</v>
      </c>
      <c r="E164">
        <v>188</v>
      </c>
      <c r="F164" t="str">
        <f>HYPERLINK("https://portal.dnb.de/opac.htm?method=simpleSearch&amp;cqlMode=true&amp;query=idn%3D1066956324", "Portal")</f>
        <v>Portal</v>
      </c>
      <c r="G164" t="s">
        <v>163</v>
      </c>
      <c r="H164" t="s">
        <v>1109</v>
      </c>
      <c r="I164" t="s">
        <v>1110</v>
      </c>
      <c r="J164" t="s">
        <v>1111</v>
      </c>
      <c r="K164" t="s">
        <v>1111</v>
      </c>
      <c r="L164" t="s">
        <v>1112</v>
      </c>
      <c r="N164" t="s">
        <v>1113</v>
      </c>
      <c r="O164" t="s">
        <v>118</v>
      </c>
      <c r="R164" t="s">
        <v>467</v>
      </c>
      <c r="S164" t="s">
        <v>214</v>
      </c>
      <c r="T164" t="s">
        <v>136</v>
      </c>
      <c r="U164" t="s">
        <v>1114</v>
      </c>
      <c r="X164" t="s">
        <v>124</v>
      </c>
      <c r="Y164">
        <v>3</v>
      </c>
      <c r="AI164" t="s">
        <v>469</v>
      </c>
      <c r="AL164" t="s">
        <v>128</v>
      </c>
      <c r="AM164" t="s">
        <v>191</v>
      </c>
      <c r="AS164" t="s">
        <v>127</v>
      </c>
      <c r="BE164">
        <v>2</v>
      </c>
      <c r="BF164" t="s">
        <v>128</v>
      </c>
      <c r="BG164" t="s">
        <v>176</v>
      </c>
      <c r="BM164" t="s">
        <v>206</v>
      </c>
      <c r="BN164">
        <v>5.5</v>
      </c>
      <c r="BR164" t="s">
        <v>128</v>
      </c>
      <c r="CB164" t="s">
        <v>128</v>
      </c>
      <c r="CD164" t="s">
        <v>483</v>
      </c>
      <c r="CM164">
        <v>2.5</v>
      </c>
      <c r="CN164" t="s">
        <v>1115</v>
      </c>
      <c r="CO164" t="s">
        <v>128</v>
      </c>
      <c r="CV164" t="s">
        <v>128</v>
      </c>
      <c r="CX164" t="s">
        <v>128</v>
      </c>
      <c r="DF164">
        <v>3</v>
      </c>
      <c r="DG164" t="s">
        <v>1116</v>
      </c>
    </row>
    <row r="165" spans="1:111" x14ac:dyDescent="0.2">
      <c r="A165" t="s">
        <v>111</v>
      </c>
      <c r="B165" t="b">
        <v>1</v>
      </c>
      <c r="E165">
        <v>189</v>
      </c>
      <c r="F165" t="str">
        <f>HYPERLINK("https://portal.dnb.de/opac.htm?method=simpleSearch&amp;cqlMode=true&amp;query=idn%3D100396219X", "Portal")</f>
        <v>Portal</v>
      </c>
      <c r="G165" t="s">
        <v>112</v>
      </c>
      <c r="H165" t="s">
        <v>1117</v>
      </c>
      <c r="I165" t="s">
        <v>1118</v>
      </c>
      <c r="J165" t="s">
        <v>1119</v>
      </c>
      <c r="K165" t="s">
        <v>1119</v>
      </c>
      <c r="L165" t="s">
        <v>1120</v>
      </c>
      <c r="N165" t="s">
        <v>1121</v>
      </c>
      <c r="O165" t="s">
        <v>118</v>
      </c>
      <c r="R165" t="s">
        <v>188</v>
      </c>
      <c r="S165" t="s">
        <v>214</v>
      </c>
      <c r="T165" t="s">
        <v>136</v>
      </c>
      <c r="U165" t="s">
        <v>137</v>
      </c>
      <c r="X165" t="s">
        <v>124</v>
      </c>
      <c r="Y165">
        <v>1</v>
      </c>
      <c r="AI165" t="s">
        <v>190</v>
      </c>
      <c r="AJ165" t="s">
        <v>1122</v>
      </c>
      <c r="AM165" t="s">
        <v>126</v>
      </c>
      <c r="AS165" t="s">
        <v>127</v>
      </c>
      <c r="BG165">
        <v>110</v>
      </c>
      <c r="BM165" t="s">
        <v>129</v>
      </c>
      <c r="BN165">
        <v>0</v>
      </c>
      <c r="BY165" t="s">
        <v>1123</v>
      </c>
    </row>
    <row r="166" spans="1:111" x14ac:dyDescent="0.2">
      <c r="A166" t="s">
        <v>111</v>
      </c>
      <c r="B166" t="b">
        <v>1</v>
      </c>
      <c r="E166">
        <v>190</v>
      </c>
      <c r="F166" t="str">
        <f>HYPERLINK("https://portal.dnb.de/opac.htm?method=simpleSearch&amp;cqlMode=true&amp;query=idn%3D1003867448", "Portal")</f>
        <v>Portal</v>
      </c>
      <c r="G166" t="s">
        <v>112</v>
      </c>
      <c r="H166" t="s">
        <v>1124</v>
      </c>
      <c r="I166" t="s">
        <v>1125</v>
      </c>
      <c r="J166" t="s">
        <v>1126</v>
      </c>
      <c r="K166" t="s">
        <v>1126</v>
      </c>
      <c r="L166" t="s">
        <v>1127</v>
      </c>
      <c r="N166" t="s">
        <v>1128</v>
      </c>
      <c r="O166" t="s">
        <v>118</v>
      </c>
      <c r="P166" t="s">
        <v>135</v>
      </c>
      <c r="R166" t="s">
        <v>162</v>
      </c>
      <c r="S166" t="s">
        <v>214</v>
      </c>
      <c r="T166" t="s">
        <v>136</v>
      </c>
      <c r="U166" t="s">
        <v>742</v>
      </c>
      <c r="X166" t="s">
        <v>124</v>
      </c>
      <c r="Y166">
        <v>2</v>
      </c>
      <c r="AI166" t="s">
        <v>149</v>
      </c>
      <c r="AM166" t="s">
        <v>150</v>
      </c>
      <c r="AS166" t="s">
        <v>127</v>
      </c>
      <c r="BG166">
        <v>110</v>
      </c>
      <c r="BM166" t="s">
        <v>129</v>
      </c>
      <c r="BN166">
        <v>0</v>
      </c>
    </row>
    <row r="167" spans="1:111" x14ac:dyDescent="0.2">
      <c r="A167" t="s">
        <v>111</v>
      </c>
      <c r="B167" t="b">
        <v>1</v>
      </c>
      <c r="E167">
        <v>191</v>
      </c>
      <c r="F167" t="str">
        <f>HYPERLINK("https://portal.dnb.de/opac.htm?method=simpleSearch&amp;cqlMode=true&amp;query=idn%3D1003879144", "Portal")</f>
        <v>Portal</v>
      </c>
      <c r="G167" t="s">
        <v>112</v>
      </c>
      <c r="H167" t="s">
        <v>1129</v>
      </c>
      <c r="I167" t="s">
        <v>1130</v>
      </c>
      <c r="J167" t="s">
        <v>1131</v>
      </c>
      <c r="K167" t="s">
        <v>1131</v>
      </c>
      <c r="L167" t="s">
        <v>1132</v>
      </c>
      <c r="N167" t="s">
        <v>1133</v>
      </c>
      <c r="O167" t="s">
        <v>118</v>
      </c>
      <c r="P167" t="s">
        <v>135</v>
      </c>
      <c r="R167" t="s">
        <v>188</v>
      </c>
      <c r="S167" t="s">
        <v>214</v>
      </c>
      <c r="T167" t="s">
        <v>136</v>
      </c>
      <c r="U167" t="s">
        <v>1134</v>
      </c>
      <c r="W167" t="s">
        <v>138</v>
      </c>
      <c r="X167" t="s">
        <v>203</v>
      </c>
      <c r="Y167">
        <v>3</v>
      </c>
      <c r="AI167" t="s">
        <v>190</v>
      </c>
      <c r="AM167" t="s">
        <v>204</v>
      </c>
      <c r="AS167" t="s">
        <v>127</v>
      </c>
      <c r="AZ167" t="s">
        <v>128</v>
      </c>
      <c r="BA167" t="s">
        <v>1135</v>
      </c>
      <c r="BB167" t="s">
        <v>128</v>
      </c>
      <c r="BG167">
        <v>60</v>
      </c>
      <c r="BM167" t="s">
        <v>129</v>
      </c>
      <c r="BN167">
        <v>0</v>
      </c>
      <c r="BT167" t="s">
        <v>140</v>
      </c>
      <c r="BU167" t="s">
        <v>128</v>
      </c>
      <c r="BY167" t="s">
        <v>1056</v>
      </c>
    </row>
    <row r="168" spans="1:111" x14ac:dyDescent="0.2">
      <c r="A168" t="s">
        <v>111</v>
      </c>
      <c r="B168" t="b">
        <v>1</v>
      </c>
      <c r="C168" t="s">
        <v>128</v>
      </c>
      <c r="E168">
        <v>192</v>
      </c>
      <c r="F168" t="str">
        <f>HYPERLINK("https://portal.dnb.de/opac.htm?method=simpleSearch&amp;cqlMode=true&amp;query=idn%3D1003868134", "Portal")</f>
        <v>Portal</v>
      </c>
      <c r="G168" t="s">
        <v>112</v>
      </c>
      <c r="H168" t="s">
        <v>1136</v>
      </c>
      <c r="I168" t="s">
        <v>1137</v>
      </c>
      <c r="J168" t="s">
        <v>1138</v>
      </c>
      <c r="K168" t="s">
        <v>1138</v>
      </c>
      <c r="L168" t="s">
        <v>1139</v>
      </c>
      <c r="N168" t="s">
        <v>1140</v>
      </c>
      <c r="O168" t="s">
        <v>118</v>
      </c>
      <c r="P168" t="s">
        <v>135</v>
      </c>
      <c r="R168" t="s">
        <v>188</v>
      </c>
      <c r="S168" t="s">
        <v>120</v>
      </c>
      <c r="T168" t="s">
        <v>136</v>
      </c>
      <c r="U168" t="s">
        <v>1141</v>
      </c>
      <c r="W168" t="s">
        <v>138</v>
      </c>
      <c r="X168" t="s">
        <v>203</v>
      </c>
      <c r="Y168">
        <v>3</v>
      </c>
      <c r="AI168" t="s">
        <v>190</v>
      </c>
      <c r="AM168" t="s">
        <v>204</v>
      </c>
      <c r="AS168" t="s">
        <v>127</v>
      </c>
      <c r="BG168">
        <v>60</v>
      </c>
      <c r="BM168" t="s">
        <v>206</v>
      </c>
      <c r="BN168">
        <v>3.5</v>
      </c>
      <c r="BT168" t="s">
        <v>140</v>
      </c>
      <c r="BU168" t="s">
        <v>128</v>
      </c>
      <c r="BY168" t="s">
        <v>1142</v>
      </c>
      <c r="CA168" t="s">
        <v>128</v>
      </c>
      <c r="CB168" t="s">
        <v>128</v>
      </c>
      <c r="CD168" t="s">
        <v>483</v>
      </c>
      <c r="CL168" t="s">
        <v>128</v>
      </c>
      <c r="CM168">
        <v>3.5</v>
      </c>
      <c r="CN168" t="s">
        <v>1143</v>
      </c>
    </row>
    <row r="169" spans="1:111" x14ac:dyDescent="0.2">
      <c r="A169" t="s">
        <v>111</v>
      </c>
      <c r="B169" t="b">
        <v>1</v>
      </c>
      <c r="E169">
        <v>193</v>
      </c>
      <c r="F169" t="str">
        <f>HYPERLINK("https://portal.dnb.de/opac.htm?method=simpleSearch&amp;cqlMode=true&amp;query=idn%3D1003914896", "Portal")</f>
        <v>Portal</v>
      </c>
      <c r="G169" t="s">
        <v>207</v>
      </c>
      <c r="H169" t="s">
        <v>1144</v>
      </c>
      <c r="I169" t="s">
        <v>1145</v>
      </c>
      <c r="J169" t="s">
        <v>1146</v>
      </c>
      <c r="K169" t="s">
        <v>1146</v>
      </c>
      <c r="L169" t="s">
        <v>1147</v>
      </c>
      <c r="N169" t="s">
        <v>1148</v>
      </c>
      <c r="O169" t="s">
        <v>1149</v>
      </c>
      <c r="R169" t="s">
        <v>188</v>
      </c>
      <c r="S169" t="s">
        <v>120</v>
      </c>
      <c r="T169" t="s">
        <v>136</v>
      </c>
      <c r="U169" t="s">
        <v>423</v>
      </c>
      <c r="W169" t="s">
        <v>138</v>
      </c>
      <c r="X169" t="s">
        <v>203</v>
      </c>
      <c r="Y169">
        <v>0</v>
      </c>
      <c r="AI169" t="s">
        <v>190</v>
      </c>
      <c r="AM169" t="s">
        <v>150</v>
      </c>
      <c r="AS169" t="s">
        <v>127</v>
      </c>
      <c r="BG169">
        <v>60</v>
      </c>
      <c r="BM169" t="s">
        <v>129</v>
      </c>
      <c r="BN169">
        <v>0</v>
      </c>
      <c r="BT169" t="s">
        <v>140</v>
      </c>
      <c r="BU169" t="s">
        <v>128</v>
      </c>
      <c r="BY169" t="s">
        <v>1142</v>
      </c>
    </row>
    <row r="170" spans="1:111" x14ac:dyDescent="0.2">
      <c r="A170" t="s">
        <v>111</v>
      </c>
      <c r="B170" t="b">
        <v>1</v>
      </c>
      <c r="C170" t="s">
        <v>128</v>
      </c>
      <c r="F170" t="str">
        <f>HYPERLINK("https://portal.dnb.de/opac.htm?method=simpleSearch&amp;cqlMode=true&amp;query=idn%3D1149267690", "Portal")</f>
        <v>Portal</v>
      </c>
      <c r="G170" t="s">
        <v>157</v>
      </c>
      <c r="H170" t="s">
        <v>1150</v>
      </c>
      <c r="I170" t="s">
        <v>1151</v>
      </c>
      <c r="J170" t="s">
        <v>1152</v>
      </c>
      <c r="K170" t="s">
        <v>1152</v>
      </c>
      <c r="L170" t="s">
        <v>1152</v>
      </c>
      <c r="N170" t="s">
        <v>1153</v>
      </c>
      <c r="O170" t="s">
        <v>118</v>
      </c>
      <c r="P170" t="s">
        <v>135</v>
      </c>
      <c r="Q170" t="s">
        <v>1154</v>
      </c>
      <c r="R170" t="s">
        <v>188</v>
      </c>
      <c r="S170" t="s">
        <v>214</v>
      </c>
      <c r="T170" t="s">
        <v>121</v>
      </c>
      <c r="U170" t="s">
        <v>378</v>
      </c>
      <c r="W170" t="s">
        <v>138</v>
      </c>
      <c r="X170" t="s">
        <v>203</v>
      </c>
      <c r="Y170">
        <v>3</v>
      </c>
      <c r="AA170" t="s">
        <v>468</v>
      </c>
      <c r="AI170" t="s">
        <v>469</v>
      </c>
      <c r="AM170" t="s">
        <v>191</v>
      </c>
      <c r="AS170" t="s">
        <v>127</v>
      </c>
      <c r="BG170" t="s">
        <v>176</v>
      </c>
      <c r="BM170" t="s">
        <v>206</v>
      </c>
      <c r="BN170">
        <v>11</v>
      </c>
      <c r="BT170" t="s">
        <v>140</v>
      </c>
      <c r="BU170" t="s">
        <v>128</v>
      </c>
      <c r="BY170" t="s">
        <v>1155</v>
      </c>
      <c r="CA170" t="s">
        <v>128</v>
      </c>
      <c r="CB170" t="s">
        <v>128</v>
      </c>
      <c r="CD170" t="s">
        <v>483</v>
      </c>
      <c r="CE170">
        <v>6</v>
      </c>
      <c r="CI170" t="s">
        <v>128</v>
      </c>
      <c r="CK170" t="s">
        <v>684</v>
      </c>
      <c r="CL170" t="s">
        <v>128</v>
      </c>
      <c r="CM170">
        <v>8</v>
      </c>
      <c r="CN170" t="s">
        <v>1156</v>
      </c>
      <c r="CR170" t="s">
        <v>128</v>
      </c>
      <c r="CV170" t="s">
        <v>128</v>
      </c>
      <c r="CX170" t="s">
        <v>128</v>
      </c>
      <c r="DF170">
        <v>3</v>
      </c>
    </row>
    <row r="171" spans="1:111" x14ac:dyDescent="0.2">
      <c r="A171" t="s">
        <v>111</v>
      </c>
      <c r="B171" t="b">
        <v>1</v>
      </c>
      <c r="E171">
        <v>196</v>
      </c>
      <c r="F171" t="str">
        <f>HYPERLINK("https://portal.dnb.de/opac.htm?method=simpleSearch&amp;cqlMode=true&amp;query=idn%3D1003868142", "Portal")</f>
        <v>Portal</v>
      </c>
      <c r="G171" t="s">
        <v>112</v>
      </c>
      <c r="H171" t="s">
        <v>1157</v>
      </c>
      <c r="I171" t="s">
        <v>1158</v>
      </c>
      <c r="J171" t="s">
        <v>1159</v>
      </c>
      <c r="K171" t="s">
        <v>1159</v>
      </c>
      <c r="L171" t="s">
        <v>1160</v>
      </c>
      <c r="N171" t="s">
        <v>1161</v>
      </c>
      <c r="O171" t="s">
        <v>118</v>
      </c>
      <c r="P171" t="s">
        <v>135</v>
      </c>
      <c r="R171" t="s">
        <v>119</v>
      </c>
      <c r="S171" t="s">
        <v>214</v>
      </c>
      <c r="T171" t="s">
        <v>156</v>
      </c>
      <c r="U171" t="s">
        <v>148</v>
      </c>
      <c r="W171" t="s">
        <v>67</v>
      </c>
      <c r="X171" t="s">
        <v>175</v>
      </c>
      <c r="AI171" t="s">
        <v>125</v>
      </c>
      <c r="AL171" t="s">
        <v>128</v>
      </c>
      <c r="AM171" t="s">
        <v>150</v>
      </c>
      <c r="AS171" t="s">
        <v>127</v>
      </c>
      <c r="AZ171" t="s">
        <v>128</v>
      </c>
      <c r="BB171" t="s">
        <v>128</v>
      </c>
      <c r="BD171" t="s">
        <v>128</v>
      </c>
      <c r="BE171">
        <v>0</v>
      </c>
      <c r="BG171">
        <v>180</v>
      </c>
      <c r="BM171" t="s">
        <v>129</v>
      </c>
      <c r="BN171">
        <v>0</v>
      </c>
      <c r="BP171" t="s">
        <v>177</v>
      </c>
      <c r="BV171" t="s">
        <v>1162</v>
      </c>
    </row>
    <row r="172" spans="1:111" x14ac:dyDescent="0.2">
      <c r="A172" t="s">
        <v>111</v>
      </c>
      <c r="B172" t="b">
        <v>1</v>
      </c>
      <c r="E172">
        <v>197</v>
      </c>
      <c r="F172" t="str">
        <f>HYPERLINK("https://portal.dnb.de/opac.htm?method=simpleSearch&amp;cqlMode=true&amp;query=idn%3D1003989993", "Portal")</f>
        <v>Portal</v>
      </c>
      <c r="G172" t="s">
        <v>112</v>
      </c>
      <c r="H172" t="s">
        <v>1163</v>
      </c>
      <c r="I172" t="s">
        <v>1164</v>
      </c>
      <c r="J172" t="s">
        <v>1165</v>
      </c>
      <c r="K172" t="s">
        <v>1165</v>
      </c>
      <c r="L172" t="s">
        <v>1166</v>
      </c>
      <c r="N172" t="s">
        <v>1167</v>
      </c>
      <c r="O172" t="s">
        <v>118</v>
      </c>
      <c r="P172" t="s">
        <v>135</v>
      </c>
      <c r="R172" t="s">
        <v>147</v>
      </c>
      <c r="S172" t="s">
        <v>214</v>
      </c>
      <c r="T172" t="s">
        <v>136</v>
      </c>
      <c r="U172" t="s">
        <v>412</v>
      </c>
      <c r="Y172">
        <v>0</v>
      </c>
      <c r="AI172" t="s">
        <v>149</v>
      </c>
      <c r="AL172" t="s">
        <v>128</v>
      </c>
      <c r="AM172" t="s">
        <v>126</v>
      </c>
      <c r="AS172" t="s">
        <v>127</v>
      </c>
      <c r="BE172">
        <v>2</v>
      </c>
      <c r="BG172">
        <v>110</v>
      </c>
      <c r="BM172" t="s">
        <v>129</v>
      </c>
      <c r="BN172">
        <v>0</v>
      </c>
      <c r="BV172" t="s">
        <v>1168</v>
      </c>
    </row>
    <row r="173" spans="1:111" x14ac:dyDescent="0.2">
      <c r="A173" t="s">
        <v>111</v>
      </c>
      <c r="B173" t="b">
        <v>1</v>
      </c>
      <c r="C173" t="s">
        <v>128</v>
      </c>
      <c r="E173">
        <v>198</v>
      </c>
      <c r="F173" t="str">
        <f>HYPERLINK("https://portal.dnb.de/opac.htm?method=simpleSearch&amp;cqlMode=true&amp;query=idn%3D1003966713", "Portal")</f>
        <v>Portal</v>
      </c>
      <c r="G173" t="s">
        <v>207</v>
      </c>
      <c r="H173" t="s">
        <v>1169</v>
      </c>
      <c r="I173" t="s">
        <v>1170</v>
      </c>
      <c r="J173" t="s">
        <v>1171</v>
      </c>
      <c r="K173" t="s">
        <v>1171</v>
      </c>
      <c r="L173" t="s">
        <v>1172</v>
      </c>
      <c r="N173" t="s">
        <v>1173</v>
      </c>
      <c r="O173" t="s">
        <v>1174</v>
      </c>
      <c r="P173" t="s">
        <v>135</v>
      </c>
      <c r="R173" t="s">
        <v>467</v>
      </c>
      <c r="S173" t="s">
        <v>214</v>
      </c>
      <c r="T173" t="s">
        <v>136</v>
      </c>
      <c r="U173" t="s">
        <v>378</v>
      </c>
      <c r="W173" t="s">
        <v>138</v>
      </c>
      <c r="X173" t="s">
        <v>203</v>
      </c>
      <c r="Y173">
        <v>3</v>
      </c>
      <c r="AA173" t="s">
        <v>910</v>
      </c>
      <c r="AI173" t="s">
        <v>469</v>
      </c>
      <c r="AM173" t="s">
        <v>191</v>
      </c>
      <c r="AS173" t="s">
        <v>127</v>
      </c>
      <c r="BG173">
        <v>60</v>
      </c>
      <c r="BM173" t="s">
        <v>206</v>
      </c>
      <c r="BN173">
        <v>0.5</v>
      </c>
      <c r="BT173" t="s">
        <v>140</v>
      </c>
      <c r="BU173" t="s">
        <v>128</v>
      </c>
      <c r="BV173" t="s">
        <v>1175</v>
      </c>
      <c r="BY173" t="s">
        <v>1176</v>
      </c>
      <c r="CA173" t="s">
        <v>128</v>
      </c>
      <c r="CH173" t="s">
        <v>128</v>
      </c>
      <c r="CM173">
        <v>0.5</v>
      </c>
    </row>
    <row r="174" spans="1:111" x14ac:dyDescent="0.2">
      <c r="A174" t="s">
        <v>111</v>
      </c>
      <c r="B174" t="b">
        <v>0</v>
      </c>
      <c r="F174" t="str">
        <f>HYPERLINK("https://portal.dnb.de/opac.htm?method=simpleSearch&amp;cqlMode=true&amp;query=idn%3D", "Portal")</f>
        <v>Portal</v>
      </c>
      <c r="L174" t="s">
        <v>1177</v>
      </c>
      <c r="M174" t="s">
        <v>1178</v>
      </c>
      <c r="P174" t="s">
        <v>135</v>
      </c>
      <c r="R174" t="s">
        <v>188</v>
      </c>
      <c r="S174" t="s">
        <v>120</v>
      </c>
      <c r="T174" t="s">
        <v>156</v>
      </c>
      <c r="U174" t="s">
        <v>1179</v>
      </c>
      <c r="W174" t="s">
        <v>138</v>
      </c>
      <c r="X174" t="s">
        <v>139</v>
      </c>
      <c r="Y174">
        <v>0</v>
      </c>
      <c r="AI174" t="s">
        <v>190</v>
      </c>
      <c r="AM174" t="s">
        <v>191</v>
      </c>
      <c r="AS174" t="s">
        <v>125</v>
      </c>
      <c r="BC174" t="s">
        <v>1180</v>
      </c>
      <c r="BD174" t="s">
        <v>128</v>
      </c>
      <c r="BG174">
        <v>110</v>
      </c>
      <c r="BN174">
        <v>0</v>
      </c>
      <c r="BT174" t="s">
        <v>140</v>
      </c>
      <c r="BU174" t="s">
        <v>128</v>
      </c>
      <c r="BV174" t="s">
        <v>1181</v>
      </c>
      <c r="BY174" t="s">
        <v>1182</v>
      </c>
    </row>
    <row r="175" spans="1:111" x14ac:dyDescent="0.2">
      <c r="A175" t="s">
        <v>111</v>
      </c>
      <c r="B175" t="b">
        <v>1</v>
      </c>
      <c r="C175" t="s">
        <v>128</v>
      </c>
      <c r="E175">
        <v>199</v>
      </c>
      <c r="F175" t="str">
        <f>HYPERLINK("https://portal.dnb.de/opac.htm?method=simpleSearch&amp;cqlMode=true&amp;query=idn%3D1066961565", "Portal")</f>
        <v>Portal</v>
      </c>
      <c r="G175" t="s">
        <v>163</v>
      </c>
      <c r="H175" t="s">
        <v>1183</v>
      </c>
      <c r="I175" t="s">
        <v>1184</v>
      </c>
      <c r="J175" t="s">
        <v>1185</v>
      </c>
      <c r="K175" t="s">
        <v>1185</v>
      </c>
      <c r="L175" t="s">
        <v>1186</v>
      </c>
      <c r="N175" t="s">
        <v>1187</v>
      </c>
      <c r="O175" t="s">
        <v>118</v>
      </c>
      <c r="P175" t="s">
        <v>135</v>
      </c>
      <c r="R175" t="s">
        <v>286</v>
      </c>
      <c r="S175" t="s">
        <v>120</v>
      </c>
      <c r="T175" t="s">
        <v>156</v>
      </c>
      <c r="W175" t="s">
        <v>138</v>
      </c>
      <c r="X175" t="s">
        <v>139</v>
      </c>
      <c r="Y175">
        <v>0</v>
      </c>
      <c r="AI175" t="s">
        <v>338</v>
      </c>
      <c r="AM175" t="s">
        <v>191</v>
      </c>
      <c r="AS175" t="s">
        <v>127</v>
      </c>
      <c r="BG175">
        <v>60</v>
      </c>
      <c r="BM175" t="s">
        <v>206</v>
      </c>
      <c r="BN175">
        <v>1.5</v>
      </c>
      <c r="BT175" t="s">
        <v>140</v>
      </c>
      <c r="BU175" t="s">
        <v>128</v>
      </c>
      <c r="CA175" t="s">
        <v>128</v>
      </c>
      <c r="CB175" t="s">
        <v>128</v>
      </c>
      <c r="CM175">
        <v>1.5</v>
      </c>
      <c r="CN175" t="s">
        <v>1188</v>
      </c>
    </row>
    <row r="176" spans="1:111" x14ac:dyDescent="0.2">
      <c r="A176" t="s">
        <v>111</v>
      </c>
      <c r="B176" t="b">
        <v>1</v>
      </c>
      <c r="E176">
        <v>200</v>
      </c>
      <c r="F176" t="str">
        <f>HYPERLINK("https://portal.dnb.de/opac.htm?method=simpleSearch&amp;cqlMode=true&amp;query=idn%3D1003805450", "Portal")</f>
        <v>Portal</v>
      </c>
      <c r="G176" t="s">
        <v>112</v>
      </c>
      <c r="H176" t="s">
        <v>1189</v>
      </c>
      <c r="I176" t="s">
        <v>1190</v>
      </c>
      <c r="J176" t="s">
        <v>1191</v>
      </c>
      <c r="K176" t="s">
        <v>1191</v>
      </c>
      <c r="L176" t="s">
        <v>1192</v>
      </c>
      <c r="N176" t="s">
        <v>1193</v>
      </c>
      <c r="O176" t="s">
        <v>118</v>
      </c>
      <c r="P176" t="s">
        <v>135</v>
      </c>
      <c r="R176" t="s">
        <v>119</v>
      </c>
      <c r="S176" t="s">
        <v>120</v>
      </c>
      <c r="T176" t="s">
        <v>156</v>
      </c>
      <c r="U176" t="s">
        <v>148</v>
      </c>
      <c r="W176" t="s">
        <v>138</v>
      </c>
      <c r="X176" t="s">
        <v>203</v>
      </c>
      <c r="Y176">
        <v>0</v>
      </c>
      <c r="AI176" t="s">
        <v>125</v>
      </c>
      <c r="AM176" t="s">
        <v>126</v>
      </c>
      <c r="AS176" t="s">
        <v>127</v>
      </c>
      <c r="BG176">
        <v>110</v>
      </c>
      <c r="BM176" t="s">
        <v>129</v>
      </c>
      <c r="BN176">
        <v>0</v>
      </c>
      <c r="BT176" t="s">
        <v>140</v>
      </c>
      <c r="BU176" t="s">
        <v>128</v>
      </c>
      <c r="BY176" t="s">
        <v>141</v>
      </c>
    </row>
    <row r="177" spans="1:110" x14ac:dyDescent="0.2">
      <c r="A177" t="s">
        <v>111</v>
      </c>
      <c r="B177" t="b">
        <v>1</v>
      </c>
      <c r="E177">
        <v>201</v>
      </c>
      <c r="F177" t="str">
        <f>HYPERLINK("https://portal.dnb.de/opac.htm?method=simpleSearch&amp;cqlMode=true&amp;query=idn%3D1003800963", "Portal")</f>
        <v>Portal</v>
      </c>
      <c r="G177" t="s">
        <v>112</v>
      </c>
      <c r="H177" t="s">
        <v>1194</v>
      </c>
      <c r="I177" t="s">
        <v>1195</v>
      </c>
      <c r="J177" t="s">
        <v>1196</v>
      </c>
      <c r="K177" t="s">
        <v>1196</v>
      </c>
      <c r="L177" t="s">
        <v>1197</v>
      </c>
      <c r="N177" t="s">
        <v>1198</v>
      </c>
      <c r="O177" t="s">
        <v>118</v>
      </c>
      <c r="P177" t="s">
        <v>135</v>
      </c>
      <c r="R177" t="s">
        <v>119</v>
      </c>
      <c r="S177" t="s">
        <v>120</v>
      </c>
      <c r="T177" t="s">
        <v>136</v>
      </c>
      <c r="U177" t="s">
        <v>148</v>
      </c>
      <c r="W177" t="s">
        <v>1014</v>
      </c>
      <c r="X177" t="s">
        <v>175</v>
      </c>
      <c r="Y177">
        <v>0</v>
      </c>
      <c r="AI177" t="s">
        <v>125</v>
      </c>
      <c r="AJ177" t="s">
        <v>1199</v>
      </c>
      <c r="AM177" t="s">
        <v>126</v>
      </c>
      <c r="AS177" t="s">
        <v>127</v>
      </c>
      <c r="BG177">
        <v>45</v>
      </c>
      <c r="BM177" t="s">
        <v>129</v>
      </c>
      <c r="BN177">
        <v>0</v>
      </c>
      <c r="BS177" t="s">
        <v>128</v>
      </c>
    </row>
    <row r="178" spans="1:110" x14ac:dyDescent="0.2">
      <c r="A178" t="s">
        <v>111</v>
      </c>
      <c r="B178" t="b">
        <v>1</v>
      </c>
      <c r="E178">
        <v>202</v>
      </c>
      <c r="F178" t="str">
        <f>HYPERLINK("https://portal.dnb.de/opac.htm?method=simpleSearch&amp;cqlMode=true&amp;query=idn%3D100385639X", "Portal")</f>
        <v>Portal</v>
      </c>
      <c r="G178" t="s">
        <v>112</v>
      </c>
      <c r="H178" t="s">
        <v>1200</v>
      </c>
      <c r="I178" t="s">
        <v>1201</v>
      </c>
      <c r="J178" t="s">
        <v>1202</v>
      </c>
      <c r="K178" t="s">
        <v>1202</v>
      </c>
      <c r="L178" t="s">
        <v>1203</v>
      </c>
      <c r="N178" t="s">
        <v>1204</v>
      </c>
      <c r="O178" t="s">
        <v>118</v>
      </c>
      <c r="R178" t="s">
        <v>188</v>
      </c>
      <c r="S178" t="s">
        <v>120</v>
      </c>
      <c r="T178" t="s">
        <v>136</v>
      </c>
      <c r="U178" t="s">
        <v>378</v>
      </c>
      <c r="W178" t="s">
        <v>68</v>
      </c>
      <c r="X178" t="s">
        <v>175</v>
      </c>
      <c r="Y178">
        <v>1</v>
      </c>
      <c r="AI178" t="s">
        <v>190</v>
      </c>
      <c r="AM178" t="s">
        <v>191</v>
      </c>
      <c r="AS178" t="s">
        <v>127</v>
      </c>
      <c r="BG178">
        <v>45</v>
      </c>
      <c r="BM178" t="s">
        <v>129</v>
      </c>
      <c r="BN178">
        <v>0</v>
      </c>
      <c r="BQ178" t="s">
        <v>128</v>
      </c>
    </row>
    <row r="179" spans="1:110" x14ac:dyDescent="0.2">
      <c r="A179" t="s">
        <v>111</v>
      </c>
      <c r="B179" t="b">
        <v>1</v>
      </c>
      <c r="E179">
        <v>205</v>
      </c>
      <c r="F179" t="str">
        <f>HYPERLINK("https://portal.dnb.de/opac.htm?method=simpleSearch&amp;cqlMode=true&amp;query=idn%3D1003803210", "Portal")</f>
        <v>Portal</v>
      </c>
      <c r="G179" t="s">
        <v>112</v>
      </c>
      <c r="H179" t="s">
        <v>1205</v>
      </c>
      <c r="I179" t="s">
        <v>1206</v>
      </c>
      <c r="J179" t="s">
        <v>1207</v>
      </c>
      <c r="K179" t="s">
        <v>1207</v>
      </c>
      <c r="L179" t="s">
        <v>1208</v>
      </c>
      <c r="N179" t="s">
        <v>1209</v>
      </c>
      <c r="O179" t="s">
        <v>118</v>
      </c>
      <c r="R179" t="s">
        <v>188</v>
      </c>
      <c r="S179" t="s">
        <v>120</v>
      </c>
      <c r="T179" t="s">
        <v>136</v>
      </c>
      <c r="W179" t="s">
        <v>138</v>
      </c>
      <c r="X179" t="s">
        <v>203</v>
      </c>
      <c r="Y179">
        <v>0</v>
      </c>
      <c r="AI179" t="s">
        <v>190</v>
      </c>
      <c r="AL179" t="s">
        <v>128</v>
      </c>
      <c r="AM179" t="s">
        <v>126</v>
      </c>
      <c r="AS179" t="s">
        <v>127</v>
      </c>
      <c r="BG179">
        <v>110</v>
      </c>
      <c r="BK179" t="s">
        <v>128</v>
      </c>
      <c r="BM179" t="s">
        <v>129</v>
      </c>
      <c r="BN179">
        <v>0</v>
      </c>
      <c r="BT179" t="s">
        <v>140</v>
      </c>
      <c r="BU179" t="s">
        <v>128</v>
      </c>
      <c r="BY179" t="s">
        <v>141</v>
      </c>
    </row>
    <row r="180" spans="1:110" x14ac:dyDescent="0.2">
      <c r="A180" t="s">
        <v>111</v>
      </c>
      <c r="B180" t="b">
        <v>1</v>
      </c>
      <c r="E180">
        <v>206</v>
      </c>
      <c r="F180" t="str">
        <f>HYPERLINK("https://portal.dnb.de/opac.htm?method=simpleSearch&amp;cqlMode=true&amp;query=idn%3D1003972012", "Portal")</f>
        <v>Portal</v>
      </c>
      <c r="G180" t="s">
        <v>112</v>
      </c>
      <c r="H180" t="s">
        <v>1210</v>
      </c>
      <c r="I180" t="s">
        <v>1211</v>
      </c>
      <c r="J180" t="s">
        <v>1212</v>
      </c>
      <c r="K180" t="s">
        <v>1212</v>
      </c>
      <c r="L180" t="s">
        <v>1213</v>
      </c>
      <c r="N180" t="s">
        <v>1214</v>
      </c>
      <c r="O180" t="s">
        <v>118</v>
      </c>
      <c r="R180" t="s">
        <v>147</v>
      </c>
      <c r="S180" t="s">
        <v>214</v>
      </c>
      <c r="T180" t="s">
        <v>136</v>
      </c>
      <c r="U180" t="s">
        <v>148</v>
      </c>
      <c r="W180" t="s">
        <v>138</v>
      </c>
      <c r="X180" t="s">
        <v>139</v>
      </c>
      <c r="Y180">
        <v>0</v>
      </c>
      <c r="AI180" t="s">
        <v>127</v>
      </c>
      <c r="AM180" t="s">
        <v>150</v>
      </c>
      <c r="AS180" t="s">
        <v>127</v>
      </c>
      <c r="BG180">
        <v>110</v>
      </c>
      <c r="BM180" t="s">
        <v>129</v>
      </c>
      <c r="BN180">
        <v>0</v>
      </c>
      <c r="BT180" t="s">
        <v>140</v>
      </c>
      <c r="BU180" t="s">
        <v>128</v>
      </c>
    </row>
    <row r="181" spans="1:110" x14ac:dyDescent="0.2">
      <c r="A181" t="s">
        <v>111</v>
      </c>
      <c r="B181" t="b">
        <v>1</v>
      </c>
      <c r="C181" t="s">
        <v>128</v>
      </c>
      <c r="E181">
        <v>208</v>
      </c>
      <c r="F181" t="str">
        <f>HYPERLINK("https://portal.dnb.de/opac.htm?method=simpleSearch&amp;cqlMode=true&amp;query=idn%3D100396740X", "Portal")</f>
        <v>Portal</v>
      </c>
      <c r="G181" t="s">
        <v>207</v>
      </c>
      <c r="H181" t="s">
        <v>1215</v>
      </c>
      <c r="I181" t="s">
        <v>1216</v>
      </c>
      <c r="J181" t="s">
        <v>1217</v>
      </c>
      <c r="K181" t="s">
        <v>1217</v>
      </c>
      <c r="L181" t="s">
        <v>1218</v>
      </c>
      <c r="N181" t="s">
        <v>1219</v>
      </c>
      <c r="O181" t="s">
        <v>1220</v>
      </c>
      <c r="R181" t="s">
        <v>286</v>
      </c>
      <c r="S181" t="s">
        <v>120</v>
      </c>
      <c r="T181" t="s">
        <v>136</v>
      </c>
      <c r="U181" t="s">
        <v>716</v>
      </c>
      <c r="W181" t="s">
        <v>138</v>
      </c>
      <c r="X181" t="s">
        <v>203</v>
      </c>
      <c r="Y181">
        <v>3</v>
      </c>
      <c r="AI181" t="s">
        <v>190</v>
      </c>
      <c r="AM181" t="s">
        <v>191</v>
      </c>
      <c r="AS181" t="s">
        <v>127</v>
      </c>
      <c r="BG181" t="s">
        <v>176</v>
      </c>
      <c r="BM181" t="s">
        <v>206</v>
      </c>
      <c r="BN181">
        <v>2.5</v>
      </c>
      <c r="BT181" t="s">
        <v>140</v>
      </c>
      <c r="BU181" t="s">
        <v>128</v>
      </c>
      <c r="BY181" t="s">
        <v>1056</v>
      </c>
      <c r="CB181" t="s">
        <v>128</v>
      </c>
      <c r="CM181">
        <v>1</v>
      </c>
      <c r="CN181" t="s">
        <v>794</v>
      </c>
      <c r="CS181" t="s">
        <v>128</v>
      </c>
      <c r="CV181" t="s">
        <v>128</v>
      </c>
      <c r="DF181">
        <v>1.5</v>
      </c>
    </row>
    <row r="182" spans="1:110" x14ac:dyDescent="0.2">
      <c r="A182" t="s">
        <v>111</v>
      </c>
      <c r="B182" t="b">
        <v>1</v>
      </c>
      <c r="E182">
        <v>207</v>
      </c>
      <c r="F182" t="str">
        <f>HYPERLINK("https://portal.dnb.de/opac.htm?method=simpleSearch&amp;cqlMode=true&amp;query=idn%3D1003967558", "Portal")</f>
        <v>Portal</v>
      </c>
      <c r="G182" t="s">
        <v>207</v>
      </c>
      <c r="H182" t="s">
        <v>1221</v>
      </c>
      <c r="I182" t="s">
        <v>1222</v>
      </c>
      <c r="J182" t="s">
        <v>1217</v>
      </c>
      <c r="K182" t="s">
        <v>1217</v>
      </c>
      <c r="L182" t="s">
        <v>1223</v>
      </c>
      <c r="N182" t="s">
        <v>1219</v>
      </c>
      <c r="O182" t="s">
        <v>1224</v>
      </c>
      <c r="R182" t="s">
        <v>119</v>
      </c>
      <c r="S182" t="s">
        <v>120</v>
      </c>
      <c r="T182" t="s">
        <v>136</v>
      </c>
      <c r="U182" t="s">
        <v>148</v>
      </c>
      <c r="X182" t="s">
        <v>124</v>
      </c>
      <c r="Y182">
        <v>0</v>
      </c>
      <c r="AI182" t="s">
        <v>125</v>
      </c>
      <c r="AM182" t="s">
        <v>126</v>
      </c>
      <c r="AS182" t="s">
        <v>127</v>
      </c>
      <c r="BG182">
        <v>110</v>
      </c>
      <c r="BM182" t="s">
        <v>129</v>
      </c>
      <c r="BN182">
        <v>0</v>
      </c>
    </row>
    <row r="183" spans="1:110" x14ac:dyDescent="0.2">
      <c r="A183" t="s">
        <v>111</v>
      </c>
      <c r="B183" t="b">
        <v>1</v>
      </c>
      <c r="E183">
        <v>209</v>
      </c>
      <c r="F183" t="str">
        <f>HYPERLINK("https://portal.dnb.de/opac.htm?method=simpleSearch&amp;cqlMode=true&amp;query=idn%3D1003967639", "Portal")</f>
        <v>Portal</v>
      </c>
      <c r="G183" t="s">
        <v>207</v>
      </c>
      <c r="H183" t="s">
        <v>1225</v>
      </c>
      <c r="I183" t="s">
        <v>1226</v>
      </c>
      <c r="J183" t="s">
        <v>1217</v>
      </c>
      <c r="K183" t="s">
        <v>1217</v>
      </c>
      <c r="L183" t="s">
        <v>1227</v>
      </c>
      <c r="N183" t="s">
        <v>1219</v>
      </c>
      <c r="O183" t="s">
        <v>1228</v>
      </c>
      <c r="R183" t="s">
        <v>119</v>
      </c>
      <c r="S183" t="s">
        <v>120</v>
      </c>
      <c r="T183" t="s">
        <v>136</v>
      </c>
      <c r="U183" t="s">
        <v>148</v>
      </c>
      <c r="X183" t="s">
        <v>124</v>
      </c>
      <c r="Y183">
        <v>0</v>
      </c>
      <c r="AI183" t="s">
        <v>125</v>
      </c>
      <c r="AM183" t="s">
        <v>126</v>
      </c>
      <c r="AS183" t="s">
        <v>127</v>
      </c>
      <c r="BG183">
        <v>110</v>
      </c>
      <c r="BM183" t="s">
        <v>129</v>
      </c>
      <c r="BN183">
        <v>0</v>
      </c>
    </row>
    <row r="184" spans="1:110" x14ac:dyDescent="0.2">
      <c r="A184" t="s">
        <v>111</v>
      </c>
      <c r="B184" t="b">
        <v>1</v>
      </c>
      <c r="E184">
        <v>210</v>
      </c>
      <c r="F184" t="str">
        <f>HYPERLINK("https://portal.dnb.de/opac.htm?method=simpleSearch&amp;cqlMode=true&amp;query=idn%3D1066959102", "Portal")</f>
        <v>Portal</v>
      </c>
      <c r="G184" t="s">
        <v>163</v>
      </c>
      <c r="H184" t="s">
        <v>1229</v>
      </c>
      <c r="I184" t="s">
        <v>1230</v>
      </c>
      <c r="J184" t="s">
        <v>1231</v>
      </c>
      <c r="K184" t="s">
        <v>1231</v>
      </c>
      <c r="L184" t="s">
        <v>1232</v>
      </c>
      <c r="N184" t="s">
        <v>1233</v>
      </c>
      <c r="O184" t="s">
        <v>118</v>
      </c>
      <c r="R184" t="s">
        <v>1234</v>
      </c>
      <c r="S184" t="s">
        <v>214</v>
      </c>
      <c r="T184" t="s">
        <v>156</v>
      </c>
      <c r="X184" t="s">
        <v>124</v>
      </c>
      <c r="Y184">
        <v>0</v>
      </c>
      <c r="AI184" t="s">
        <v>149</v>
      </c>
      <c r="AM184" t="s">
        <v>126</v>
      </c>
      <c r="AS184" t="s">
        <v>127</v>
      </c>
      <c r="BG184">
        <v>180</v>
      </c>
      <c r="BM184" t="s">
        <v>129</v>
      </c>
      <c r="BN184">
        <v>0</v>
      </c>
    </row>
    <row r="185" spans="1:110" x14ac:dyDescent="0.2">
      <c r="A185" t="s">
        <v>111</v>
      </c>
      <c r="B185" t="b">
        <v>1</v>
      </c>
      <c r="E185">
        <v>211</v>
      </c>
      <c r="F185" t="str">
        <f>HYPERLINK("https://portal.dnb.de/opac.htm?method=simpleSearch&amp;cqlMode=true&amp;query=idn%3D1066963681", "Portal")</f>
        <v>Portal</v>
      </c>
      <c r="G185" t="s">
        <v>112</v>
      </c>
      <c r="H185" t="s">
        <v>1235</v>
      </c>
      <c r="I185" t="s">
        <v>1236</v>
      </c>
      <c r="J185" t="s">
        <v>1237</v>
      </c>
      <c r="K185" t="s">
        <v>1237</v>
      </c>
      <c r="L185" t="s">
        <v>1238</v>
      </c>
      <c r="N185" t="s">
        <v>1239</v>
      </c>
      <c r="O185" t="s">
        <v>118</v>
      </c>
      <c r="R185" t="s">
        <v>286</v>
      </c>
      <c r="S185" t="s">
        <v>214</v>
      </c>
      <c r="T185" t="s">
        <v>156</v>
      </c>
      <c r="U185" t="s">
        <v>148</v>
      </c>
      <c r="X185" t="s">
        <v>124</v>
      </c>
      <c r="Y185">
        <v>0</v>
      </c>
      <c r="AI185" t="s">
        <v>149</v>
      </c>
      <c r="AL185" t="s">
        <v>128</v>
      </c>
      <c r="AM185" t="s">
        <v>150</v>
      </c>
      <c r="AS185" t="s">
        <v>127</v>
      </c>
      <c r="BG185">
        <v>110</v>
      </c>
      <c r="BM185" t="s">
        <v>129</v>
      </c>
      <c r="BN185">
        <v>0</v>
      </c>
    </row>
    <row r="186" spans="1:110" x14ac:dyDescent="0.2">
      <c r="A186" t="s">
        <v>111</v>
      </c>
      <c r="B186" t="b">
        <v>1</v>
      </c>
      <c r="E186">
        <v>212</v>
      </c>
      <c r="F186" t="str">
        <f>HYPERLINK("https://portal.dnb.de/opac.htm?method=simpleSearch&amp;cqlMode=true&amp;query=idn%3D1066963258", "Portal")</f>
        <v>Portal</v>
      </c>
      <c r="G186" t="s">
        <v>112</v>
      </c>
      <c r="H186" t="s">
        <v>1240</v>
      </c>
      <c r="I186" t="s">
        <v>1241</v>
      </c>
      <c r="J186" t="s">
        <v>1242</v>
      </c>
      <c r="K186" t="s">
        <v>1242</v>
      </c>
      <c r="L186" t="s">
        <v>1243</v>
      </c>
      <c r="N186" t="s">
        <v>1244</v>
      </c>
      <c r="O186" t="s">
        <v>118</v>
      </c>
      <c r="R186" t="s">
        <v>162</v>
      </c>
      <c r="S186" t="s">
        <v>214</v>
      </c>
      <c r="T186" t="s">
        <v>156</v>
      </c>
      <c r="U186" t="s">
        <v>148</v>
      </c>
      <c r="X186" t="s">
        <v>124</v>
      </c>
      <c r="Y186">
        <v>0</v>
      </c>
      <c r="AI186" t="s">
        <v>149</v>
      </c>
      <c r="AM186" t="s">
        <v>126</v>
      </c>
      <c r="AS186" t="s">
        <v>127</v>
      </c>
      <c r="BG186">
        <v>180</v>
      </c>
      <c r="BN186">
        <v>0</v>
      </c>
    </row>
    <row r="187" spans="1:110" x14ac:dyDescent="0.2">
      <c r="A187" t="s">
        <v>111</v>
      </c>
      <c r="B187" t="b">
        <v>1</v>
      </c>
      <c r="E187">
        <v>213</v>
      </c>
      <c r="F187" t="str">
        <f>HYPERLINK("https://portal.dnb.de/opac.htm?method=simpleSearch&amp;cqlMode=true&amp;query=idn%3D1003983707", "Portal")</f>
        <v>Portal</v>
      </c>
      <c r="G187" t="s">
        <v>112</v>
      </c>
      <c r="H187" t="s">
        <v>1245</v>
      </c>
      <c r="I187" t="s">
        <v>1246</v>
      </c>
      <c r="J187" t="s">
        <v>1247</v>
      </c>
      <c r="K187" t="s">
        <v>1247</v>
      </c>
      <c r="L187" t="s">
        <v>1248</v>
      </c>
      <c r="N187" t="s">
        <v>1249</v>
      </c>
      <c r="O187" t="s">
        <v>118</v>
      </c>
      <c r="P187" t="s">
        <v>128</v>
      </c>
      <c r="R187" t="s">
        <v>147</v>
      </c>
      <c r="S187" t="s">
        <v>120</v>
      </c>
      <c r="T187" t="s">
        <v>156</v>
      </c>
      <c r="U187" t="s">
        <v>148</v>
      </c>
      <c r="X187" t="s">
        <v>124</v>
      </c>
      <c r="Y187">
        <v>0</v>
      </c>
      <c r="AI187" t="s">
        <v>127</v>
      </c>
      <c r="AM187" t="s">
        <v>126</v>
      </c>
      <c r="AS187" t="s">
        <v>127</v>
      </c>
      <c r="BG187">
        <v>180</v>
      </c>
      <c r="BM187" t="s">
        <v>129</v>
      </c>
      <c r="BN187">
        <v>0</v>
      </c>
    </row>
    <row r="188" spans="1:110" x14ac:dyDescent="0.2">
      <c r="A188" t="s">
        <v>111</v>
      </c>
      <c r="B188" t="b">
        <v>1</v>
      </c>
      <c r="E188">
        <v>214</v>
      </c>
      <c r="F188" t="str">
        <f>HYPERLINK("https://portal.dnb.de/opac.htm?method=simpleSearch&amp;cqlMode=true&amp;query=idn%3D365094137", "Portal")</f>
        <v>Portal</v>
      </c>
      <c r="G188" t="s">
        <v>112</v>
      </c>
      <c r="H188" t="s">
        <v>1250</v>
      </c>
      <c r="I188" t="s">
        <v>1251</v>
      </c>
      <c r="J188" t="s">
        <v>1252</v>
      </c>
      <c r="K188" t="s">
        <v>1252</v>
      </c>
      <c r="L188" t="s">
        <v>1253</v>
      </c>
      <c r="N188" t="s">
        <v>1254</v>
      </c>
      <c r="O188" t="s">
        <v>118</v>
      </c>
      <c r="P188" t="s">
        <v>128</v>
      </c>
      <c r="R188" t="s">
        <v>147</v>
      </c>
      <c r="S188" t="s">
        <v>120</v>
      </c>
      <c r="T188" t="s">
        <v>136</v>
      </c>
      <c r="U188" t="s">
        <v>148</v>
      </c>
      <c r="W188" t="s">
        <v>138</v>
      </c>
      <c r="X188" t="s">
        <v>139</v>
      </c>
      <c r="Y188">
        <v>0</v>
      </c>
      <c r="AI188" t="s">
        <v>127</v>
      </c>
      <c r="AM188" t="s">
        <v>126</v>
      </c>
      <c r="AS188" t="s">
        <v>127</v>
      </c>
      <c r="BG188">
        <v>110</v>
      </c>
      <c r="BM188" t="s">
        <v>129</v>
      </c>
      <c r="BN188">
        <v>0</v>
      </c>
      <c r="BT188" t="s">
        <v>140</v>
      </c>
      <c r="BU188" t="s">
        <v>128</v>
      </c>
    </row>
    <row r="189" spans="1:110" x14ac:dyDescent="0.2">
      <c r="A189" t="s">
        <v>111</v>
      </c>
      <c r="B189" t="b">
        <v>1</v>
      </c>
      <c r="E189">
        <v>215</v>
      </c>
      <c r="F189" t="str">
        <f>HYPERLINK("https://portal.dnb.de/opac.htm?method=simpleSearch&amp;cqlMode=true&amp;query=idn%3D1003889107", "Portal")</f>
        <v>Portal</v>
      </c>
      <c r="G189" t="s">
        <v>112</v>
      </c>
      <c r="H189" t="s">
        <v>1255</v>
      </c>
      <c r="I189" t="s">
        <v>1256</v>
      </c>
      <c r="J189" t="s">
        <v>1257</v>
      </c>
      <c r="K189" t="s">
        <v>1258</v>
      </c>
      <c r="L189" t="s">
        <v>1259</v>
      </c>
      <c r="N189" t="s">
        <v>1260</v>
      </c>
      <c r="O189" t="s">
        <v>118</v>
      </c>
      <c r="R189" t="s">
        <v>147</v>
      </c>
      <c r="S189" t="s">
        <v>120</v>
      </c>
      <c r="T189" t="s">
        <v>136</v>
      </c>
      <c r="X189" t="s">
        <v>124</v>
      </c>
      <c r="Y189">
        <v>0</v>
      </c>
      <c r="AI189" t="s">
        <v>149</v>
      </c>
      <c r="AM189" t="s">
        <v>126</v>
      </c>
      <c r="AS189" t="s">
        <v>127</v>
      </c>
      <c r="BG189">
        <v>110</v>
      </c>
      <c r="BM189" t="s">
        <v>129</v>
      </c>
      <c r="BN189">
        <v>0</v>
      </c>
    </row>
    <row r="190" spans="1:110" x14ac:dyDescent="0.2">
      <c r="A190" t="s">
        <v>111</v>
      </c>
      <c r="B190" t="b">
        <v>1</v>
      </c>
      <c r="E190">
        <v>217</v>
      </c>
      <c r="F190" t="str">
        <f>HYPERLINK("https://portal.dnb.de/opac.htm?method=simpleSearch&amp;cqlMode=true&amp;query=idn%3D1003866190", "Portal")</f>
        <v>Portal</v>
      </c>
      <c r="G190" t="s">
        <v>207</v>
      </c>
      <c r="H190" t="s">
        <v>1261</v>
      </c>
      <c r="I190" t="s">
        <v>1262</v>
      </c>
      <c r="J190" t="s">
        <v>1263</v>
      </c>
      <c r="K190" t="s">
        <v>1263</v>
      </c>
      <c r="L190" t="s">
        <v>1264</v>
      </c>
      <c r="N190" t="s">
        <v>1265</v>
      </c>
      <c r="O190" t="s">
        <v>1266</v>
      </c>
      <c r="R190" t="s">
        <v>188</v>
      </c>
      <c r="S190" t="s">
        <v>120</v>
      </c>
      <c r="T190" t="s">
        <v>136</v>
      </c>
      <c r="W190" t="s">
        <v>67</v>
      </c>
      <c r="X190" t="s">
        <v>175</v>
      </c>
      <c r="Y190">
        <v>0</v>
      </c>
      <c r="AI190" t="s">
        <v>190</v>
      </c>
      <c r="AJ190" t="s">
        <v>1267</v>
      </c>
      <c r="AL190" t="s">
        <v>128</v>
      </c>
      <c r="AM190" t="s">
        <v>150</v>
      </c>
      <c r="AS190" t="s">
        <v>127</v>
      </c>
      <c r="BG190">
        <v>110</v>
      </c>
      <c r="BM190" t="s">
        <v>129</v>
      </c>
      <c r="BN190">
        <v>0</v>
      </c>
      <c r="BP190" t="s">
        <v>177</v>
      </c>
      <c r="BV190" t="s">
        <v>1268</v>
      </c>
    </row>
    <row r="191" spans="1:110" x14ac:dyDescent="0.2">
      <c r="A191" t="s">
        <v>111</v>
      </c>
      <c r="B191" t="b">
        <v>1</v>
      </c>
      <c r="E191">
        <v>216</v>
      </c>
      <c r="F191" t="str">
        <f>HYPERLINK("https://portal.dnb.de/opac.htm?method=simpleSearch&amp;cqlMode=true&amp;query=idn%3D1125890789", "Portal")</f>
        <v>Portal</v>
      </c>
      <c r="G191" t="s">
        <v>207</v>
      </c>
      <c r="H191" t="s">
        <v>1269</v>
      </c>
      <c r="I191" t="s">
        <v>1270</v>
      </c>
      <c r="J191" t="s">
        <v>1263</v>
      </c>
      <c r="K191" t="s">
        <v>1263</v>
      </c>
      <c r="L191" t="s">
        <v>1271</v>
      </c>
      <c r="N191" t="s">
        <v>1265</v>
      </c>
      <c r="O191" t="s">
        <v>1272</v>
      </c>
      <c r="R191" t="s">
        <v>188</v>
      </c>
      <c r="S191" t="s">
        <v>120</v>
      </c>
      <c r="T191" t="s">
        <v>136</v>
      </c>
      <c r="U191" t="s">
        <v>364</v>
      </c>
      <c r="W191" t="s">
        <v>67</v>
      </c>
      <c r="X191" t="s">
        <v>175</v>
      </c>
      <c r="Y191">
        <v>0</v>
      </c>
      <c r="AI191" t="s">
        <v>190</v>
      </c>
      <c r="AJ191" t="s">
        <v>1273</v>
      </c>
      <c r="AM191" t="s">
        <v>150</v>
      </c>
      <c r="AS191" t="s">
        <v>127</v>
      </c>
      <c r="BG191">
        <v>45</v>
      </c>
      <c r="BM191" t="s">
        <v>129</v>
      </c>
      <c r="BN191">
        <v>0</v>
      </c>
      <c r="BP191" t="s">
        <v>177</v>
      </c>
      <c r="BV191" t="s">
        <v>1274</v>
      </c>
    </row>
    <row r="192" spans="1:110" x14ac:dyDescent="0.2">
      <c r="A192" t="s">
        <v>111</v>
      </c>
      <c r="B192" t="b">
        <v>1</v>
      </c>
      <c r="E192">
        <v>218</v>
      </c>
      <c r="F192" t="str">
        <f>HYPERLINK("https://portal.dnb.de/opac.htm?method=simpleSearch&amp;cqlMode=true&amp;query=idn%3D1003867332", "Portal")</f>
        <v>Portal</v>
      </c>
      <c r="G192" t="s">
        <v>112</v>
      </c>
      <c r="H192" t="s">
        <v>1275</v>
      </c>
      <c r="I192" t="s">
        <v>1276</v>
      </c>
      <c r="J192" t="s">
        <v>1277</v>
      </c>
      <c r="K192" t="s">
        <v>1277</v>
      </c>
      <c r="L192" t="s">
        <v>1278</v>
      </c>
      <c r="N192" t="s">
        <v>1279</v>
      </c>
      <c r="O192" t="s">
        <v>118</v>
      </c>
      <c r="R192" t="s">
        <v>119</v>
      </c>
      <c r="S192" t="s">
        <v>120</v>
      </c>
      <c r="T192" t="s">
        <v>136</v>
      </c>
      <c r="U192" t="s">
        <v>1280</v>
      </c>
      <c r="X192" t="s">
        <v>124</v>
      </c>
      <c r="Y192">
        <v>3</v>
      </c>
      <c r="AI192" t="s">
        <v>125</v>
      </c>
      <c r="AJ192" t="s">
        <v>1281</v>
      </c>
      <c r="AM192" t="s">
        <v>126</v>
      </c>
      <c r="AS192" t="s">
        <v>127</v>
      </c>
      <c r="BG192" t="s">
        <v>366</v>
      </c>
      <c r="BH192" t="s">
        <v>1282</v>
      </c>
      <c r="BM192" t="s">
        <v>129</v>
      </c>
      <c r="BN192">
        <v>0</v>
      </c>
    </row>
    <row r="193" spans="1:111" x14ac:dyDescent="0.2">
      <c r="A193" t="s">
        <v>111</v>
      </c>
      <c r="B193" t="b">
        <v>1</v>
      </c>
      <c r="E193">
        <v>219</v>
      </c>
      <c r="F193" t="str">
        <f>HYPERLINK("https://portal.dnb.de/opac.htm?method=simpleSearch&amp;cqlMode=true&amp;query=idn%3D1066799075", "Portal")</f>
        <v>Portal</v>
      </c>
      <c r="G193" t="s">
        <v>163</v>
      </c>
      <c r="H193" t="s">
        <v>1283</v>
      </c>
      <c r="I193" t="s">
        <v>1284</v>
      </c>
      <c r="J193" t="s">
        <v>1285</v>
      </c>
      <c r="K193" t="s">
        <v>1285</v>
      </c>
      <c r="L193" t="s">
        <v>1286</v>
      </c>
      <c r="N193" t="s">
        <v>1287</v>
      </c>
      <c r="O193" t="s">
        <v>118</v>
      </c>
      <c r="R193" t="s">
        <v>1025</v>
      </c>
      <c r="S193" t="s">
        <v>120</v>
      </c>
      <c r="T193" t="s">
        <v>156</v>
      </c>
      <c r="U193" t="s">
        <v>148</v>
      </c>
      <c r="W193" t="s">
        <v>138</v>
      </c>
      <c r="X193" t="s">
        <v>203</v>
      </c>
      <c r="Y193">
        <v>1</v>
      </c>
      <c r="AA193" t="s">
        <v>1288</v>
      </c>
      <c r="AI193" t="s">
        <v>125</v>
      </c>
      <c r="AM193" t="s">
        <v>126</v>
      </c>
      <c r="AS193" t="s">
        <v>127</v>
      </c>
      <c r="AZ193" t="s">
        <v>128</v>
      </c>
      <c r="BG193" t="s">
        <v>249</v>
      </c>
      <c r="BM193" t="s">
        <v>129</v>
      </c>
      <c r="BN193">
        <v>0</v>
      </c>
      <c r="BT193" t="s">
        <v>140</v>
      </c>
      <c r="BU193" t="s">
        <v>128</v>
      </c>
      <c r="BV193" t="s">
        <v>1289</v>
      </c>
      <c r="BY193" t="s">
        <v>1290</v>
      </c>
    </row>
    <row r="194" spans="1:111" x14ac:dyDescent="0.2">
      <c r="A194" t="s">
        <v>111</v>
      </c>
      <c r="B194" t="b">
        <v>1</v>
      </c>
      <c r="C194" t="s">
        <v>128</v>
      </c>
      <c r="F194" t="str">
        <f>HYPERLINK("https://portal.dnb.de/opac.htm?method=simpleSearch&amp;cqlMode=true&amp;query=idn%3D1223000702", "Portal")</f>
        <v>Portal</v>
      </c>
      <c r="G194" t="s">
        <v>157</v>
      </c>
      <c r="H194" t="s">
        <v>1291</v>
      </c>
      <c r="I194" t="s">
        <v>1292</v>
      </c>
      <c r="J194" t="s">
        <v>1293</v>
      </c>
      <c r="K194" t="s">
        <v>1293</v>
      </c>
      <c r="L194" t="s">
        <v>1293</v>
      </c>
      <c r="N194" t="s">
        <v>220</v>
      </c>
      <c r="O194" t="s">
        <v>118</v>
      </c>
      <c r="Q194" t="s">
        <v>1154</v>
      </c>
      <c r="R194" t="s">
        <v>119</v>
      </c>
      <c r="S194" t="s">
        <v>120</v>
      </c>
      <c r="T194" t="s">
        <v>136</v>
      </c>
      <c r="U194" t="s">
        <v>232</v>
      </c>
      <c r="W194" t="s">
        <v>138</v>
      </c>
      <c r="X194" t="s">
        <v>203</v>
      </c>
      <c r="Y194">
        <v>2</v>
      </c>
      <c r="AI194" t="s">
        <v>125</v>
      </c>
      <c r="AJ194" t="s">
        <v>1294</v>
      </c>
      <c r="AM194" t="s">
        <v>126</v>
      </c>
      <c r="AS194" t="s">
        <v>127</v>
      </c>
      <c r="BG194" t="s">
        <v>176</v>
      </c>
      <c r="BM194" t="s">
        <v>206</v>
      </c>
      <c r="BN194">
        <v>18</v>
      </c>
      <c r="BT194" t="s">
        <v>140</v>
      </c>
      <c r="BU194" t="s">
        <v>128</v>
      </c>
      <c r="BY194" t="s">
        <v>414</v>
      </c>
      <c r="BZ194" t="s">
        <v>128</v>
      </c>
      <c r="CB194" t="s">
        <v>128</v>
      </c>
      <c r="CD194" t="s">
        <v>296</v>
      </c>
      <c r="CM194">
        <v>5</v>
      </c>
      <c r="CN194" t="s">
        <v>1295</v>
      </c>
      <c r="CO194" t="s">
        <v>128</v>
      </c>
      <c r="CV194" t="s">
        <v>128</v>
      </c>
      <c r="CW194" t="s">
        <v>128</v>
      </c>
      <c r="CX194" t="s">
        <v>128</v>
      </c>
      <c r="CY194" t="s">
        <v>128</v>
      </c>
      <c r="DA194" t="s">
        <v>128</v>
      </c>
      <c r="DF194">
        <v>13</v>
      </c>
      <c r="DG194" t="s">
        <v>1296</v>
      </c>
    </row>
    <row r="195" spans="1:111" x14ac:dyDescent="0.2">
      <c r="A195" t="s">
        <v>111</v>
      </c>
      <c r="B195" t="b">
        <v>1</v>
      </c>
      <c r="E195">
        <v>222</v>
      </c>
      <c r="F195" t="str">
        <f>HYPERLINK("https://portal.dnb.de/opac.htm?method=simpleSearch&amp;cqlMode=true&amp;query=idn%3D1003855229", "Portal")</f>
        <v>Portal</v>
      </c>
      <c r="G195" t="s">
        <v>112</v>
      </c>
      <c r="H195" t="s">
        <v>1297</v>
      </c>
      <c r="I195" t="s">
        <v>1298</v>
      </c>
      <c r="J195" t="s">
        <v>1299</v>
      </c>
      <c r="K195" t="s">
        <v>1299</v>
      </c>
      <c r="L195" t="s">
        <v>1300</v>
      </c>
      <c r="N195" t="s">
        <v>1301</v>
      </c>
      <c r="O195" t="s">
        <v>118</v>
      </c>
      <c r="P195" t="s">
        <v>135</v>
      </c>
      <c r="R195" t="s">
        <v>188</v>
      </c>
      <c r="S195" t="s">
        <v>120</v>
      </c>
      <c r="T195" t="s">
        <v>136</v>
      </c>
      <c r="W195" t="s">
        <v>1302</v>
      </c>
      <c r="X195" t="s">
        <v>1303</v>
      </c>
      <c r="Y195">
        <v>0</v>
      </c>
      <c r="AI195" t="s">
        <v>190</v>
      </c>
      <c r="AL195" t="s">
        <v>128</v>
      </c>
      <c r="AM195" t="s">
        <v>191</v>
      </c>
      <c r="AS195" t="s">
        <v>127</v>
      </c>
      <c r="BG195">
        <v>110</v>
      </c>
      <c r="BM195" t="s">
        <v>129</v>
      </c>
      <c r="BN195">
        <v>0</v>
      </c>
      <c r="BT195" t="s">
        <v>128</v>
      </c>
      <c r="BU195" t="s">
        <v>128</v>
      </c>
      <c r="BV195" t="s">
        <v>1304</v>
      </c>
    </row>
    <row r="196" spans="1:111" x14ac:dyDescent="0.2">
      <c r="A196" t="s">
        <v>111</v>
      </c>
      <c r="B196" t="b">
        <v>1</v>
      </c>
      <c r="E196">
        <v>223</v>
      </c>
      <c r="F196" t="str">
        <f>HYPERLINK("https://portal.dnb.de/opac.htm?method=simpleSearch&amp;cqlMode=true&amp;query=idn%3D100386712X", "Portal")</f>
        <v>Portal</v>
      </c>
      <c r="G196" t="s">
        <v>112</v>
      </c>
      <c r="H196" t="s">
        <v>1305</v>
      </c>
      <c r="I196" t="s">
        <v>1306</v>
      </c>
      <c r="J196" t="s">
        <v>1307</v>
      </c>
      <c r="K196" t="s">
        <v>1307</v>
      </c>
      <c r="L196" t="s">
        <v>1308</v>
      </c>
      <c r="N196" t="s">
        <v>1309</v>
      </c>
      <c r="O196" t="s">
        <v>118</v>
      </c>
      <c r="R196" t="s">
        <v>286</v>
      </c>
      <c r="S196" t="s">
        <v>120</v>
      </c>
      <c r="T196" t="s">
        <v>136</v>
      </c>
      <c r="U196" t="s">
        <v>232</v>
      </c>
      <c r="Y196">
        <v>0</v>
      </c>
      <c r="AI196" t="s">
        <v>149</v>
      </c>
      <c r="AL196" t="s">
        <v>128</v>
      </c>
      <c r="AM196" t="s">
        <v>150</v>
      </c>
      <c r="AS196" t="s">
        <v>127</v>
      </c>
      <c r="BG196" t="s">
        <v>176</v>
      </c>
      <c r="BM196" t="s">
        <v>129</v>
      </c>
      <c r="BN196">
        <v>0</v>
      </c>
    </row>
    <row r="197" spans="1:111" x14ac:dyDescent="0.2">
      <c r="A197" t="s">
        <v>111</v>
      </c>
      <c r="B197" t="b">
        <v>1</v>
      </c>
      <c r="E197">
        <v>224</v>
      </c>
      <c r="F197" t="str">
        <f>HYPERLINK("https://portal.dnb.de/opac.htm?method=simpleSearch&amp;cqlMode=true&amp;query=idn%3D1003921965", "Portal")</f>
        <v>Portal</v>
      </c>
      <c r="G197" t="s">
        <v>112</v>
      </c>
      <c r="H197" t="s">
        <v>1310</v>
      </c>
      <c r="I197" t="s">
        <v>1311</v>
      </c>
      <c r="J197" t="s">
        <v>1312</v>
      </c>
      <c r="K197" t="s">
        <v>1312</v>
      </c>
      <c r="L197" t="s">
        <v>1313</v>
      </c>
      <c r="N197" t="s">
        <v>1314</v>
      </c>
      <c r="O197" t="s">
        <v>118</v>
      </c>
      <c r="R197" t="s">
        <v>1315</v>
      </c>
      <c r="S197" t="s">
        <v>120</v>
      </c>
      <c r="T197" t="s">
        <v>121</v>
      </c>
      <c r="U197" t="s">
        <v>148</v>
      </c>
      <c r="W197" t="s">
        <v>68</v>
      </c>
      <c r="X197" t="s">
        <v>606</v>
      </c>
      <c r="Y197">
        <v>1</v>
      </c>
      <c r="AA197" t="s">
        <v>1316</v>
      </c>
      <c r="AI197" t="s">
        <v>621</v>
      </c>
      <c r="AJ197" t="s">
        <v>1317</v>
      </c>
      <c r="AM197" t="s">
        <v>150</v>
      </c>
      <c r="AS197" t="s">
        <v>127</v>
      </c>
      <c r="BB197" t="s">
        <v>128</v>
      </c>
      <c r="BD197" t="s">
        <v>128</v>
      </c>
      <c r="BG197">
        <v>45</v>
      </c>
      <c r="BM197" t="s">
        <v>129</v>
      </c>
      <c r="BN197">
        <v>0</v>
      </c>
      <c r="BQ197" t="s">
        <v>193</v>
      </c>
      <c r="BT197" t="s">
        <v>1318</v>
      </c>
      <c r="BV197" t="s">
        <v>1319</v>
      </c>
    </row>
    <row r="198" spans="1:111" x14ac:dyDescent="0.2">
      <c r="A198" t="s">
        <v>111</v>
      </c>
      <c r="B198" t="b">
        <v>1</v>
      </c>
      <c r="E198">
        <v>226</v>
      </c>
      <c r="F198" t="str">
        <f>HYPERLINK("https://portal.dnb.de/opac.htm?method=simpleSearch&amp;cqlMode=true&amp;query=idn%3D1066963134", "Portal")</f>
        <v>Portal</v>
      </c>
      <c r="G198" t="s">
        <v>112</v>
      </c>
      <c r="H198" t="s">
        <v>1320</v>
      </c>
      <c r="I198" t="s">
        <v>1321</v>
      </c>
      <c r="J198" t="s">
        <v>1322</v>
      </c>
      <c r="K198" t="s">
        <v>1322</v>
      </c>
      <c r="L198" t="s">
        <v>1323</v>
      </c>
      <c r="N198" t="s">
        <v>1324</v>
      </c>
      <c r="O198" t="s">
        <v>118</v>
      </c>
      <c r="R198" t="s">
        <v>286</v>
      </c>
      <c r="S198" t="s">
        <v>120</v>
      </c>
      <c r="T198" t="s">
        <v>121</v>
      </c>
      <c r="U198" t="s">
        <v>137</v>
      </c>
      <c r="W198" t="s">
        <v>138</v>
      </c>
      <c r="X198" t="s">
        <v>203</v>
      </c>
      <c r="Y198">
        <v>2</v>
      </c>
      <c r="AI198" t="s">
        <v>338</v>
      </c>
      <c r="AM198" t="s">
        <v>191</v>
      </c>
      <c r="AS198" t="s">
        <v>127</v>
      </c>
      <c r="BG198">
        <v>110</v>
      </c>
      <c r="BM198" t="s">
        <v>129</v>
      </c>
      <c r="BN198">
        <v>0</v>
      </c>
      <c r="BT198" t="s">
        <v>140</v>
      </c>
      <c r="BU198" t="s">
        <v>128</v>
      </c>
      <c r="BY198" t="s">
        <v>141</v>
      </c>
    </row>
    <row r="199" spans="1:111" x14ac:dyDescent="0.2">
      <c r="A199" t="s">
        <v>111</v>
      </c>
      <c r="B199" t="b">
        <v>1</v>
      </c>
      <c r="F199" t="str">
        <f>HYPERLINK("https://portal.dnb.de/opac.htm?method=simpleSearch&amp;cqlMode=true&amp;query=idn%3D1137965673", "Portal")</f>
        <v>Portal</v>
      </c>
      <c r="G199" t="s">
        <v>157</v>
      </c>
      <c r="H199" t="s">
        <v>1325</v>
      </c>
      <c r="I199" t="s">
        <v>1326</v>
      </c>
      <c r="J199" t="s">
        <v>1327</v>
      </c>
      <c r="K199" t="s">
        <v>1327</v>
      </c>
      <c r="L199" t="s">
        <v>1327</v>
      </c>
      <c r="N199" t="s">
        <v>1328</v>
      </c>
      <c r="O199" t="s">
        <v>118</v>
      </c>
      <c r="R199" t="s">
        <v>188</v>
      </c>
      <c r="S199" t="s">
        <v>120</v>
      </c>
      <c r="T199" t="s">
        <v>136</v>
      </c>
      <c r="U199" t="s">
        <v>997</v>
      </c>
      <c r="V199" t="s">
        <v>123</v>
      </c>
      <c r="W199" t="s">
        <v>138</v>
      </c>
      <c r="X199" t="s">
        <v>203</v>
      </c>
      <c r="Y199">
        <v>0</v>
      </c>
      <c r="AI199" t="s">
        <v>469</v>
      </c>
      <c r="AM199" t="s">
        <v>191</v>
      </c>
      <c r="AS199" t="s">
        <v>127</v>
      </c>
      <c r="BG199">
        <v>110</v>
      </c>
      <c r="BM199" t="s">
        <v>129</v>
      </c>
      <c r="BN199">
        <v>0</v>
      </c>
      <c r="BT199" t="s">
        <v>140</v>
      </c>
      <c r="BU199" t="s">
        <v>128</v>
      </c>
    </row>
    <row r="200" spans="1:111" x14ac:dyDescent="0.2">
      <c r="A200" t="s">
        <v>111</v>
      </c>
      <c r="B200" t="b">
        <v>1</v>
      </c>
      <c r="E200">
        <v>230</v>
      </c>
      <c r="F200" t="str">
        <f>HYPERLINK("https://portal.dnb.de/opac.htm?method=simpleSearch&amp;cqlMode=true&amp;query=idn%3D1003965652", "Portal")</f>
        <v>Portal</v>
      </c>
      <c r="G200" t="s">
        <v>112</v>
      </c>
      <c r="H200" t="s">
        <v>1329</v>
      </c>
      <c r="I200" t="s">
        <v>1330</v>
      </c>
      <c r="J200" t="s">
        <v>1331</v>
      </c>
      <c r="K200" t="s">
        <v>1331</v>
      </c>
      <c r="L200" t="s">
        <v>1332</v>
      </c>
      <c r="M200" t="s">
        <v>1333</v>
      </c>
      <c r="N200" t="s">
        <v>1334</v>
      </c>
      <c r="O200" t="s">
        <v>118</v>
      </c>
      <c r="R200" t="s">
        <v>188</v>
      </c>
      <c r="S200" t="s">
        <v>120</v>
      </c>
      <c r="T200" t="s">
        <v>136</v>
      </c>
      <c r="U200" t="s">
        <v>137</v>
      </c>
      <c r="W200" t="s">
        <v>138</v>
      </c>
      <c r="X200" t="s">
        <v>203</v>
      </c>
      <c r="Y200">
        <v>0</v>
      </c>
      <c r="AI200" t="s">
        <v>190</v>
      </c>
      <c r="AM200" t="s">
        <v>126</v>
      </c>
      <c r="AS200" t="s">
        <v>127</v>
      </c>
      <c r="BG200">
        <v>80</v>
      </c>
      <c r="BM200" t="s">
        <v>129</v>
      </c>
      <c r="BN200">
        <v>0</v>
      </c>
      <c r="BT200" t="s">
        <v>140</v>
      </c>
      <c r="BU200" t="s">
        <v>128</v>
      </c>
      <c r="BY200" t="s">
        <v>352</v>
      </c>
    </row>
    <row r="201" spans="1:111" x14ac:dyDescent="0.2">
      <c r="A201" t="s">
        <v>111</v>
      </c>
      <c r="B201" t="b">
        <v>1</v>
      </c>
      <c r="E201">
        <v>231</v>
      </c>
      <c r="F201" t="str">
        <f>HYPERLINK("https://portal.dnb.de/opac.htm?method=simpleSearch&amp;cqlMode=true&amp;query=idn%3D1003919650", "Portal")</f>
        <v>Portal</v>
      </c>
      <c r="G201" t="s">
        <v>112</v>
      </c>
      <c r="H201" t="s">
        <v>1335</v>
      </c>
      <c r="I201" t="s">
        <v>1336</v>
      </c>
      <c r="J201" t="s">
        <v>1337</v>
      </c>
      <c r="K201" t="s">
        <v>1337</v>
      </c>
      <c r="L201" t="s">
        <v>1338</v>
      </c>
      <c r="N201" t="s">
        <v>1339</v>
      </c>
      <c r="O201" t="s">
        <v>118</v>
      </c>
      <c r="R201" t="s">
        <v>119</v>
      </c>
      <c r="S201" t="s">
        <v>120</v>
      </c>
      <c r="T201" t="s">
        <v>156</v>
      </c>
      <c r="U201" t="s">
        <v>232</v>
      </c>
      <c r="W201" t="s">
        <v>138</v>
      </c>
      <c r="X201" t="s">
        <v>203</v>
      </c>
      <c r="Y201">
        <v>0</v>
      </c>
      <c r="AI201" t="s">
        <v>125</v>
      </c>
      <c r="AJ201" t="s">
        <v>1340</v>
      </c>
      <c r="AM201" t="s">
        <v>126</v>
      </c>
      <c r="AS201" t="s">
        <v>127</v>
      </c>
      <c r="BG201">
        <v>110</v>
      </c>
      <c r="BM201" t="s">
        <v>129</v>
      </c>
      <c r="BN201">
        <v>0</v>
      </c>
      <c r="BT201" t="s">
        <v>140</v>
      </c>
      <c r="BU201" t="s">
        <v>128</v>
      </c>
      <c r="BY201" t="s">
        <v>1341</v>
      </c>
    </row>
    <row r="202" spans="1:111" x14ac:dyDescent="0.2">
      <c r="A202" t="s">
        <v>111</v>
      </c>
      <c r="B202" t="b">
        <v>1</v>
      </c>
      <c r="E202">
        <v>232</v>
      </c>
      <c r="F202" t="str">
        <f>HYPERLINK("https://portal.dnb.de/opac.htm?method=simpleSearch&amp;cqlMode=true&amp;query=idn%3D1003922198", "Portal")</f>
        <v>Portal</v>
      </c>
      <c r="G202" t="s">
        <v>112</v>
      </c>
      <c r="H202" t="s">
        <v>1342</v>
      </c>
      <c r="I202" t="s">
        <v>1343</v>
      </c>
      <c r="J202" t="s">
        <v>1344</v>
      </c>
      <c r="K202" t="s">
        <v>1344</v>
      </c>
      <c r="L202" t="s">
        <v>1345</v>
      </c>
      <c r="N202" t="s">
        <v>1346</v>
      </c>
      <c r="O202" t="s">
        <v>118</v>
      </c>
      <c r="P202" t="s">
        <v>135</v>
      </c>
      <c r="R202" t="s">
        <v>618</v>
      </c>
      <c r="S202" t="s">
        <v>120</v>
      </c>
      <c r="T202" t="s">
        <v>136</v>
      </c>
      <c r="U202" t="s">
        <v>137</v>
      </c>
      <c r="W202" t="s">
        <v>138</v>
      </c>
      <c r="X202" t="s">
        <v>203</v>
      </c>
      <c r="Y202">
        <v>0</v>
      </c>
      <c r="AI202" t="s">
        <v>621</v>
      </c>
      <c r="AJ202" t="s">
        <v>1347</v>
      </c>
      <c r="AM202" t="s">
        <v>191</v>
      </c>
      <c r="AS202" t="s">
        <v>127</v>
      </c>
      <c r="BG202" t="s">
        <v>176</v>
      </c>
      <c r="BM202" t="s">
        <v>129</v>
      </c>
      <c r="BN202">
        <v>0</v>
      </c>
      <c r="BT202" t="s">
        <v>128</v>
      </c>
      <c r="BV202" t="s">
        <v>1348</v>
      </c>
      <c r="BY202" t="s">
        <v>1349</v>
      </c>
    </row>
    <row r="203" spans="1:111" x14ac:dyDescent="0.2">
      <c r="A203" t="s">
        <v>111</v>
      </c>
      <c r="B203" t="b">
        <v>1</v>
      </c>
      <c r="E203">
        <v>233</v>
      </c>
      <c r="F203" t="str">
        <f>HYPERLINK("https://portal.dnb.de/opac.htm?method=simpleSearch&amp;cqlMode=true&amp;query=idn%3D1003915280", "Portal")</f>
        <v>Portal</v>
      </c>
      <c r="G203" t="s">
        <v>112</v>
      </c>
      <c r="H203" t="s">
        <v>1350</v>
      </c>
      <c r="I203" t="s">
        <v>1351</v>
      </c>
      <c r="J203" t="s">
        <v>1352</v>
      </c>
      <c r="K203" t="s">
        <v>1352</v>
      </c>
      <c r="L203" t="s">
        <v>1353</v>
      </c>
      <c r="N203" t="s">
        <v>1354</v>
      </c>
      <c r="O203" t="s">
        <v>118</v>
      </c>
      <c r="R203" t="s">
        <v>188</v>
      </c>
      <c r="S203" t="s">
        <v>120</v>
      </c>
      <c r="T203" t="s">
        <v>121</v>
      </c>
      <c r="U203" t="s">
        <v>1355</v>
      </c>
      <c r="W203" t="s">
        <v>138</v>
      </c>
      <c r="X203" t="s">
        <v>203</v>
      </c>
      <c r="Y203">
        <v>3</v>
      </c>
      <c r="AI203" t="s">
        <v>190</v>
      </c>
      <c r="AM203" t="s">
        <v>204</v>
      </c>
      <c r="AS203" t="s">
        <v>127</v>
      </c>
      <c r="BG203">
        <v>45</v>
      </c>
      <c r="BM203" t="s">
        <v>129</v>
      </c>
      <c r="BN203">
        <v>0</v>
      </c>
      <c r="BT203" t="s">
        <v>140</v>
      </c>
      <c r="BU203" t="s">
        <v>128</v>
      </c>
      <c r="BY203" t="s">
        <v>1356</v>
      </c>
    </row>
    <row r="204" spans="1:111" x14ac:dyDescent="0.2">
      <c r="A204" t="s">
        <v>111</v>
      </c>
      <c r="B204" t="b">
        <v>1</v>
      </c>
      <c r="E204">
        <v>234</v>
      </c>
      <c r="F204" t="str">
        <f>HYPERLINK("https://portal.dnb.de/opac.htm?method=simpleSearch&amp;cqlMode=true&amp;query=idn%3D1003963382", "Portal")</f>
        <v>Portal</v>
      </c>
      <c r="G204" t="s">
        <v>112</v>
      </c>
      <c r="H204" t="s">
        <v>1357</v>
      </c>
      <c r="I204" t="s">
        <v>1358</v>
      </c>
      <c r="J204" t="s">
        <v>1359</v>
      </c>
      <c r="K204" t="s">
        <v>1359</v>
      </c>
      <c r="L204" t="s">
        <v>1360</v>
      </c>
      <c r="N204" t="s">
        <v>1361</v>
      </c>
      <c r="O204" t="s">
        <v>118</v>
      </c>
      <c r="R204" t="s">
        <v>286</v>
      </c>
      <c r="S204" t="s">
        <v>120</v>
      </c>
      <c r="T204" t="s">
        <v>121</v>
      </c>
      <c r="U204" t="s">
        <v>364</v>
      </c>
      <c r="W204" t="s">
        <v>365</v>
      </c>
      <c r="X204" t="s">
        <v>203</v>
      </c>
      <c r="Y204">
        <v>0</v>
      </c>
      <c r="AH204" t="s">
        <v>128</v>
      </c>
      <c r="AI204" t="s">
        <v>190</v>
      </c>
      <c r="AL204" t="s">
        <v>128</v>
      </c>
      <c r="AM204" t="s">
        <v>204</v>
      </c>
      <c r="AS204" t="s">
        <v>127</v>
      </c>
      <c r="AX204" t="s">
        <v>470</v>
      </c>
      <c r="BE204">
        <v>0</v>
      </c>
      <c r="BF204" t="s">
        <v>128</v>
      </c>
      <c r="BG204">
        <v>80</v>
      </c>
      <c r="BM204" t="s">
        <v>129</v>
      </c>
      <c r="BN204">
        <v>0</v>
      </c>
      <c r="BS204" t="s">
        <v>140</v>
      </c>
      <c r="BT204" t="s">
        <v>140</v>
      </c>
      <c r="BU204" t="s">
        <v>128</v>
      </c>
    </row>
    <row r="205" spans="1:111" x14ac:dyDescent="0.2">
      <c r="A205" t="s">
        <v>111</v>
      </c>
      <c r="B205" t="b">
        <v>1</v>
      </c>
      <c r="E205">
        <v>235</v>
      </c>
      <c r="F205" t="str">
        <f>HYPERLINK("https://portal.dnb.de/opac.htm?method=simpleSearch&amp;cqlMode=true&amp;query=idn%3D1066870926", "Portal")</f>
        <v>Portal</v>
      </c>
      <c r="G205" t="s">
        <v>163</v>
      </c>
      <c r="H205" t="s">
        <v>1362</v>
      </c>
      <c r="I205" t="s">
        <v>1363</v>
      </c>
      <c r="J205" t="s">
        <v>1364</v>
      </c>
      <c r="K205" t="s">
        <v>1364</v>
      </c>
      <c r="L205" t="s">
        <v>1365</v>
      </c>
      <c r="N205" t="s">
        <v>1366</v>
      </c>
      <c r="O205" t="s">
        <v>118</v>
      </c>
      <c r="R205" t="s">
        <v>467</v>
      </c>
      <c r="S205" t="s">
        <v>120</v>
      </c>
      <c r="T205" t="s">
        <v>121</v>
      </c>
      <c r="U205" t="s">
        <v>378</v>
      </c>
      <c r="W205" t="s">
        <v>67</v>
      </c>
      <c r="X205" t="s">
        <v>175</v>
      </c>
      <c r="Y205">
        <v>0</v>
      </c>
      <c r="AI205" t="s">
        <v>190</v>
      </c>
      <c r="AL205" t="s">
        <v>128</v>
      </c>
      <c r="AM205" t="s">
        <v>191</v>
      </c>
      <c r="AS205" t="s">
        <v>127</v>
      </c>
      <c r="AX205" t="s">
        <v>128</v>
      </c>
      <c r="BE205">
        <v>2</v>
      </c>
      <c r="BG205">
        <v>110</v>
      </c>
      <c r="BI205" t="s">
        <v>128</v>
      </c>
      <c r="BJ205" t="s">
        <v>1367</v>
      </c>
      <c r="BK205" t="s">
        <v>128</v>
      </c>
      <c r="BM205" t="s">
        <v>129</v>
      </c>
      <c r="BN205">
        <v>0</v>
      </c>
      <c r="BP205" t="s">
        <v>177</v>
      </c>
      <c r="BW205" t="s">
        <v>525</v>
      </c>
    </row>
    <row r="206" spans="1:111" x14ac:dyDescent="0.2">
      <c r="A206" t="s">
        <v>111</v>
      </c>
      <c r="B206" t="b">
        <v>1</v>
      </c>
      <c r="E206">
        <v>236</v>
      </c>
      <c r="F206" t="str">
        <f>HYPERLINK("https://portal.dnb.de/opac.htm?method=simpleSearch&amp;cqlMode=true&amp;query=idn%3D1003968511", "Portal")</f>
        <v>Portal</v>
      </c>
      <c r="G206" t="s">
        <v>112</v>
      </c>
      <c r="H206" t="s">
        <v>1368</v>
      </c>
      <c r="I206" t="s">
        <v>1369</v>
      </c>
      <c r="J206" t="s">
        <v>1370</v>
      </c>
      <c r="K206" t="s">
        <v>1370</v>
      </c>
      <c r="L206" t="s">
        <v>1371</v>
      </c>
      <c r="N206" t="s">
        <v>1372</v>
      </c>
      <c r="O206" t="s">
        <v>118</v>
      </c>
      <c r="R206" t="s">
        <v>119</v>
      </c>
      <c r="S206" t="s">
        <v>120</v>
      </c>
      <c r="T206" t="s">
        <v>136</v>
      </c>
      <c r="U206" t="s">
        <v>148</v>
      </c>
      <c r="W206" t="s">
        <v>138</v>
      </c>
      <c r="X206" t="s">
        <v>203</v>
      </c>
      <c r="Y206">
        <v>1</v>
      </c>
      <c r="AH206" t="s">
        <v>128</v>
      </c>
      <c r="AI206" t="s">
        <v>125</v>
      </c>
      <c r="AM206" t="s">
        <v>126</v>
      </c>
      <c r="AS206" t="s">
        <v>127</v>
      </c>
      <c r="BG206" t="s">
        <v>176</v>
      </c>
      <c r="BM206" t="s">
        <v>129</v>
      </c>
      <c r="BN206">
        <v>0</v>
      </c>
      <c r="BT206" t="s">
        <v>140</v>
      </c>
      <c r="BU206" t="s">
        <v>128</v>
      </c>
      <c r="BV206" t="s">
        <v>1373</v>
      </c>
    </row>
    <row r="207" spans="1:111" x14ac:dyDescent="0.2">
      <c r="A207" t="s">
        <v>111</v>
      </c>
      <c r="B207" t="b">
        <v>1</v>
      </c>
      <c r="E207">
        <v>237</v>
      </c>
      <c r="F207" t="str">
        <f>HYPERLINK("https://portal.dnb.de/opac.htm?method=simpleSearch&amp;cqlMode=true&amp;query=idn%3D1003925723", "Portal")</f>
        <v>Portal</v>
      </c>
      <c r="G207" t="s">
        <v>207</v>
      </c>
      <c r="H207" t="s">
        <v>1374</v>
      </c>
      <c r="I207" t="s">
        <v>1375</v>
      </c>
      <c r="J207" t="s">
        <v>1376</v>
      </c>
      <c r="K207" t="s">
        <v>1376</v>
      </c>
      <c r="L207" t="s">
        <v>1377</v>
      </c>
      <c r="N207" t="s">
        <v>1378</v>
      </c>
      <c r="O207" t="s">
        <v>1379</v>
      </c>
      <c r="R207" t="s">
        <v>618</v>
      </c>
      <c r="S207" t="s">
        <v>120</v>
      </c>
      <c r="T207" t="s">
        <v>136</v>
      </c>
      <c r="W207" t="s">
        <v>138</v>
      </c>
      <c r="X207" t="s">
        <v>139</v>
      </c>
      <c r="Y207">
        <v>0</v>
      </c>
      <c r="AI207" t="s">
        <v>621</v>
      </c>
      <c r="AM207" t="s">
        <v>150</v>
      </c>
      <c r="AS207" t="s">
        <v>127</v>
      </c>
      <c r="BG207">
        <v>180</v>
      </c>
      <c r="BM207" t="s">
        <v>129</v>
      </c>
      <c r="BN207">
        <v>0</v>
      </c>
      <c r="BT207" t="s">
        <v>140</v>
      </c>
      <c r="BU207" t="s">
        <v>128</v>
      </c>
    </row>
    <row r="208" spans="1:111" x14ac:dyDescent="0.2">
      <c r="A208" t="s">
        <v>111</v>
      </c>
      <c r="B208" t="b">
        <v>1</v>
      </c>
      <c r="E208">
        <v>238</v>
      </c>
      <c r="F208" t="str">
        <f>HYPERLINK("https://portal.dnb.de/opac.htm?method=simpleSearch&amp;cqlMode=true&amp;query=idn%3D1003921752", "Portal")</f>
        <v>Portal</v>
      </c>
      <c r="G208" t="s">
        <v>207</v>
      </c>
      <c r="H208" t="s">
        <v>1380</v>
      </c>
      <c r="I208" t="s">
        <v>1381</v>
      </c>
      <c r="J208" t="s">
        <v>1382</v>
      </c>
      <c r="K208" t="s">
        <v>1382</v>
      </c>
      <c r="L208" t="s">
        <v>1383</v>
      </c>
      <c r="N208" t="s">
        <v>1384</v>
      </c>
      <c r="O208" t="s">
        <v>1385</v>
      </c>
      <c r="R208" t="s">
        <v>618</v>
      </c>
      <c r="S208" t="s">
        <v>120</v>
      </c>
      <c r="T208" t="s">
        <v>136</v>
      </c>
      <c r="W208" t="s">
        <v>138</v>
      </c>
      <c r="X208" t="s">
        <v>139</v>
      </c>
      <c r="Y208">
        <v>0</v>
      </c>
      <c r="AI208" t="s">
        <v>621</v>
      </c>
      <c r="AJ208" t="s">
        <v>1386</v>
      </c>
      <c r="AM208" t="s">
        <v>191</v>
      </c>
      <c r="AS208" t="s">
        <v>127</v>
      </c>
      <c r="BG208">
        <v>80</v>
      </c>
      <c r="BM208" t="s">
        <v>129</v>
      </c>
      <c r="BN208">
        <v>0</v>
      </c>
      <c r="BT208" t="s">
        <v>140</v>
      </c>
      <c r="BU208" t="s">
        <v>128</v>
      </c>
      <c r="BV208" t="s">
        <v>1387</v>
      </c>
      <c r="BY208" t="s">
        <v>1388</v>
      </c>
    </row>
    <row r="209" spans="1:92" x14ac:dyDescent="0.2">
      <c r="A209" t="s">
        <v>111</v>
      </c>
      <c r="B209" t="b">
        <v>1</v>
      </c>
      <c r="F209" t="str">
        <f>HYPERLINK("https://portal.dnb.de/opac.htm?method=simpleSearch&amp;cqlMode=true&amp;query=idn%3D019005725", "Portal")</f>
        <v>Portal</v>
      </c>
      <c r="H209" t="s">
        <v>1389</v>
      </c>
      <c r="I209" t="s">
        <v>1390</v>
      </c>
      <c r="K209" t="s">
        <v>1382</v>
      </c>
      <c r="L209" t="s">
        <v>1382</v>
      </c>
      <c r="N209" t="s">
        <v>1391</v>
      </c>
      <c r="O209" t="s">
        <v>118</v>
      </c>
    </row>
    <row r="210" spans="1:92" x14ac:dyDescent="0.2">
      <c r="A210" t="s">
        <v>111</v>
      </c>
      <c r="B210" t="b">
        <v>1</v>
      </c>
      <c r="F210" t="str">
        <f>HYPERLINK("https://portal.dnb.de/opac.htm?method=simpleSearch&amp;cqlMode=true&amp;query=idn%3D011221712", "Portal")</f>
        <v>Portal</v>
      </c>
      <c r="H210" t="s">
        <v>1392</v>
      </c>
      <c r="I210" t="s">
        <v>1393</v>
      </c>
      <c r="K210" t="s">
        <v>1394</v>
      </c>
      <c r="L210" t="s">
        <v>1394</v>
      </c>
      <c r="N210" t="s">
        <v>1395</v>
      </c>
      <c r="O210" t="s">
        <v>118</v>
      </c>
    </row>
    <row r="211" spans="1:92" x14ac:dyDescent="0.2">
      <c r="A211" t="s">
        <v>111</v>
      </c>
      <c r="B211" t="b">
        <v>1</v>
      </c>
      <c r="E211">
        <v>241</v>
      </c>
      <c r="F211" t="str">
        <f>HYPERLINK("https://portal.dnb.de/opac.htm?method=simpleSearch&amp;cqlMode=true&amp;query=idn%3D1003804497", "Portal")</f>
        <v>Portal</v>
      </c>
      <c r="G211" t="s">
        <v>207</v>
      </c>
      <c r="H211" t="s">
        <v>1396</v>
      </c>
      <c r="I211" t="s">
        <v>1397</v>
      </c>
      <c r="J211" t="s">
        <v>1398</v>
      </c>
      <c r="K211" t="s">
        <v>1398</v>
      </c>
      <c r="L211" t="s">
        <v>1399</v>
      </c>
      <c r="N211" t="s">
        <v>1400</v>
      </c>
      <c r="O211" t="s">
        <v>1401</v>
      </c>
      <c r="S211" t="s">
        <v>120</v>
      </c>
      <c r="AI211" t="s">
        <v>127</v>
      </c>
      <c r="AM211" t="s">
        <v>150</v>
      </c>
      <c r="AS211" t="s">
        <v>127</v>
      </c>
      <c r="BG211" t="s">
        <v>176</v>
      </c>
      <c r="BM211" t="s">
        <v>129</v>
      </c>
      <c r="BN211">
        <v>0</v>
      </c>
      <c r="BT211" t="s">
        <v>140</v>
      </c>
      <c r="BU211" t="s">
        <v>128</v>
      </c>
      <c r="BV211" t="s">
        <v>1402</v>
      </c>
      <c r="BY211" t="s">
        <v>1403</v>
      </c>
    </row>
    <row r="212" spans="1:92" x14ac:dyDescent="0.2">
      <c r="A212" t="s">
        <v>111</v>
      </c>
      <c r="B212" t="b">
        <v>1</v>
      </c>
      <c r="E212">
        <v>242</v>
      </c>
      <c r="F212" t="str">
        <f>HYPERLINK("https://portal.dnb.de/opac.htm?method=simpleSearch&amp;cqlMode=true&amp;query=idn%3D1003924220", "Portal")</f>
        <v>Portal</v>
      </c>
      <c r="G212" t="s">
        <v>207</v>
      </c>
      <c r="H212" t="s">
        <v>1404</v>
      </c>
      <c r="I212" t="s">
        <v>1405</v>
      </c>
      <c r="J212" t="s">
        <v>1406</v>
      </c>
      <c r="K212" t="s">
        <v>1406</v>
      </c>
      <c r="L212" t="s">
        <v>1407</v>
      </c>
      <c r="N212" t="s">
        <v>1408</v>
      </c>
      <c r="O212" t="s">
        <v>1409</v>
      </c>
      <c r="R212" t="s">
        <v>188</v>
      </c>
      <c r="S212" t="s">
        <v>120</v>
      </c>
      <c r="T212" t="s">
        <v>156</v>
      </c>
      <c r="U212" t="s">
        <v>148</v>
      </c>
      <c r="W212" t="s">
        <v>67</v>
      </c>
      <c r="X212" t="s">
        <v>175</v>
      </c>
      <c r="Y212">
        <v>2</v>
      </c>
      <c r="AH212" t="s">
        <v>128</v>
      </c>
      <c r="AI212" t="s">
        <v>190</v>
      </c>
      <c r="AM212" t="s">
        <v>150</v>
      </c>
      <c r="AS212" t="s">
        <v>127</v>
      </c>
      <c r="BG212" t="s">
        <v>249</v>
      </c>
      <c r="BH212" t="s">
        <v>1410</v>
      </c>
      <c r="BM212" t="s">
        <v>129</v>
      </c>
      <c r="BN212">
        <v>0</v>
      </c>
      <c r="BP212" t="s">
        <v>177</v>
      </c>
    </row>
    <row r="213" spans="1:92" x14ac:dyDescent="0.2">
      <c r="A213" t="s">
        <v>111</v>
      </c>
      <c r="B213" t="b">
        <v>1</v>
      </c>
      <c r="E213">
        <v>243</v>
      </c>
      <c r="F213" t="str">
        <f>HYPERLINK("https://portal.dnb.de/opac.htm?method=simpleSearch&amp;cqlMode=true&amp;query=idn%3D1126761974", "Portal")</f>
        <v>Portal</v>
      </c>
      <c r="G213" t="s">
        <v>207</v>
      </c>
      <c r="H213" t="s">
        <v>1411</v>
      </c>
      <c r="I213" t="s">
        <v>1412</v>
      </c>
      <c r="J213" t="s">
        <v>1406</v>
      </c>
      <c r="K213" t="s">
        <v>1406</v>
      </c>
      <c r="L213" t="s">
        <v>1413</v>
      </c>
      <c r="N213" t="s">
        <v>1408</v>
      </c>
      <c r="O213" t="s">
        <v>1414</v>
      </c>
      <c r="R213" t="s">
        <v>188</v>
      </c>
      <c r="S213" t="s">
        <v>120</v>
      </c>
      <c r="T213" t="s">
        <v>136</v>
      </c>
      <c r="U213" t="s">
        <v>1415</v>
      </c>
      <c r="W213" t="s">
        <v>138</v>
      </c>
      <c r="X213" t="s">
        <v>139</v>
      </c>
      <c r="Y213">
        <v>3</v>
      </c>
      <c r="AH213" t="s">
        <v>128</v>
      </c>
      <c r="AI213" t="s">
        <v>190</v>
      </c>
      <c r="AM213" t="s">
        <v>150</v>
      </c>
      <c r="AS213" t="s">
        <v>127</v>
      </c>
      <c r="BG213">
        <v>110</v>
      </c>
      <c r="BM213" t="s">
        <v>129</v>
      </c>
      <c r="BN213">
        <v>0</v>
      </c>
      <c r="BT213" t="s">
        <v>140</v>
      </c>
      <c r="BU213" t="s">
        <v>128</v>
      </c>
      <c r="BY213" t="s">
        <v>1416</v>
      </c>
    </row>
    <row r="214" spans="1:92" x14ac:dyDescent="0.2">
      <c r="A214" t="s">
        <v>111</v>
      </c>
      <c r="B214" t="b">
        <v>1</v>
      </c>
      <c r="E214">
        <v>244</v>
      </c>
      <c r="F214" t="str">
        <f>HYPERLINK("https://portal.dnb.de/opac.htm?method=simpleSearch&amp;cqlMode=true&amp;query=idn%3D1126762180", "Portal")</f>
        <v>Portal</v>
      </c>
      <c r="G214" t="s">
        <v>207</v>
      </c>
      <c r="H214" t="s">
        <v>1417</v>
      </c>
      <c r="I214" t="s">
        <v>1418</v>
      </c>
      <c r="J214" t="s">
        <v>1406</v>
      </c>
      <c r="K214" t="s">
        <v>1406</v>
      </c>
      <c r="L214" t="s">
        <v>1419</v>
      </c>
      <c r="N214" t="s">
        <v>1408</v>
      </c>
      <c r="O214" t="s">
        <v>1149</v>
      </c>
      <c r="R214" t="s">
        <v>188</v>
      </c>
      <c r="S214" t="s">
        <v>120</v>
      </c>
      <c r="T214" t="s">
        <v>136</v>
      </c>
      <c r="U214" t="s">
        <v>1103</v>
      </c>
      <c r="W214" t="s">
        <v>138</v>
      </c>
      <c r="X214" t="s">
        <v>139</v>
      </c>
      <c r="Y214">
        <v>3</v>
      </c>
      <c r="AH214" t="s">
        <v>128</v>
      </c>
      <c r="AI214" t="s">
        <v>190</v>
      </c>
      <c r="AM214" t="s">
        <v>150</v>
      </c>
      <c r="AS214" t="s">
        <v>127</v>
      </c>
      <c r="BG214" t="s">
        <v>249</v>
      </c>
      <c r="BH214" t="s">
        <v>1410</v>
      </c>
      <c r="BM214" t="s">
        <v>129</v>
      </c>
      <c r="BN214">
        <v>0</v>
      </c>
      <c r="BT214" t="s">
        <v>140</v>
      </c>
      <c r="BU214" t="s">
        <v>128</v>
      </c>
      <c r="BY214" t="s">
        <v>1416</v>
      </c>
    </row>
    <row r="215" spans="1:92" x14ac:dyDescent="0.2">
      <c r="A215" t="s">
        <v>111</v>
      </c>
      <c r="B215" t="b">
        <v>1</v>
      </c>
      <c r="C215" t="s">
        <v>128</v>
      </c>
      <c r="E215">
        <v>245</v>
      </c>
      <c r="F215" t="str">
        <f>HYPERLINK("https://portal.dnb.de/opac.htm?method=simpleSearch&amp;cqlMode=true&amp;query=idn%3D1126762407", "Portal")</f>
        <v>Portal</v>
      </c>
      <c r="G215" t="s">
        <v>207</v>
      </c>
      <c r="H215" t="s">
        <v>1420</v>
      </c>
      <c r="I215" t="s">
        <v>1421</v>
      </c>
      <c r="J215" t="s">
        <v>1406</v>
      </c>
      <c r="K215" t="s">
        <v>1406</v>
      </c>
      <c r="L215" t="s">
        <v>1422</v>
      </c>
      <c r="N215" t="s">
        <v>1408</v>
      </c>
      <c r="O215" t="s">
        <v>1423</v>
      </c>
      <c r="R215" t="s">
        <v>188</v>
      </c>
      <c r="S215" t="s">
        <v>120</v>
      </c>
      <c r="T215" t="s">
        <v>136</v>
      </c>
      <c r="U215" t="s">
        <v>232</v>
      </c>
      <c r="W215" t="s">
        <v>138</v>
      </c>
      <c r="X215" t="s">
        <v>139</v>
      </c>
      <c r="Y215">
        <v>3</v>
      </c>
      <c r="AH215" t="s">
        <v>128</v>
      </c>
      <c r="AI215" t="s">
        <v>190</v>
      </c>
      <c r="AM215" t="s">
        <v>150</v>
      </c>
      <c r="AS215" t="s">
        <v>127</v>
      </c>
      <c r="BG215">
        <v>110</v>
      </c>
      <c r="BM215" t="s">
        <v>206</v>
      </c>
      <c r="BN215">
        <v>2</v>
      </c>
      <c r="BT215" t="s">
        <v>140</v>
      </c>
      <c r="BU215" t="s">
        <v>128</v>
      </c>
      <c r="BY215" t="s">
        <v>1416</v>
      </c>
      <c r="CA215" t="s">
        <v>128</v>
      </c>
      <c r="CB215" t="s">
        <v>128</v>
      </c>
      <c r="CD215" t="s">
        <v>483</v>
      </c>
      <c r="CF215" t="s">
        <v>128</v>
      </c>
      <c r="CM215">
        <v>2</v>
      </c>
      <c r="CN215" t="s">
        <v>1424</v>
      </c>
    </row>
    <row r="216" spans="1:92" x14ac:dyDescent="0.2">
      <c r="A216" t="s">
        <v>111</v>
      </c>
      <c r="B216" t="b">
        <v>1</v>
      </c>
      <c r="E216">
        <v>246</v>
      </c>
      <c r="F216" t="str">
        <f>HYPERLINK("https://portal.dnb.de/opac.htm?method=simpleSearch&amp;cqlMode=true&amp;query=idn%3D1126762563", "Portal")</f>
        <v>Portal</v>
      </c>
      <c r="G216" t="s">
        <v>207</v>
      </c>
      <c r="H216" t="s">
        <v>1425</v>
      </c>
      <c r="I216" t="s">
        <v>1426</v>
      </c>
      <c r="J216" t="s">
        <v>1406</v>
      </c>
      <c r="K216" t="s">
        <v>1406</v>
      </c>
      <c r="L216" t="s">
        <v>1427</v>
      </c>
      <c r="N216" t="s">
        <v>1408</v>
      </c>
      <c r="O216" t="s">
        <v>1428</v>
      </c>
      <c r="R216" t="s">
        <v>188</v>
      </c>
      <c r="S216" t="s">
        <v>120</v>
      </c>
      <c r="T216" t="s">
        <v>136</v>
      </c>
      <c r="U216" t="s">
        <v>1415</v>
      </c>
      <c r="W216" t="s">
        <v>138</v>
      </c>
      <c r="X216" t="s">
        <v>139</v>
      </c>
      <c r="Y216">
        <v>3</v>
      </c>
      <c r="AH216" t="s">
        <v>128</v>
      </c>
      <c r="AI216" t="s">
        <v>190</v>
      </c>
      <c r="AM216" t="s">
        <v>150</v>
      </c>
      <c r="AS216" t="s">
        <v>127</v>
      </c>
      <c r="BG216" t="s">
        <v>249</v>
      </c>
      <c r="BH216" t="s">
        <v>1410</v>
      </c>
      <c r="BM216" t="s">
        <v>129</v>
      </c>
      <c r="BN216">
        <v>0</v>
      </c>
      <c r="BT216" t="s">
        <v>140</v>
      </c>
      <c r="BU216" t="s">
        <v>128</v>
      </c>
      <c r="BV216" t="s">
        <v>1429</v>
      </c>
      <c r="BY216" t="s">
        <v>1416</v>
      </c>
    </row>
    <row r="217" spans="1:92" x14ac:dyDescent="0.2">
      <c r="A217" t="s">
        <v>111</v>
      </c>
      <c r="B217" t="b">
        <v>1</v>
      </c>
      <c r="E217">
        <v>247</v>
      </c>
      <c r="F217" t="str">
        <f>HYPERLINK("https://portal.dnb.de/opac.htm?method=simpleSearch&amp;cqlMode=true&amp;query=idn%3D100396401X", "Portal")</f>
        <v>Portal</v>
      </c>
      <c r="G217" t="s">
        <v>207</v>
      </c>
      <c r="H217" t="s">
        <v>1430</v>
      </c>
      <c r="I217" t="s">
        <v>1431</v>
      </c>
      <c r="J217" t="s">
        <v>1432</v>
      </c>
      <c r="K217" t="s">
        <v>1432</v>
      </c>
      <c r="L217" t="s">
        <v>1433</v>
      </c>
      <c r="N217" t="s">
        <v>1434</v>
      </c>
      <c r="O217" t="s">
        <v>1435</v>
      </c>
      <c r="R217" t="s">
        <v>188</v>
      </c>
      <c r="S217" t="s">
        <v>120</v>
      </c>
      <c r="T217" t="s">
        <v>121</v>
      </c>
      <c r="U217" t="s">
        <v>378</v>
      </c>
      <c r="W217" t="s">
        <v>67</v>
      </c>
      <c r="X217" t="s">
        <v>175</v>
      </c>
      <c r="Y217">
        <v>0</v>
      </c>
      <c r="AI217" t="s">
        <v>190</v>
      </c>
      <c r="AL217" t="s">
        <v>128</v>
      </c>
      <c r="AM217" t="s">
        <v>191</v>
      </c>
      <c r="AS217" t="s">
        <v>127</v>
      </c>
      <c r="AX217" t="s">
        <v>128</v>
      </c>
      <c r="BE217">
        <v>2</v>
      </c>
      <c r="BF217" t="s">
        <v>128</v>
      </c>
      <c r="BG217">
        <v>110</v>
      </c>
      <c r="BM217" t="s">
        <v>129</v>
      </c>
      <c r="BN217">
        <v>0</v>
      </c>
      <c r="BP217" t="s">
        <v>177</v>
      </c>
    </row>
    <row r="218" spans="1:92" x14ac:dyDescent="0.2">
      <c r="A218" t="s">
        <v>111</v>
      </c>
      <c r="B218" t="b">
        <v>1</v>
      </c>
      <c r="C218" t="s">
        <v>128</v>
      </c>
      <c r="E218">
        <v>248</v>
      </c>
      <c r="F218" t="str">
        <f>HYPERLINK("https://portal.dnb.de/opac.htm?method=simpleSearch&amp;cqlMode=true&amp;query=idn%3D1003964117", "Portal")</f>
        <v>Portal</v>
      </c>
      <c r="G218" t="s">
        <v>207</v>
      </c>
      <c r="H218" t="s">
        <v>1436</v>
      </c>
      <c r="I218" t="s">
        <v>1437</v>
      </c>
      <c r="J218" t="s">
        <v>1432</v>
      </c>
      <c r="K218" t="s">
        <v>1432</v>
      </c>
      <c r="L218" t="s">
        <v>1438</v>
      </c>
      <c r="N218" t="s">
        <v>1434</v>
      </c>
      <c r="O218" t="s">
        <v>1439</v>
      </c>
      <c r="R218" t="s">
        <v>188</v>
      </c>
      <c r="S218" t="s">
        <v>120</v>
      </c>
      <c r="T218" t="s">
        <v>121</v>
      </c>
      <c r="U218" t="s">
        <v>378</v>
      </c>
      <c r="W218" t="s">
        <v>67</v>
      </c>
      <c r="X218" t="s">
        <v>175</v>
      </c>
      <c r="Y218">
        <v>0</v>
      </c>
      <c r="AI218" t="s">
        <v>190</v>
      </c>
      <c r="AL218" t="s">
        <v>128</v>
      </c>
      <c r="AM218" t="s">
        <v>191</v>
      </c>
      <c r="AS218" t="s">
        <v>127</v>
      </c>
      <c r="AX218" t="s">
        <v>128</v>
      </c>
      <c r="BE218">
        <v>2</v>
      </c>
      <c r="BF218" t="s">
        <v>128</v>
      </c>
      <c r="BG218">
        <v>110</v>
      </c>
      <c r="BM218" t="s">
        <v>206</v>
      </c>
      <c r="BN218">
        <v>0.5</v>
      </c>
      <c r="BP218" t="s">
        <v>177</v>
      </c>
      <c r="CB218" t="s">
        <v>128</v>
      </c>
      <c r="CM218">
        <v>0.5</v>
      </c>
    </row>
    <row r="219" spans="1:92" x14ac:dyDescent="0.2">
      <c r="A219" t="s">
        <v>111</v>
      </c>
      <c r="B219" t="b">
        <v>1</v>
      </c>
      <c r="E219">
        <v>249</v>
      </c>
      <c r="F219" t="str">
        <f>HYPERLINK("https://portal.dnb.de/opac.htm?method=simpleSearch&amp;cqlMode=true&amp;query=idn%3D1066963495", "Portal")</f>
        <v>Portal</v>
      </c>
      <c r="G219" t="s">
        <v>163</v>
      </c>
      <c r="H219" t="s">
        <v>1440</v>
      </c>
      <c r="I219" t="s">
        <v>1441</v>
      </c>
      <c r="J219" t="s">
        <v>1442</v>
      </c>
      <c r="K219" t="s">
        <v>1442</v>
      </c>
      <c r="L219" t="s">
        <v>1443</v>
      </c>
      <c r="N219" t="s">
        <v>1444</v>
      </c>
      <c r="O219" t="s">
        <v>118</v>
      </c>
      <c r="R219" t="s">
        <v>467</v>
      </c>
      <c r="S219" t="s">
        <v>120</v>
      </c>
      <c r="T219" t="s">
        <v>156</v>
      </c>
      <c r="W219" t="s">
        <v>138</v>
      </c>
      <c r="X219" t="s">
        <v>203</v>
      </c>
      <c r="Y219">
        <v>3</v>
      </c>
      <c r="AI219" t="s">
        <v>469</v>
      </c>
      <c r="AM219" t="s">
        <v>191</v>
      </c>
      <c r="AS219" t="s">
        <v>127</v>
      </c>
      <c r="BG219" t="s">
        <v>249</v>
      </c>
      <c r="BH219" t="s">
        <v>1410</v>
      </c>
      <c r="BM219" t="s">
        <v>129</v>
      </c>
      <c r="BN219">
        <v>0</v>
      </c>
      <c r="BT219" t="s">
        <v>140</v>
      </c>
      <c r="BU219" t="s">
        <v>128</v>
      </c>
      <c r="BV219" t="s">
        <v>1445</v>
      </c>
      <c r="BY219" t="s">
        <v>815</v>
      </c>
    </row>
    <row r="220" spans="1:92" x14ac:dyDescent="0.2">
      <c r="A220" t="s">
        <v>111</v>
      </c>
      <c r="B220" t="b">
        <v>1</v>
      </c>
      <c r="E220">
        <v>250</v>
      </c>
      <c r="F220" t="str">
        <f>HYPERLINK("https://portal.dnb.de/opac.htm?method=simpleSearch&amp;cqlMode=true&amp;query=idn%3D1066963495", "Portal")</f>
        <v>Portal</v>
      </c>
      <c r="G220" t="s">
        <v>163</v>
      </c>
      <c r="H220" t="s">
        <v>1446</v>
      </c>
      <c r="I220" t="s">
        <v>1441</v>
      </c>
      <c r="J220" t="s">
        <v>1447</v>
      </c>
      <c r="K220" t="s">
        <v>1447</v>
      </c>
      <c r="L220" t="s">
        <v>1448</v>
      </c>
      <c r="N220" t="s">
        <v>1444</v>
      </c>
      <c r="O220" t="s">
        <v>118</v>
      </c>
      <c r="R220" t="s">
        <v>188</v>
      </c>
      <c r="S220" t="s">
        <v>120</v>
      </c>
      <c r="T220" t="s">
        <v>136</v>
      </c>
      <c r="U220" t="s">
        <v>378</v>
      </c>
      <c r="W220" t="s">
        <v>138</v>
      </c>
      <c r="X220" t="s">
        <v>203</v>
      </c>
      <c r="Y220">
        <v>2</v>
      </c>
      <c r="AA220" t="s">
        <v>910</v>
      </c>
      <c r="AI220" t="s">
        <v>190</v>
      </c>
      <c r="AM220" t="s">
        <v>191</v>
      </c>
      <c r="AS220" t="s">
        <v>127</v>
      </c>
      <c r="BE220">
        <v>2</v>
      </c>
      <c r="BF220" t="s">
        <v>128</v>
      </c>
      <c r="BG220">
        <v>60</v>
      </c>
      <c r="BM220" t="s">
        <v>129</v>
      </c>
      <c r="BN220">
        <v>0</v>
      </c>
      <c r="BT220" t="s">
        <v>140</v>
      </c>
      <c r="BU220" t="s">
        <v>128</v>
      </c>
      <c r="BY220" t="s">
        <v>141</v>
      </c>
    </row>
    <row r="221" spans="1:92" x14ac:dyDescent="0.2">
      <c r="A221" t="s">
        <v>111</v>
      </c>
      <c r="B221" t="b">
        <v>1</v>
      </c>
      <c r="E221">
        <v>251</v>
      </c>
      <c r="F221" t="str">
        <f>HYPERLINK("https://portal.dnb.de/opac.htm?method=simpleSearch&amp;cqlMode=true&amp;query=idn%3D1003868045", "Portal")</f>
        <v>Portal</v>
      </c>
      <c r="G221" t="s">
        <v>112</v>
      </c>
      <c r="H221" t="s">
        <v>1449</v>
      </c>
      <c r="I221" t="s">
        <v>1450</v>
      </c>
      <c r="J221" t="s">
        <v>1451</v>
      </c>
      <c r="K221" t="s">
        <v>1451</v>
      </c>
      <c r="L221" t="s">
        <v>1452</v>
      </c>
      <c r="N221" t="s">
        <v>1453</v>
      </c>
      <c r="O221" t="s">
        <v>118</v>
      </c>
      <c r="R221" t="s">
        <v>188</v>
      </c>
      <c r="S221" t="s">
        <v>120</v>
      </c>
      <c r="T221" t="s">
        <v>121</v>
      </c>
      <c r="U221" t="s">
        <v>807</v>
      </c>
      <c r="W221" t="s">
        <v>67</v>
      </c>
      <c r="X221" t="s">
        <v>175</v>
      </c>
      <c r="Y221">
        <v>0</v>
      </c>
      <c r="AI221" t="s">
        <v>190</v>
      </c>
      <c r="AL221" t="s">
        <v>128</v>
      </c>
      <c r="AM221" t="s">
        <v>191</v>
      </c>
      <c r="AS221" t="s">
        <v>127</v>
      </c>
      <c r="AW221" t="s">
        <v>128</v>
      </c>
      <c r="BE221">
        <v>0</v>
      </c>
      <c r="BF221" t="s">
        <v>128</v>
      </c>
      <c r="BG221">
        <v>110</v>
      </c>
      <c r="BM221" t="s">
        <v>129</v>
      </c>
      <c r="BN221">
        <v>0</v>
      </c>
      <c r="BP221" t="s">
        <v>177</v>
      </c>
    </row>
    <row r="222" spans="1:92" x14ac:dyDescent="0.2">
      <c r="A222" t="s">
        <v>111</v>
      </c>
      <c r="B222" t="b">
        <v>1</v>
      </c>
      <c r="E222">
        <v>252</v>
      </c>
      <c r="F222" t="str">
        <f>HYPERLINK("https://portal.dnb.de/opac.htm?method=simpleSearch&amp;cqlMode=true&amp;query=idn%3D1003969941", "Portal")</f>
        <v>Portal</v>
      </c>
      <c r="G222" t="s">
        <v>207</v>
      </c>
      <c r="H222" t="s">
        <v>1454</v>
      </c>
      <c r="I222" t="s">
        <v>1455</v>
      </c>
      <c r="J222" t="s">
        <v>1456</v>
      </c>
      <c r="K222" t="s">
        <v>1456</v>
      </c>
      <c r="L222" t="s">
        <v>1457</v>
      </c>
      <c r="N222" t="s">
        <v>1458</v>
      </c>
      <c r="O222" t="s">
        <v>1459</v>
      </c>
      <c r="R222" t="s">
        <v>188</v>
      </c>
      <c r="S222" t="s">
        <v>120</v>
      </c>
      <c r="T222" t="s">
        <v>136</v>
      </c>
      <c r="U222" t="s">
        <v>378</v>
      </c>
      <c r="W222" t="s">
        <v>67</v>
      </c>
      <c r="X222" t="s">
        <v>175</v>
      </c>
      <c r="Y222">
        <v>0</v>
      </c>
      <c r="AI222" t="s">
        <v>190</v>
      </c>
      <c r="AL222" t="s">
        <v>128</v>
      </c>
      <c r="AM222" t="s">
        <v>191</v>
      </c>
      <c r="AS222" t="s">
        <v>127</v>
      </c>
      <c r="AX222" t="s">
        <v>128</v>
      </c>
      <c r="BG222">
        <v>110</v>
      </c>
      <c r="BI222" t="s">
        <v>128</v>
      </c>
      <c r="BJ222" t="s">
        <v>1367</v>
      </c>
      <c r="BK222" t="s">
        <v>128</v>
      </c>
      <c r="BM222" t="s">
        <v>129</v>
      </c>
      <c r="BN222">
        <v>0</v>
      </c>
      <c r="BP222" t="s">
        <v>177</v>
      </c>
    </row>
    <row r="223" spans="1:92" x14ac:dyDescent="0.2">
      <c r="A223" t="s">
        <v>111</v>
      </c>
      <c r="B223" t="b">
        <v>1</v>
      </c>
      <c r="E223">
        <v>253</v>
      </c>
      <c r="F223" t="str">
        <f>HYPERLINK("https://portal.dnb.de/opac.htm?method=simpleSearch&amp;cqlMode=true&amp;query=idn%3D1003969968", "Portal")</f>
        <v>Portal</v>
      </c>
      <c r="G223" t="s">
        <v>207</v>
      </c>
      <c r="H223" t="s">
        <v>1460</v>
      </c>
      <c r="I223" t="s">
        <v>1461</v>
      </c>
      <c r="J223" t="s">
        <v>1462</v>
      </c>
      <c r="K223" t="s">
        <v>1462</v>
      </c>
      <c r="L223" t="s">
        <v>1463</v>
      </c>
      <c r="N223" t="s">
        <v>1458</v>
      </c>
      <c r="O223" t="s">
        <v>1464</v>
      </c>
      <c r="R223" t="s">
        <v>188</v>
      </c>
      <c r="S223" t="s">
        <v>120</v>
      </c>
      <c r="T223" t="s">
        <v>136</v>
      </c>
      <c r="U223" t="s">
        <v>378</v>
      </c>
      <c r="W223" t="s">
        <v>365</v>
      </c>
      <c r="X223" t="s">
        <v>203</v>
      </c>
      <c r="Y223">
        <v>0</v>
      </c>
      <c r="AI223" t="s">
        <v>190</v>
      </c>
      <c r="AL223" t="s">
        <v>128</v>
      </c>
      <c r="AM223" t="s">
        <v>191</v>
      </c>
      <c r="AS223" t="s">
        <v>127</v>
      </c>
      <c r="AX223" t="s">
        <v>128</v>
      </c>
      <c r="BG223">
        <v>110</v>
      </c>
      <c r="BI223" t="s">
        <v>128</v>
      </c>
      <c r="BJ223" t="s">
        <v>1367</v>
      </c>
      <c r="BM223" t="s">
        <v>129</v>
      </c>
      <c r="BN223">
        <v>0</v>
      </c>
      <c r="BS223" t="s">
        <v>140</v>
      </c>
      <c r="BU223" t="s">
        <v>128</v>
      </c>
    </row>
    <row r="224" spans="1:92" x14ac:dyDescent="0.2">
      <c r="A224" t="s">
        <v>111</v>
      </c>
      <c r="B224" t="b">
        <v>1</v>
      </c>
      <c r="E224">
        <v>254</v>
      </c>
      <c r="F224" t="str">
        <f>HYPERLINK("https://portal.dnb.de/opac.htm?method=simpleSearch&amp;cqlMode=true&amp;query=idn%3D1003969658", "Portal")</f>
        <v>Portal</v>
      </c>
      <c r="G224" t="s">
        <v>207</v>
      </c>
      <c r="H224" t="s">
        <v>1465</v>
      </c>
      <c r="I224" t="s">
        <v>1466</v>
      </c>
      <c r="J224" t="s">
        <v>1467</v>
      </c>
      <c r="K224" t="s">
        <v>1467</v>
      </c>
      <c r="L224" t="s">
        <v>1468</v>
      </c>
      <c r="N224" t="s">
        <v>1458</v>
      </c>
      <c r="O224" t="s">
        <v>1469</v>
      </c>
      <c r="R224" t="s">
        <v>188</v>
      </c>
      <c r="S224" t="s">
        <v>120</v>
      </c>
      <c r="T224" t="s">
        <v>136</v>
      </c>
      <c r="X224" t="s">
        <v>124</v>
      </c>
      <c r="Y224">
        <v>0</v>
      </c>
      <c r="AI224" t="s">
        <v>190</v>
      </c>
      <c r="AL224" t="s">
        <v>128</v>
      </c>
      <c r="AM224" t="s">
        <v>191</v>
      </c>
      <c r="AS224" t="s">
        <v>127</v>
      </c>
      <c r="BG224">
        <v>110</v>
      </c>
      <c r="BM224" t="s">
        <v>129</v>
      </c>
      <c r="BN224">
        <v>0</v>
      </c>
    </row>
    <row r="225" spans="1:111" x14ac:dyDescent="0.2">
      <c r="A225" t="s">
        <v>111</v>
      </c>
      <c r="B225" t="b">
        <v>0</v>
      </c>
      <c r="E225">
        <v>255</v>
      </c>
      <c r="F225" t="str">
        <f>HYPERLINK("https://portal.dnb.de/opac.htm?method=simpleSearch&amp;cqlMode=true&amp;query=idn%3D1003970281", "Portal")</f>
        <v>Portal</v>
      </c>
      <c r="G225" t="s">
        <v>112</v>
      </c>
      <c r="H225" t="s">
        <v>1470</v>
      </c>
      <c r="I225" t="s">
        <v>1471</v>
      </c>
      <c r="J225" t="s">
        <v>1472</v>
      </c>
      <c r="L225" t="s">
        <v>1472</v>
      </c>
      <c r="P225" t="s">
        <v>135</v>
      </c>
      <c r="R225" t="s">
        <v>821</v>
      </c>
      <c r="S225" t="s">
        <v>120</v>
      </c>
      <c r="T225" t="s">
        <v>136</v>
      </c>
      <c r="U225" t="s">
        <v>378</v>
      </c>
      <c r="W225" t="s">
        <v>138</v>
      </c>
      <c r="X225" t="s">
        <v>203</v>
      </c>
      <c r="Y225">
        <v>1</v>
      </c>
      <c r="AI225" t="s">
        <v>469</v>
      </c>
      <c r="AM225" t="s">
        <v>191</v>
      </c>
      <c r="AS225" t="s">
        <v>127</v>
      </c>
      <c r="BG225">
        <v>110</v>
      </c>
      <c r="BM225" t="s">
        <v>129</v>
      </c>
      <c r="BN225">
        <v>0</v>
      </c>
      <c r="BT225" t="s">
        <v>140</v>
      </c>
      <c r="BU225" t="s">
        <v>128</v>
      </c>
    </row>
    <row r="226" spans="1:111" x14ac:dyDescent="0.2">
      <c r="A226" t="s">
        <v>111</v>
      </c>
      <c r="B226" t="b">
        <v>1</v>
      </c>
      <c r="C226" t="s">
        <v>128</v>
      </c>
      <c r="E226">
        <v>256</v>
      </c>
      <c r="F226" t="str">
        <f>HYPERLINK("https://portal.dnb.de/opac.htm?method=simpleSearch&amp;cqlMode=true&amp;query=idn%3D100386824X", "Portal")</f>
        <v>Portal</v>
      </c>
      <c r="G226" t="s">
        <v>112</v>
      </c>
      <c r="H226" t="s">
        <v>1473</v>
      </c>
      <c r="I226" t="s">
        <v>1474</v>
      </c>
      <c r="J226" t="s">
        <v>1475</v>
      </c>
      <c r="K226" t="s">
        <v>1475</v>
      </c>
      <c r="L226" t="s">
        <v>1476</v>
      </c>
      <c r="N226" t="s">
        <v>1477</v>
      </c>
      <c r="O226" t="s">
        <v>118</v>
      </c>
      <c r="P226" t="s">
        <v>135</v>
      </c>
      <c r="R226" t="s">
        <v>188</v>
      </c>
      <c r="S226" t="s">
        <v>120</v>
      </c>
      <c r="T226" t="s">
        <v>136</v>
      </c>
      <c r="U226" t="s">
        <v>378</v>
      </c>
      <c r="W226" t="s">
        <v>138</v>
      </c>
      <c r="X226" t="s">
        <v>203</v>
      </c>
      <c r="Y226">
        <v>0</v>
      </c>
      <c r="AH226" t="s">
        <v>128</v>
      </c>
      <c r="AI226" t="s">
        <v>190</v>
      </c>
      <c r="AM226" t="s">
        <v>191</v>
      </c>
      <c r="AS226" t="s">
        <v>127</v>
      </c>
      <c r="BE226">
        <v>4</v>
      </c>
      <c r="BG226">
        <v>80</v>
      </c>
      <c r="BM226" t="s">
        <v>206</v>
      </c>
      <c r="BN226">
        <v>2</v>
      </c>
      <c r="BT226" t="s">
        <v>140</v>
      </c>
      <c r="BU226" t="s">
        <v>128</v>
      </c>
      <c r="BY226" t="s">
        <v>141</v>
      </c>
      <c r="CA226" t="s">
        <v>128</v>
      </c>
      <c r="CB226" t="s">
        <v>128</v>
      </c>
      <c r="CI226" t="s">
        <v>128</v>
      </c>
      <c r="CM226">
        <v>2</v>
      </c>
      <c r="CN226" t="s">
        <v>1478</v>
      </c>
    </row>
    <row r="227" spans="1:111" x14ac:dyDescent="0.2">
      <c r="A227" t="s">
        <v>111</v>
      </c>
      <c r="B227" t="b">
        <v>1</v>
      </c>
      <c r="E227">
        <v>259</v>
      </c>
      <c r="F227" t="str">
        <f>HYPERLINK("https://portal.dnb.de/opac.htm?method=simpleSearch&amp;cqlMode=true&amp;query=idn%3D1003977332", "Portal")</f>
        <v>Portal</v>
      </c>
      <c r="G227" t="s">
        <v>207</v>
      </c>
      <c r="H227" t="s">
        <v>1479</v>
      </c>
      <c r="I227" t="s">
        <v>1480</v>
      </c>
      <c r="J227" t="s">
        <v>1481</v>
      </c>
      <c r="K227" t="s">
        <v>1481</v>
      </c>
      <c r="L227" t="s">
        <v>1482</v>
      </c>
      <c r="N227" t="s">
        <v>1483</v>
      </c>
      <c r="O227" t="s">
        <v>1484</v>
      </c>
      <c r="P227" t="s">
        <v>135</v>
      </c>
      <c r="R227" t="s">
        <v>188</v>
      </c>
      <c r="S227" t="s">
        <v>120</v>
      </c>
      <c r="T227" t="s">
        <v>136</v>
      </c>
      <c r="U227" t="s">
        <v>423</v>
      </c>
      <c r="W227" t="s">
        <v>67</v>
      </c>
      <c r="X227" t="s">
        <v>175</v>
      </c>
      <c r="Y227">
        <v>0</v>
      </c>
      <c r="AI227" t="s">
        <v>190</v>
      </c>
      <c r="AM227" t="s">
        <v>204</v>
      </c>
      <c r="AS227" t="s">
        <v>127</v>
      </c>
      <c r="BG227">
        <v>45</v>
      </c>
      <c r="BM227" t="s">
        <v>129</v>
      </c>
      <c r="BN227">
        <v>0</v>
      </c>
      <c r="BP227" t="s">
        <v>177</v>
      </c>
    </row>
    <row r="228" spans="1:111" x14ac:dyDescent="0.2">
      <c r="A228" t="s">
        <v>111</v>
      </c>
      <c r="B228" t="b">
        <v>1</v>
      </c>
      <c r="E228">
        <v>257</v>
      </c>
      <c r="F228" t="str">
        <f>HYPERLINK("https://portal.dnb.de/opac.htm?method=simpleSearch&amp;cqlMode=true&amp;query=idn%3D1003977359", "Portal")</f>
        <v>Portal</v>
      </c>
      <c r="G228" t="s">
        <v>207</v>
      </c>
      <c r="H228" t="s">
        <v>1485</v>
      </c>
      <c r="I228" t="s">
        <v>1486</v>
      </c>
      <c r="J228" t="s">
        <v>1481</v>
      </c>
      <c r="K228" t="s">
        <v>1481</v>
      </c>
      <c r="L228" t="s">
        <v>1487</v>
      </c>
      <c r="N228" t="s">
        <v>1483</v>
      </c>
      <c r="O228" t="s">
        <v>1488</v>
      </c>
      <c r="BN228">
        <v>0</v>
      </c>
    </row>
    <row r="229" spans="1:111" x14ac:dyDescent="0.2">
      <c r="A229" t="s">
        <v>111</v>
      </c>
      <c r="B229" t="b">
        <v>1</v>
      </c>
      <c r="E229">
        <v>258</v>
      </c>
      <c r="F229" t="str">
        <f>HYPERLINK("https://portal.dnb.de/opac.htm?method=simpleSearch&amp;cqlMode=true&amp;query=idn%3D1003977383", "Portal")</f>
        <v>Portal</v>
      </c>
      <c r="G229" t="s">
        <v>207</v>
      </c>
      <c r="H229" t="s">
        <v>1489</v>
      </c>
      <c r="I229" t="s">
        <v>1490</v>
      </c>
      <c r="J229" t="s">
        <v>1481</v>
      </c>
      <c r="K229" t="s">
        <v>1481</v>
      </c>
      <c r="L229" t="s">
        <v>1487</v>
      </c>
      <c r="N229" t="s">
        <v>1483</v>
      </c>
      <c r="O229" t="s">
        <v>1491</v>
      </c>
      <c r="BN229">
        <v>0</v>
      </c>
    </row>
    <row r="230" spans="1:111" x14ac:dyDescent="0.2">
      <c r="A230" t="s">
        <v>111</v>
      </c>
      <c r="B230" t="b">
        <v>1</v>
      </c>
      <c r="E230">
        <v>260</v>
      </c>
      <c r="F230" t="str">
        <f>HYPERLINK("https://portal.dnb.de/opac.htm?method=simpleSearch&amp;cqlMode=true&amp;query=idn%3D1003977391", "Portal")</f>
        <v>Portal</v>
      </c>
      <c r="G230" t="s">
        <v>207</v>
      </c>
      <c r="H230" t="s">
        <v>1492</v>
      </c>
      <c r="I230" t="s">
        <v>1493</v>
      </c>
      <c r="J230" t="s">
        <v>1481</v>
      </c>
      <c r="K230" t="s">
        <v>1481</v>
      </c>
      <c r="L230" t="s">
        <v>1487</v>
      </c>
      <c r="N230" t="s">
        <v>1483</v>
      </c>
      <c r="O230" t="s">
        <v>1494</v>
      </c>
      <c r="BN230">
        <v>0</v>
      </c>
    </row>
    <row r="231" spans="1:111" x14ac:dyDescent="0.2">
      <c r="A231" t="s">
        <v>111</v>
      </c>
      <c r="B231" t="b">
        <v>1</v>
      </c>
      <c r="F231" t="str">
        <f>HYPERLINK("https://portal.dnb.de/opac.htm?method=simpleSearch&amp;cqlMode=true&amp;query=idn%3D1262281903", "Portal")</f>
        <v>Portal</v>
      </c>
      <c r="G231" t="s">
        <v>157</v>
      </c>
      <c r="H231" t="s">
        <v>1495</v>
      </c>
      <c r="I231" t="s">
        <v>1496</v>
      </c>
      <c r="J231" t="s">
        <v>1497</v>
      </c>
      <c r="K231" t="s">
        <v>1497</v>
      </c>
      <c r="L231" t="s">
        <v>1497</v>
      </c>
      <c r="N231" t="s">
        <v>1498</v>
      </c>
      <c r="O231" t="s">
        <v>118</v>
      </c>
      <c r="P231" t="s">
        <v>135</v>
      </c>
      <c r="R231" t="s">
        <v>188</v>
      </c>
      <c r="S231" t="s">
        <v>120</v>
      </c>
      <c r="T231" t="s">
        <v>136</v>
      </c>
      <c r="W231" t="s">
        <v>138</v>
      </c>
      <c r="X231" t="s">
        <v>203</v>
      </c>
      <c r="Y231">
        <v>0</v>
      </c>
      <c r="AH231" t="s">
        <v>128</v>
      </c>
      <c r="AI231" t="s">
        <v>190</v>
      </c>
      <c r="AM231" t="s">
        <v>191</v>
      </c>
      <c r="AS231" t="s">
        <v>127</v>
      </c>
      <c r="BG231">
        <v>80</v>
      </c>
      <c r="BM231" t="s">
        <v>129</v>
      </c>
      <c r="BN231">
        <v>0</v>
      </c>
      <c r="BT231" t="s">
        <v>140</v>
      </c>
      <c r="BU231" t="s">
        <v>128</v>
      </c>
      <c r="BY231" t="s">
        <v>1056</v>
      </c>
    </row>
    <row r="232" spans="1:111" x14ac:dyDescent="0.2">
      <c r="A232" t="s">
        <v>111</v>
      </c>
      <c r="B232" t="b">
        <v>1</v>
      </c>
      <c r="E232">
        <v>264</v>
      </c>
      <c r="F232" t="str">
        <f>HYPERLINK("https://portal.dnb.de/opac.htm?method=simpleSearch&amp;cqlMode=true&amp;query=idn%3D1003971288", "Portal")</f>
        <v>Portal</v>
      </c>
      <c r="G232" t="s">
        <v>112</v>
      </c>
      <c r="H232" t="s">
        <v>1499</v>
      </c>
      <c r="I232" t="s">
        <v>1500</v>
      </c>
      <c r="J232" t="s">
        <v>1501</v>
      </c>
      <c r="K232" t="s">
        <v>1501</v>
      </c>
      <c r="L232" t="s">
        <v>1502</v>
      </c>
      <c r="N232" t="s">
        <v>1503</v>
      </c>
      <c r="O232" t="s">
        <v>118</v>
      </c>
      <c r="P232" t="s">
        <v>135</v>
      </c>
      <c r="R232" t="s">
        <v>147</v>
      </c>
      <c r="S232" t="s">
        <v>120</v>
      </c>
      <c r="T232" t="s">
        <v>156</v>
      </c>
      <c r="U232" t="s">
        <v>148</v>
      </c>
      <c r="W232" t="s">
        <v>138</v>
      </c>
      <c r="X232" t="s">
        <v>203</v>
      </c>
      <c r="Y232">
        <v>0</v>
      </c>
      <c r="AI232" t="s">
        <v>127</v>
      </c>
      <c r="AM232" t="s">
        <v>150</v>
      </c>
      <c r="AS232" t="s">
        <v>127</v>
      </c>
      <c r="BG232">
        <v>110</v>
      </c>
      <c r="BM232" t="s">
        <v>129</v>
      </c>
      <c r="BN232">
        <v>0</v>
      </c>
      <c r="BT232" t="s">
        <v>140</v>
      </c>
      <c r="BU232" t="s">
        <v>128</v>
      </c>
    </row>
    <row r="233" spans="1:111" x14ac:dyDescent="0.2">
      <c r="A233" t="s">
        <v>111</v>
      </c>
      <c r="B233" t="b">
        <v>0</v>
      </c>
      <c r="E233">
        <v>265</v>
      </c>
      <c r="F233" t="str">
        <f>HYPERLINK("https://portal.dnb.de/opac.htm?method=simpleSearch&amp;cqlMode=true&amp;query=idn%3D11961449", "Portal")</f>
        <v>Portal</v>
      </c>
      <c r="G233" t="s">
        <v>1504</v>
      </c>
      <c r="H233" t="s">
        <v>1505</v>
      </c>
      <c r="I233" t="s">
        <v>1506</v>
      </c>
      <c r="L233" t="s">
        <v>1507</v>
      </c>
      <c r="P233" t="s">
        <v>135</v>
      </c>
      <c r="R233" t="s">
        <v>147</v>
      </c>
      <c r="S233" t="s">
        <v>120</v>
      </c>
      <c r="T233" t="s">
        <v>156</v>
      </c>
      <c r="U233" t="s">
        <v>148</v>
      </c>
      <c r="X233" t="s">
        <v>124</v>
      </c>
      <c r="Y233">
        <v>0</v>
      </c>
      <c r="AI233" t="s">
        <v>127</v>
      </c>
      <c r="AM233" t="s">
        <v>150</v>
      </c>
      <c r="AS233" t="s">
        <v>127</v>
      </c>
      <c r="BG233">
        <v>110</v>
      </c>
      <c r="BM233" t="s">
        <v>129</v>
      </c>
      <c r="BN233">
        <v>0</v>
      </c>
    </row>
    <row r="234" spans="1:111" x14ac:dyDescent="0.2">
      <c r="A234" t="s">
        <v>111</v>
      </c>
      <c r="B234" t="b">
        <v>1</v>
      </c>
      <c r="E234">
        <v>267</v>
      </c>
      <c r="F234" t="str">
        <f>HYPERLINK("https://portal.dnb.de/opac.htm?method=simpleSearch&amp;cqlMode=true&amp;query=idn%3D1003970222", "Portal")</f>
        <v>Portal</v>
      </c>
      <c r="G234" t="s">
        <v>207</v>
      </c>
      <c r="H234" t="s">
        <v>1508</v>
      </c>
      <c r="I234" t="s">
        <v>1509</v>
      </c>
      <c r="J234" t="s">
        <v>1510</v>
      </c>
      <c r="K234" t="s">
        <v>1510</v>
      </c>
      <c r="L234" t="s">
        <v>1511</v>
      </c>
      <c r="N234" t="s">
        <v>1512</v>
      </c>
      <c r="O234" t="s">
        <v>1513</v>
      </c>
      <c r="P234" t="s">
        <v>135</v>
      </c>
      <c r="R234" t="s">
        <v>188</v>
      </c>
      <c r="S234" t="s">
        <v>120</v>
      </c>
      <c r="T234" t="s">
        <v>136</v>
      </c>
      <c r="U234" t="s">
        <v>423</v>
      </c>
      <c r="W234" t="s">
        <v>138</v>
      </c>
      <c r="X234" t="s">
        <v>203</v>
      </c>
      <c r="Y234">
        <v>0</v>
      </c>
      <c r="AI234" t="s">
        <v>190</v>
      </c>
      <c r="AM234" t="s">
        <v>204</v>
      </c>
      <c r="AS234" t="s">
        <v>127</v>
      </c>
      <c r="BG234">
        <v>45</v>
      </c>
      <c r="BM234" t="s">
        <v>129</v>
      </c>
      <c r="BN234">
        <v>0</v>
      </c>
      <c r="BT234" t="s">
        <v>140</v>
      </c>
      <c r="BU234" t="s">
        <v>128</v>
      </c>
      <c r="BY234" t="s">
        <v>1416</v>
      </c>
    </row>
    <row r="235" spans="1:111" x14ac:dyDescent="0.2">
      <c r="A235" t="s">
        <v>111</v>
      </c>
      <c r="B235" t="b">
        <v>1</v>
      </c>
      <c r="E235">
        <v>266</v>
      </c>
      <c r="F235" t="str">
        <f>HYPERLINK("https://portal.dnb.de/opac.htm?method=simpleSearch&amp;cqlMode=true&amp;query=idn%3D1003970249", "Portal")</f>
        <v>Portal</v>
      </c>
      <c r="G235" t="s">
        <v>207</v>
      </c>
      <c r="H235" t="s">
        <v>1514</v>
      </c>
      <c r="I235" t="s">
        <v>1515</v>
      </c>
      <c r="J235" t="s">
        <v>1510</v>
      </c>
      <c r="K235" t="s">
        <v>1510</v>
      </c>
      <c r="L235" t="s">
        <v>1516</v>
      </c>
      <c r="N235" t="s">
        <v>1512</v>
      </c>
      <c r="O235" t="s">
        <v>1517</v>
      </c>
      <c r="P235" t="s">
        <v>135</v>
      </c>
      <c r="R235" t="s">
        <v>188</v>
      </c>
      <c r="S235" t="s">
        <v>120</v>
      </c>
      <c r="T235" t="s">
        <v>136</v>
      </c>
      <c r="U235" t="s">
        <v>423</v>
      </c>
      <c r="W235" t="s">
        <v>138</v>
      </c>
      <c r="X235" t="s">
        <v>203</v>
      </c>
      <c r="Y235">
        <v>0</v>
      </c>
      <c r="AI235" t="s">
        <v>190</v>
      </c>
      <c r="AM235" t="s">
        <v>204</v>
      </c>
      <c r="AS235" t="s">
        <v>127</v>
      </c>
      <c r="BG235">
        <v>45</v>
      </c>
      <c r="BM235" t="s">
        <v>129</v>
      </c>
      <c r="BN235">
        <v>0</v>
      </c>
      <c r="BT235" t="s">
        <v>140</v>
      </c>
      <c r="BU235" t="s">
        <v>128</v>
      </c>
      <c r="BY235" t="s">
        <v>1416</v>
      </c>
    </row>
    <row r="236" spans="1:111" x14ac:dyDescent="0.2">
      <c r="A236" t="s">
        <v>111</v>
      </c>
      <c r="B236" t="b">
        <v>1</v>
      </c>
      <c r="E236">
        <v>268</v>
      </c>
      <c r="F236" t="str">
        <f>HYPERLINK("https://portal.dnb.de/opac.htm?method=simpleSearch&amp;cqlMode=true&amp;query=idn%3D100389867X", "Portal")</f>
        <v>Portal</v>
      </c>
      <c r="G236" t="s">
        <v>207</v>
      </c>
      <c r="H236" t="s">
        <v>1518</v>
      </c>
      <c r="I236" t="s">
        <v>1519</v>
      </c>
      <c r="J236" t="s">
        <v>1520</v>
      </c>
      <c r="K236" t="s">
        <v>1520</v>
      </c>
      <c r="L236" t="s">
        <v>1521</v>
      </c>
      <c r="N236" t="s">
        <v>1522</v>
      </c>
      <c r="O236" t="s">
        <v>1409</v>
      </c>
      <c r="P236" t="s">
        <v>135</v>
      </c>
      <c r="R236" t="s">
        <v>188</v>
      </c>
      <c r="S236" t="s">
        <v>120</v>
      </c>
      <c r="T236" t="s">
        <v>136</v>
      </c>
      <c r="U236" t="s">
        <v>423</v>
      </c>
      <c r="W236" t="s">
        <v>138</v>
      </c>
      <c r="X236" t="s">
        <v>203</v>
      </c>
      <c r="Y236">
        <v>0</v>
      </c>
      <c r="AI236" t="s">
        <v>190</v>
      </c>
      <c r="AM236" t="s">
        <v>204</v>
      </c>
      <c r="AS236" t="s">
        <v>127</v>
      </c>
      <c r="BG236">
        <v>45</v>
      </c>
      <c r="BM236" t="s">
        <v>129</v>
      </c>
      <c r="BN236">
        <v>0</v>
      </c>
      <c r="BT236" t="s">
        <v>140</v>
      </c>
      <c r="BU236" t="s">
        <v>128</v>
      </c>
      <c r="BY236" t="s">
        <v>1056</v>
      </c>
    </row>
    <row r="237" spans="1:111" x14ac:dyDescent="0.2">
      <c r="A237" t="s">
        <v>111</v>
      </c>
      <c r="B237" t="b">
        <v>1</v>
      </c>
      <c r="C237" t="s">
        <v>128</v>
      </c>
      <c r="E237">
        <v>270</v>
      </c>
      <c r="F237" t="str">
        <f>HYPERLINK("https://portal.dnb.de/opac.htm?method=simpleSearch&amp;cqlMode=true&amp;query=idn%3D1003961193", "Portal")</f>
        <v>Portal</v>
      </c>
      <c r="G237" t="s">
        <v>207</v>
      </c>
      <c r="H237" t="s">
        <v>1523</v>
      </c>
      <c r="I237" t="s">
        <v>1524</v>
      </c>
      <c r="J237" t="s">
        <v>1525</v>
      </c>
      <c r="K237" t="s">
        <v>1525</v>
      </c>
      <c r="L237" t="s">
        <v>1526</v>
      </c>
      <c r="N237" t="s">
        <v>1527</v>
      </c>
      <c r="O237" t="s">
        <v>1528</v>
      </c>
      <c r="P237" t="s">
        <v>135</v>
      </c>
      <c r="R237" t="s">
        <v>286</v>
      </c>
      <c r="S237" t="s">
        <v>120</v>
      </c>
      <c r="T237" t="s">
        <v>156</v>
      </c>
      <c r="W237" t="s">
        <v>138</v>
      </c>
      <c r="X237" t="s">
        <v>203</v>
      </c>
      <c r="Y237">
        <v>0</v>
      </c>
      <c r="AI237" t="s">
        <v>338</v>
      </c>
      <c r="AM237" t="s">
        <v>191</v>
      </c>
      <c r="AS237" t="s">
        <v>127</v>
      </c>
      <c r="BG237">
        <v>45</v>
      </c>
      <c r="BM237" t="s">
        <v>206</v>
      </c>
      <c r="BN237">
        <v>1.5</v>
      </c>
      <c r="BT237" t="s">
        <v>140</v>
      </c>
      <c r="BU237" t="s">
        <v>128</v>
      </c>
      <c r="CA237" t="s">
        <v>128</v>
      </c>
      <c r="CB237" t="s">
        <v>128</v>
      </c>
      <c r="CM237">
        <v>1.5</v>
      </c>
    </row>
    <row r="238" spans="1:111" x14ac:dyDescent="0.2">
      <c r="A238" t="s">
        <v>111</v>
      </c>
      <c r="B238" t="b">
        <v>1</v>
      </c>
      <c r="E238">
        <v>272</v>
      </c>
      <c r="F238" t="str">
        <f>HYPERLINK("https://portal.dnb.de/opac.htm?method=simpleSearch&amp;cqlMode=true&amp;query=idn%3D100396205X", "Portal")</f>
        <v>Portal</v>
      </c>
      <c r="G238" t="s">
        <v>207</v>
      </c>
      <c r="H238" t="s">
        <v>1529</v>
      </c>
      <c r="I238" t="s">
        <v>1530</v>
      </c>
      <c r="J238" t="s">
        <v>1531</v>
      </c>
      <c r="K238" t="s">
        <v>1531</v>
      </c>
      <c r="L238" t="s">
        <v>1532</v>
      </c>
      <c r="N238" t="s">
        <v>1533</v>
      </c>
      <c r="O238" t="s">
        <v>1534</v>
      </c>
      <c r="P238" t="s">
        <v>135</v>
      </c>
      <c r="R238" t="s">
        <v>188</v>
      </c>
      <c r="S238" t="s">
        <v>120</v>
      </c>
      <c r="T238" t="s">
        <v>136</v>
      </c>
      <c r="U238" t="s">
        <v>423</v>
      </c>
      <c r="W238" t="s">
        <v>138</v>
      </c>
      <c r="X238" t="s">
        <v>203</v>
      </c>
      <c r="Y238">
        <v>0</v>
      </c>
      <c r="AI238" t="s">
        <v>190</v>
      </c>
      <c r="AM238" t="s">
        <v>204</v>
      </c>
      <c r="AS238" t="s">
        <v>127</v>
      </c>
      <c r="BG238">
        <v>60</v>
      </c>
      <c r="BM238" t="s">
        <v>129</v>
      </c>
      <c r="BN238">
        <v>0</v>
      </c>
      <c r="BT238" t="s">
        <v>140</v>
      </c>
      <c r="BU238" t="s">
        <v>128</v>
      </c>
      <c r="BY238" t="s">
        <v>1535</v>
      </c>
    </row>
    <row r="239" spans="1:111" x14ac:dyDescent="0.2">
      <c r="A239" t="s">
        <v>111</v>
      </c>
      <c r="B239" t="b">
        <v>1</v>
      </c>
      <c r="C239" t="s">
        <v>128</v>
      </c>
      <c r="E239">
        <v>275</v>
      </c>
      <c r="F239" t="str">
        <f>HYPERLINK("https://portal.dnb.de/opac.htm?method=simpleSearch&amp;cqlMode=true&amp;query=idn%3D1003866549", "Portal")</f>
        <v>Portal</v>
      </c>
      <c r="G239" t="s">
        <v>112</v>
      </c>
      <c r="H239" t="s">
        <v>1536</v>
      </c>
      <c r="I239" t="s">
        <v>1537</v>
      </c>
      <c r="J239" t="s">
        <v>1538</v>
      </c>
      <c r="K239" t="s">
        <v>1539</v>
      </c>
      <c r="L239" t="s">
        <v>1540</v>
      </c>
      <c r="N239" t="s">
        <v>1541</v>
      </c>
      <c r="O239" t="s">
        <v>118</v>
      </c>
      <c r="P239" t="s">
        <v>135</v>
      </c>
      <c r="R239" t="s">
        <v>147</v>
      </c>
      <c r="S239" t="s">
        <v>120</v>
      </c>
      <c r="T239" t="s">
        <v>156</v>
      </c>
      <c r="U239" t="s">
        <v>1542</v>
      </c>
      <c r="W239" t="s">
        <v>67</v>
      </c>
      <c r="X239" t="s">
        <v>175</v>
      </c>
      <c r="Y239">
        <v>1</v>
      </c>
      <c r="AI239" t="s">
        <v>127</v>
      </c>
      <c r="AM239" t="s">
        <v>150</v>
      </c>
      <c r="AS239" t="s">
        <v>127</v>
      </c>
      <c r="BG239" t="s">
        <v>249</v>
      </c>
      <c r="BH239" t="s">
        <v>1543</v>
      </c>
      <c r="BI239" t="s">
        <v>128</v>
      </c>
      <c r="BJ239" t="s">
        <v>1544</v>
      </c>
      <c r="BM239" t="s">
        <v>206</v>
      </c>
      <c r="BN239">
        <v>2</v>
      </c>
      <c r="BP239" t="s">
        <v>177</v>
      </c>
      <c r="BV239" t="s">
        <v>1545</v>
      </c>
      <c r="CB239" t="s">
        <v>128</v>
      </c>
      <c r="CM239">
        <v>1.5</v>
      </c>
      <c r="CN239" t="s">
        <v>1546</v>
      </c>
      <c r="DF239">
        <v>0.5</v>
      </c>
      <c r="DG239" t="s">
        <v>1547</v>
      </c>
    </row>
    <row r="240" spans="1:111" x14ac:dyDescent="0.2">
      <c r="A240" t="s">
        <v>111</v>
      </c>
      <c r="B240" t="b">
        <v>1</v>
      </c>
      <c r="E240">
        <v>276</v>
      </c>
      <c r="F240" t="str">
        <f>HYPERLINK("https://portal.dnb.de/opac.htm?method=simpleSearch&amp;cqlMode=true&amp;query=idn%3D1005798427", "Portal")</f>
        <v>Portal</v>
      </c>
      <c r="G240" t="s">
        <v>112</v>
      </c>
      <c r="H240" t="s">
        <v>1548</v>
      </c>
      <c r="I240" t="s">
        <v>1549</v>
      </c>
      <c r="J240" t="s">
        <v>1550</v>
      </c>
      <c r="K240" t="s">
        <v>1550</v>
      </c>
      <c r="L240" t="s">
        <v>1551</v>
      </c>
      <c r="N240" t="s">
        <v>1552</v>
      </c>
      <c r="O240" t="s">
        <v>118</v>
      </c>
      <c r="P240" t="s">
        <v>135</v>
      </c>
      <c r="R240" t="s">
        <v>188</v>
      </c>
      <c r="S240" t="s">
        <v>120</v>
      </c>
      <c r="T240" t="s">
        <v>121</v>
      </c>
      <c r="W240" t="s">
        <v>67</v>
      </c>
      <c r="X240" t="s">
        <v>175</v>
      </c>
      <c r="Y240">
        <v>0</v>
      </c>
      <c r="AH240" t="s">
        <v>128</v>
      </c>
      <c r="AI240" t="s">
        <v>190</v>
      </c>
      <c r="AM240" t="s">
        <v>204</v>
      </c>
      <c r="AS240" t="s">
        <v>127</v>
      </c>
      <c r="AW240" t="s">
        <v>128</v>
      </c>
      <c r="BE240">
        <v>0</v>
      </c>
      <c r="BF240" t="s">
        <v>128</v>
      </c>
      <c r="BG240">
        <v>45</v>
      </c>
      <c r="BI240" t="s">
        <v>128</v>
      </c>
      <c r="BJ240" t="s">
        <v>1553</v>
      </c>
      <c r="BM240" t="s">
        <v>129</v>
      </c>
      <c r="BN240">
        <v>0</v>
      </c>
      <c r="BP240" t="s">
        <v>1554</v>
      </c>
      <c r="BV240" t="s">
        <v>1555</v>
      </c>
    </row>
    <row r="241" spans="1:110" x14ac:dyDescent="0.2">
      <c r="A241" t="s">
        <v>111</v>
      </c>
      <c r="B241" t="b">
        <v>1</v>
      </c>
      <c r="E241">
        <v>277</v>
      </c>
      <c r="F241" t="str">
        <f>HYPERLINK("https://portal.dnb.de/opac.htm?method=simpleSearch&amp;cqlMode=true&amp;query=idn%3D1003970923", "Portal")</f>
        <v>Portal</v>
      </c>
      <c r="G241" t="s">
        <v>1556</v>
      </c>
      <c r="H241" t="s">
        <v>1557</v>
      </c>
      <c r="I241" t="s">
        <v>1558</v>
      </c>
      <c r="J241" t="s">
        <v>1559</v>
      </c>
      <c r="K241" t="s">
        <v>1559</v>
      </c>
      <c r="L241" t="s">
        <v>1560</v>
      </c>
      <c r="N241" t="s">
        <v>1561</v>
      </c>
      <c r="O241" t="s">
        <v>118</v>
      </c>
      <c r="P241" t="s">
        <v>135</v>
      </c>
      <c r="R241" t="s">
        <v>119</v>
      </c>
      <c r="S241" t="s">
        <v>120</v>
      </c>
      <c r="T241" t="s">
        <v>136</v>
      </c>
      <c r="U241" t="s">
        <v>148</v>
      </c>
      <c r="W241" t="s">
        <v>138</v>
      </c>
      <c r="X241" t="s">
        <v>203</v>
      </c>
      <c r="Y241">
        <v>0</v>
      </c>
      <c r="AI241" t="s">
        <v>469</v>
      </c>
      <c r="AM241" t="s">
        <v>126</v>
      </c>
      <c r="AS241" t="s">
        <v>127</v>
      </c>
      <c r="BG241">
        <v>110</v>
      </c>
      <c r="BM241" t="s">
        <v>129</v>
      </c>
      <c r="BN241">
        <v>0</v>
      </c>
      <c r="BT241" t="s">
        <v>140</v>
      </c>
      <c r="BU241" t="s">
        <v>128</v>
      </c>
      <c r="BY241" t="s">
        <v>141</v>
      </c>
    </row>
    <row r="242" spans="1:110" x14ac:dyDescent="0.2">
      <c r="A242" t="s">
        <v>111</v>
      </c>
      <c r="B242" t="b">
        <v>1</v>
      </c>
      <c r="E242">
        <v>278</v>
      </c>
      <c r="F242" t="str">
        <f>HYPERLINK("https://portal.dnb.de/opac.htm?method=simpleSearch&amp;cqlMode=true&amp;query=idn%3D1003825265", "Portal")</f>
        <v>Portal</v>
      </c>
      <c r="G242" t="s">
        <v>939</v>
      </c>
      <c r="H242" t="s">
        <v>1562</v>
      </c>
      <c r="I242" t="s">
        <v>1563</v>
      </c>
      <c r="J242" t="s">
        <v>1564</v>
      </c>
      <c r="K242" t="s">
        <v>1564</v>
      </c>
      <c r="L242" t="s">
        <v>1565</v>
      </c>
      <c r="N242" t="s">
        <v>1566</v>
      </c>
      <c r="O242" t="s">
        <v>1567</v>
      </c>
      <c r="P242" t="s">
        <v>135</v>
      </c>
      <c r="R242" t="s">
        <v>188</v>
      </c>
      <c r="S242" t="s">
        <v>120</v>
      </c>
      <c r="T242" t="s">
        <v>121</v>
      </c>
      <c r="U242" t="s">
        <v>378</v>
      </c>
      <c r="W242" t="s">
        <v>138</v>
      </c>
      <c r="X242" t="s">
        <v>203</v>
      </c>
      <c r="Y242">
        <v>0</v>
      </c>
      <c r="AH242" t="s">
        <v>128</v>
      </c>
      <c r="AI242" t="s">
        <v>469</v>
      </c>
      <c r="AM242" t="s">
        <v>191</v>
      </c>
      <c r="AS242" t="s">
        <v>127</v>
      </c>
      <c r="AW242" t="s">
        <v>128</v>
      </c>
      <c r="BE242">
        <v>0</v>
      </c>
      <c r="BF242" t="s">
        <v>128</v>
      </c>
      <c r="BG242">
        <v>45</v>
      </c>
      <c r="BM242" t="s">
        <v>129</v>
      </c>
      <c r="BN242">
        <v>0</v>
      </c>
      <c r="BT242" t="s">
        <v>140</v>
      </c>
      <c r="BU242" t="s">
        <v>128</v>
      </c>
    </row>
    <row r="243" spans="1:110" x14ac:dyDescent="0.2">
      <c r="A243" t="s">
        <v>111</v>
      </c>
      <c r="B243" t="b">
        <v>1</v>
      </c>
      <c r="E243">
        <v>279</v>
      </c>
      <c r="F243" t="str">
        <f>HYPERLINK("https://portal.dnb.de/opac.htm?method=simpleSearch&amp;cqlMode=true&amp;query=idn%3D1003964966", "Portal")</f>
        <v>Portal</v>
      </c>
      <c r="G243" t="s">
        <v>112</v>
      </c>
      <c r="H243" t="s">
        <v>1568</v>
      </c>
      <c r="I243" t="s">
        <v>1569</v>
      </c>
      <c r="J243" t="s">
        <v>1570</v>
      </c>
      <c r="K243" t="s">
        <v>1571</v>
      </c>
      <c r="L243" t="s">
        <v>1572</v>
      </c>
      <c r="N243" t="s">
        <v>1573</v>
      </c>
      <c r="O243" t="s">
        <v>118</v>
      </c>
      <c r="P243" t="s">
        <v>135</v>
      </c>
      <c r="R243" t="s">
        <v>188</v>
      </c>
      <c r="S243" t="s">
        <v>120</v>
      </c>
      <c r="T243" t="s">
        <v>136</v>
      </c>
      <c r="U243" t="s">
        <v>423</v>
      </c>
      <c r="W243" t="s">
        <v>67</v>
      </c>
      <c r="X243" t="s">
        <v>175</v>
      </c>
      <c r="Y243">
        <v>0</v>
      </c>
      <c r="AI243" t="s">
        <v>190</v>
      </c>
      <c r="AL243" t="s">
        <v>128</v>
      </c>
      <c r="AM243" t="s">
        <v>191</v>
      </c>
      <c r="AS243" t="s">
        <v>127</v>
      </c>
      <c r="AX243" t="s">
        <v>128</v>
      </c>
      <c r="BG243">
        <v>110</v>
      </c>
      <c r="BK243" t="s">
        <v>128</v>
      </c>
      <c r="BM243" t="s">
        <v>129</v>
      </c>
      <c r="BN243">
        <v>0</v>
      </c>
      <c r="BP243" t="s">
        <v>177</v>
      </c>
    </row>
    <row r="244" spans="1:110" x14ac:dyDescent="0.2">
      <c r="A244" t="s">
        <v>111</v>
      </c>
      <c r="B244" t="b">
        <v>0</v>
      </c>
      <c r="E244">
        <v>280</v>
      </c>
      <c r="F244" t="str">
        <f>HYPERLINK("https://portal.dnb.de/opac.htm?method=simpleSearch&amp;cqlMode=true&amp;query=idn%3D1003991246", "Portal")</f>
        <v>Portal</v>
      </c>
      <c r="G244" t="s">
        <v>112</v>
      </c>
      <c r="H244" t="s">
        <v>1574</v>
      </c>
      <c r="I244" t="s">
        <v>1575</v>
      </c>
      <c r="J244" t="s">
        <v>1576</v>
      </c>
      <c r="L244" t="s">
        <v>1576</v>
      </c>
      <c r="P244" t="s">
        <v>135</v>
      </c>
      <c r="R244" t="s">
        <v>188</v>
      </c>
      <c r="S244" t="s">
        <v>120</v>
      </c>
      <c r="T244" t="s">
        <v>156</v>
      </c>
      <c r="U244" t="s">
        <v>423</v>
      </c>
      <c r="W244" t="s">
        <v>138</v>
      </c>
      <c r="X244" t="s">
        <v>203</v>
      </c>
      <c r="Y244">
        <v>0</v>
      </c>
      <c r="AI244" t="s">
        <v>190</v>
      </c>
      <c r="AM244" t="s">
        <v>204</v>
      </c>
      <c r="AS244" t="s">
        <v>127</v>
      </c>
      <c r="BG244">
        <v>110</v>
      </c>
      <c r="BM244" t="s">
        <v>129</v>
      </c>
      <c r="BN244">
        <v>0</v>
      </c>
      <c r="BQ244" t="s">
        <v>1577</v>
      </c>
      <c r="BU244" t="s">
        <v>128</v>
      </c>
      <c r="BV244" t="s">
        <v>1578</v>
      </c>
      <c r="BY244" t="s">
        <v>1579</v>
      </c>
    </row>
    <row r="245" spans="1:110" x14ac:dyDescent="0.2">
      <c r="A245" t="s">
        <v>111</v>
      </c>
      <c r="B245" t="b">
        <v>1</v>
      </c>
      <c r="E245">
        <v>281</v>
      </c>
      <c r="F245" t="str">
        <f>HYPERLINK("https://portal.dnb.de/opac.htm?method=simpleSearch&amp;cqlMode=true&amp;query=idn%3D1003936539", "Portal")</f>
        <v>Portal</v>
      </c>
      <c r="G245" t="s">
        <v>112</v>
      </c>
      <c r="H245" t="s">
        <v>1580</v>
      </c>
      <c r="I245" t="s">
        <v>1581</v>
      </c>
      <c r="J245" t="s">
        <v>1582</v>
      </c>
      <c r="K245" t="s">
        <v>1582</v>
      </c>
      <c r="L245" t="s">
        <v>1583</v>
      </c>
      <c r="N245" t="s">
        <v>1584</v>
      </c>
      <c r="O245" t="s">
        <v>118</v>
      </c>
      <c r="P245" t="s">
        <v>135</v>
      </c>
      <c r="R245" t="s">
        <v>188</v>
      </c>
      <c r="S245" t="s">
        <v>120</v>
      </c>
      <c r="T245" t="s">
        <v>136</v>
      </c>
      <c r="U245" t="s">
        <v>364</v>
      </c>
      <c r="W245" t="s">
        <v>138</v>
      </c>
      <c r="X245" t="s">
        <v>203</v>
      </c>
      <c r="Y245">
        <v>1</v>
      </c>
      <c r="AH245" t="s">
        <v>128</v>
      </c>
      <c r="AI245" t="s">
        <v>190</v>
      </c>
      <c r="AM245" t="s">
        <v>191</v>
      </c>
      <c r="AS245" t="s">
        <v>127</v>
      </c>
      <c r="BE245">
        <v>4</v>
      </c>
      <c r="BG245">
        <v>110</v>
      </c>
      <c r="BM245" t="s">
        <v>129</v>
      </c>
      <c r="BN245">
        <v>0</v>
      </c>
      <c r="BT245" t="s">
        <v>140</v>
      </c>
      <c r="BU245" t="s">
        <v>128</v>
      </c>
    </row>
    <row r="246" spans="1:110" x14ac:dyDescent="0.2">
      <c r="A246" t="s">
        <v>111</v>
      </c>
      <c r="B246" t="b">
        <v>1</v>
      </c>
      <c r="E246">
        <v>282</v>
      </c>
      <c r="F246" t="str">
        <f>HYPERLINK("https://portal.dnb.de/opac.htm?method=simpleSearch&amp;cqlMode=true&amp;query=idn%3D1066844291", "Portal")</f>
        <v>Portal</v>
      </c>
      <c r="G246" t="s">
        <v>163</v>
      </c>
      <c r="H246" t="s">
        <v>1585</v>
      </c>
      <c r="I246" t="s">
        <v>1586</v>
      </c>
      <c r="J246" t="s">
        <v>1587</v>
      </c>
      <c r="K246" t="s">
        <v>1587</v>
      </c>
      <c r="L246" t="s">
        <v>1588</v>
      </c>
      <c r="N246" t="s">
        <v>1589</v>
      </c>
      <c r="O246" t="s">
        <v>118</v>
      </c>
      <c r="P246" t="s">
        <v>135</v>
      </c>
      <c r="R246" t="s">
        <v>1590</v>
      </c>
      <c r="S246" t="s">
        <v>120</v>
      </c>
      <c r="U246" t="s">
        <v>1179</v>
      </c>
      <c r="V246" t="s">
        <v>123</v>
      </c>
      <c r="X246" t="s">
        <v>139</v>
      </c>
      <c r="Y246">
        <v>1</v>
      </c>
      <c r="AH246" t="s">
        <v>128</v>
      </c>
      <c r="AI246" t="s">
        <v>1591</v>
      </c>
      <c r="AM246" t="s">
        <v>191</v>
      </c>
      <c r="AS246" t="s">
        <v>127</v>
      </c>
      <c r="AV246" t="s">
        <v>128</v>
      </c>
      <c r="BC246" t="s">
        <v>1592</v>
      </c>
      <c r="BD246" t="s">
        <v>128</v>
      </c>
      <c r="BG246">
        <v>180</v>
      </c>
      <c r="BM246" t="s">
        <v>129</v>
      </c>
      <c r="BN246">
        <v>0</v>
      </c>
      <c r="BU246" t="s">
        <v>128</v>
      </c>
      <c r="BV246" t="s">
        <v>1593</v>
      </c>
      <c r="BY246" t="s">
        <v>1594</v>
      </c>
    </row>
    <row r="247" spans="1:110" x14ac:dyDescent="0.2">
      <c r="A247" t="s">
        <v>111</v>
      </c>
      <c r="B247" t="b">
        <v>1</v>
      </c>
      <c r="E247">
        <v>283</v>
      </c>
      <c r="F247" t="str">
        <f>HYPERLINK("https://portal.dnb.de/opac.htm?method=simpleSearch&amp;cqlMode=true&amp;query=idn%3D1003826415", "Portal")</f>
        <v>Portal</v>
      </c>
      <c r="G247" t="s">
        <v>112</v>
      </c>
      <c r="H247" t="s">
        <v>1595</v>
      </c>
      <c r="I247" t="s">
        <v>1596</v>
      </c>
      <c r="J247" t="s">
        <v>1597</v>
      </c>
      <c r="K247" t="s">
        <v>1597</v>
      </c>
      <c r="L247" t="s">
        <v>1598</v>
      </c>
      <c r="N247" t="s">
        <v>1599</v>
      </c>
      <c r="O247" t="s">
        <v>118</v>
      </c>
      <c r="P247" t="s">
        <v>135</v>
      </c>
      <c r="R247" t="s">
        <v>188</v>
      </c>
      <c r="S247" t="s">
        <v>120</v>
      </c>
      <c r="T247" t="s">
        <v>136</v>
      </c>
      <c r="U247" t="s">
        <v>412</v>
      </c>
      <c r="W247" t="s">
        <v>68</v>
      </c>
      <c r="X247" t="s">
        <v>175</v>
      </c>
      <c r="Y247">
        <v>1</v>
      </c>
      <c r="AH247" t="s">
        <v>128</v>
      </c>
      <c r="AI247" t="s">
        <v>190</v>
      </c>
      <c r="AL247" t="s">
        <v>128</v>
      </c>
      <c r="AM247" t="s">
        <v>204</v>
      </c>
      <c r="AS247" t="s">
        <v>127</v>
      </c>
      <c r="BE247">
        <v>2</v>
      </c>
      <c r="BG247">
        <v>110</v>
      </c>
      <c r="BM247" t="s">
        <v>129</v>
      </c>
      <c r="BN247">
        <v>0</v>
      </c>
      <c r="BQ247" t="s">
        <v>193</v>
      </c>
      <c r="BT247" t="s">
        <v>194</v>
      </c>
    </row>
    <row r="248" spans="1:110" x14ac:dyDescent="0.2">
      <c r="A248" t="s">
        <v>111</v>
      </c>
      <c r="B248" t="b">
        <v>1</v>
      </c>
      <c r="E248">
        <v>284</v>
      </c>
      <c r="F248" t="str">
        <f>HYPERLINK("https://portal.dnb.de/opac.htm?method=simpleSearch&amp;cqlMode=true&amp;query=idn%3D1003872751", "Portal")</f>
        <v>Portal</v>
      </c>
      <c r="G248" t="s">
        <v>112</v>
      </c>
      <c r="H248" t="s">
        <v>1600</v>
      </c>
      <c r="I248" t="s">
        <v>1601</v>
      </c>
      <c r="J248" t="s">
        <v>1602</v>
      </c>
      <c r="K248" t="s">
        <v>1602</v>
      </c>
      <c r="L248" t="s">
        <v>1603</v>
      </c>
      <c r="N248" t="s">
        <v>1604</v>
      </c>
      <c r="O248" t="s">
        <v>118</v>
      </c>
      <c r="P248" t="s">
        <v>135</v>
      </c>
      <c r="R248" t="s">
        <v>1025</v>
      </c>
      <c r="S248" t="s">
        <v>120</v>
      </c>
      <c r="T248" t="s">
        <v>136</v>
      </c>
      <c r="U248" t="s">
        <v>519</v>
      </c>
      <c r="W248" t="s">
        <v>67</v>
      </c>
      <c r="X248" t="s">
        <v>175</v>
      </c>
      <c r="Y248">
        <v>0</v>
      </c>
      <c r="AH248" t="s">
        <v>128</v>
      </c>
      <c r="AI248" t="s">
        <v>125</v>
      </c>
      <c r="AL248" t="s">
        <v>128</v>
      </c>
      <c r="AM248" t="s">
        <v>150</v>
      </c>
      <c r="AN248" t="s">
        <v>128</v>
      </c>
      <c r="AS248" t="s">
        <v>127</v>
      </c>
      <c r="BG248">
        <v>110</v>
      </c>
      <c r="BK248" t="s">
        <v>128</v>
      </c>
      <c r="BM248" t="s">
        <v>129</v>
      </c>
      <c r="BN248">
        <v>0</v>
      </c>
      <c r="BP248" t="s">
        <v>177</v>
      </c>
    </row>
    <row r="249" spans="1:110" x14ac:dyDescent="0.2">
      <c r="A249" t="s">
        <v>111</v>
      </c>
      <c r="B249" t="b">
        <v>1</v>
      </c>
      <c r="E249">
        <v>285</v>
      </c>
      <c r="F249" t="str">
        <f>HYPERLINK("https://portal.dnb.de/opac.htm?method=simpleSearch&amp;cqlMode=true&amp;query=idn%3D1003801838", "Portal")</f>
        <v>Portal</v>
      </c>
      <c r="G249" t="s">
        <v>112</v>
      </c>
      <c r="H249" t="s">
        <v>1605</v>
      </c>
      <c r="I249" t="s">
        <v>1606</v>
      </c>
      <c r="J249" t="s">
        <v>1607</v>
      </c>
      <c r="K249" t="s">
        <v>1607</v>
      </c>
      <c r="L249" t="s">
        <v>1608</v>
      </c>
      <c r="N249" t="s">
        <v>1609</v>
      </c>
      <c r="O249" t="s">
        <v>118</v>
      </c>
      <c r="P249" t="s">
        <v>135</v>
      </c>
      <c r="R249" t="s">
        <v>147</v>
      </c>
      <c r="S249" t="s">
        <v>120</v>
      </c>
      <c r="T249" t="s">
        <v>156</v>
      </c>
      <c r="X249" t="s">
        <v>124</v>
      </c>
      <c r="Y249">
        <v>0</v>
      </c>
      <c r="AI249" t="s">
        <v>127</v>
      </c>
      <c r="AM249" t="s">
        <v>150</v>
      </c>
      <c r="AS249" t="s">
        <v>127</v>
      </c>
      <c r="BG249">
        <v>110</v>
      </c>
      <c r="BM249" t="s">
        <v>129</v>
      </c>
      <c r="BN249">
        <v>0</v>
      </c>
    </row>
    <row r="250" spans="1:110" x14ac:dyDescent="0.2">
      <c r="A250" t="s">
        <v>111</v>
      </c>
      <c r="B250" t="b">
        <v>1</v>
      </c>
      <c r="C250" t="s">
        <v>128</v>
      </c>
      <c r="E250">
        <v>286</v>
      </c>
      <c r="F250" t="str">
        <f>HYPERLINK("https://portal.dnb.de/opac.htm?method=simpleSearch&amp;cqlMode=true&amp;query=idn%3D1003966098", "Portal")</f>
        <v>Portal</v>
      </c>
      <c r="G250" t="s">
        <v>112</v>
      </c>
      <c r="H250" t="s">
        <v>1610</v>
      </c>
      <c r="I250" t="s">
        <v>1611</v>
      </c>
      <c r="J250" t="s">
        <v>1612</v>
      </c>
      <c r="K250" t="s">
        <v>1612</v>
      </c>
      <c r="L250" t="s">
        <v>1613</v>
      </c>
      <c r="N250" t="s">
        <v>1614</v>
      </c>
      <c r="O250" t="s">
        <v>118</v>
      </c>
      <c r="P250" t="s">
        <v>135</v>
      </c>
      <c r="R250" t="s">
        <v>1590</v>
      </c>
      <c r="S250" t="s">
        <v>120</v>
      </c>
      <c r="T250" t="s">
        <v>156</v>
      </c>
      <c r="W250" t="s">
        <v>138</v>
      </c>
      <c r="X250" t="s">
        <v>203</v>
      </c>
      <c r="Y250">
        <v>2</v>
      </c>
      <c r="AI250" t="s">
        <v>1591</v>
      </c>
      <c r="AM250" t="s">
        <v>191</v>
      </c>
      <c r="AS250" t="s">
        <v>127</v>
      </c>
      <c r="BG250">
        <v>110</v>
      </c>
      <c r="BM250" t="s">
        <v>206</v>
      </c>
      <c r="BN250">
        <v>1</v>
      </c>
      <c r="BT250" t="s">
        <v>140</v>
      </c>
      <c r="BU250" t="s">
        <v>128</v>
      </c>
      <c r="BV250" t="s">
        <v>1593</v>
      </c>
      <c r="BY250" t="s">
        <v>1594</v>
      </c>
      <c r="CD250" t="s">
        <v>128</v>
      </c>
      <c r="CK250" t="s">
        <v>684</v>
      </c>
      <c r="CM250">
        <v>0.5</v>
      </c>
      <c r="CT250" t="s">
        <v>128</v>
      </c>
      <c r="DF250">
        <v>0.5</v>
      </c>
    </row>
    <row r="251" spans="1:110" x14ac:dyDescent="0.2">
      <c r="A251" t="s">
        <v>111</v>
      </c>
      <c r="B251" t="b">
        <v>1</v>
      </c>
      <c r="E251">
        <v>288</v>
      </c>
      <c r="F251" t="str">
        <f>HYPERLINK("https://portal.dnb.de/opac.htm?method=simpleSearch&amp;cqlMode=true&amp;query=idn%3D1066956480", "Portal")</f>
        <v>Portal</v>
      </c>
      <c r="G251" t="s">
        <v>163</v>
      </c>
      <c r="H251" t="s">
        <v>1615</v>
      </c>
      <c r="I251" t="s">
        <v>1616</v>
      </c>
      <c r="J251" t="s">
        <v>1617</v>
      </c>
      <c r="K251" t="s">
        <v>1617</v>
      </c>
      <c r="L251" t="s">
        <v>1618</v>
      </c>
      <c r="N251" t="s">
        <v>1619</v>
      </c>
      <c r="O251" t="s">
        <v>118</v>
      </c>
      <c r="P251" t="s">
        <v>135</v>
      </c>
      <c r="R251" t="s">
        <v>147</v>
      </c>
      <c r="S251" t="s">
        <v>120</v>
      </c>
      <c r="T251" t="s">
        <v>136</v>
      </c>
      <c r="U251" t="s">
        <v>553</v>
      </c>
      <c r="V251" t="s">
        <v>123</v>
      </c>
      <c r="X251" t="s">
        <v>124</v>
      </c>
      <c r="Y251">
        <v>0</v>
      </c>
      <c r="AA251" t="s">
        <v>320</v>
      </c>
      <c r="AI251" t="s">
        <v>127</v>
      </c>
      <c r="AM251" t="s">
        <v>150</v>
      </c>
      <c r="AS251" t="s">
        <v>127</v>
      </c>
      <c r="AW251" t="s">
        <v>128</v>
      </c>
      <c r="BG251">
        <v>110</v>
      </c>
      <c r="BM251" t="s">
        <v>129</v>
      </c>
      <c r="BN251">
        <v>0</v>
      </c>
    </row>
    <row r="252" spans="1:110" x14ac:dyDescent="0.2">
      <c r="A252" t="s">
        <v>111</v>
      </c>
      <c r="B252" t="b">
        <v>1</v>
      </c>
      <c r="C252" t="s">
        <v>128</v>
      </c>
      <c r="E252">
        <v>289</v>
      </c>
      <c r="F252" t="str">
        <f>HYPERLINK("https://portal.dnb.de/opac.htm?method=simpleSearch&amp;cqlMode=true&amp;query=idn%3D1003866573", "Portal")</f>
        <v>Portal</v>
      </c>
      <c r="G252" t="s">
        <v>112</v>
      </c>
      <c r="H252" t="s">
        <v>1620</v>
      </c>
      <c r="I252" t="s">
        <v>1621</v>
      </c>
      <c r="J252" t="s">
        <v>1622</v>
      </c>
      <c r="K252" t="s">
        <v>1622</v>
      </c>
      <c r="L252" t="s">
        <v>1623</v>
      </c>
      <c r="N252" t="s">
        <v>1624</v>
      </c>
      <c r="O252" t="s">
        <v>118</v>
      </c>
      <c r="P252" t="s">
        <v>135</v>
      </c>
      <c r="R252" t="s">
        <v>119</v>
      </c>
      <c r="S252" t="s">
        <v>120</v>
      </c>
      <c r="T252" t="s">
        <v>136</v>
      </c>
      <c r="U252" t="s">
        <v>1625</v>
      </c>
      <c r="W252" t="s">
        <v>138</v>
      </c>
      <c r="X252" t="s">
        <v>203</v>
      </c>
      <c r="Y252">
        <v>1</v>
      </c>
      <c r="AI252" t="s">
        <v>125</v>
      </c>
      <c r="AM252" t="s">
        <v>126</v>
      </c>
      <c r="AN252" t="s">
        <v>128</v>
      </c>
      <c r="AS252" t="s">
        <v>127</v>
      </c>
      <c r="AZ252" t="s">
        <v>128</v>
      </c>
      <c r="BA252" t="s">
        <v>1626</v>
      </c>
      <c r="BG252">
        <v>80</v>
      </c>
      <c r="BM252" t="s">
        <v>206</v>
      </c>
      <c r="BN252">
        <v>2.5</v>
      </c>
      <c r="BT252" t="s">
        <v>140</v>
      </c>
      <c r="BU252" t="s">
        <v>128</v>
      </c>
      <c r="BV252" t="s">
        <v>1627</v>
      </c>
      <c r="BY252" t="s">
        <v>141</v>
      </c>
      <c r="CW252" t="s">
        <v>128</v>
      </c>
      <c r="CZ252" t="s">
        <v>128</v>
      </c>
      <c r="DA252" t="s">
        <v>128</v>
      </c>
      <c r="DF252">
        <v>2.5</v>
      </c>
    </row>
    <row r="253" spans="1:110" x14ac:dyDescent="0.2">
      <c r="A253" t="s">
        <v>111</v>
      </c>
      <c r="B253" t="b">
        <v>1</v>
      </c>
      <c r="E253">
        <v>290</v>
      </c>
      <c r="F253" t="str">
        <f>HYPERLINK("https://portal.dnb.de/opac.htm?method=simpleSearch&amp;cqlMode=true&amp;query=idn%3D1066942153", "Portal")</f>
        <v>Portal</v>
      </c>
      <c r="G253" t="s">
        <v>163</v>
      </c>
      <c r="H253" t="s">
        <v>1628</v>
      </c>
      <c r="I253" t="s">
        <v>1629</v>
      </c>
      <c r="J253" t="s">
        <v>1630</v>
      </c>
      <c r="K253" t="s">
        <v>1630</v>
      </c>
      <c r="L253" t="s">
        <v>1631</v>
      </c>
      <c r="N253" t="s">
        <v>1632</v>
      </c>
      <c r="O253" t="s">
        <v>118</v>
      </c>
      <c r="P253" t="s">
        <v>135</v>
      </c>
      <c r="R253" t="s">
        <v>147</v>
      </c>
      <c r="S253" t="s">
        <v>120</v>
      </c>
      <c r="T253" t="s">
        <v>136</v>
      </c>
      <c r="U253" t="s">
        <v>553</v>
      </c>
      <c r="V253" t="s">
        <v>123</v>
      </c>
      <c r="X253" t="s">
        <v>124</v>
      </c>
      <c r="Y253">
        <v>0</v>
      </c>
      <c r="AI253" t="s">
        <v>127</v>
      </c>
      <c r="AM253" t="s">
        <v>150</v>
      </c>
      <c r="AS253" t="s">
        <v>127</v>
      </c>
      <c r="BG253">
        <v>110</v>
      </c>
      <c r="BM253" t="s">
        <v>129</v>
      </c>
      <c r="BN253">
        <v>0</v>
      </c>
    </row>
    <row r="254" spans="1:110" x14ac:dyDescent="0.2">
      <c r="A254" t="s">
        <v>111</v>
      </c>
      <c r="B254" t="b">
        <v>1</v>
      </c>
      <c r="E254">
        <v>291</v>
      </c>
      <c r="F254" t="str">
        <f>HYPERLINK("https://portal.dnb.de/opac.htm?method=simpleSearch&amp;cqlMode=true&amp;query=idn%3D1066957134", "Portal")</f>
        <v>Portal</v>
      </c>
      <c r="G254" t="s">
        <v>163</v>
      </c>
      <c r="H254" t="s">
        <v>1633</v>
      </c>
      <c r="I254" t="s">
        <v>1634</v>
      </c>
      <c r="J254" t="s">
        <v>1635</v>
      </c>
      <c r="K254" t="s">
        <v>1635</v>
      </c>
      <c r="L254" t="s">
        <v>1636</v>
      </c>
      <c r="N254" t="s">
        <v>1637</v>
      </c>
      <c r="O254" t="s">
        <v>118</v>
      </c>
      <c r="P254" t="s">
        <v>135</v>
      </c>
      <c r="R254" t="s">
        <v>1590</v>
      </c>
      <c r="S254" t="s">
        <v>120</v>
      </c>
      <c r="T254" t="s">
        <v>136</v>
      </c>
      <c r="W254" t="s">
        <v>138</v>
      </c>
      <c r="X254" t="s">
        <v>203</v>
      </c>
      <c r="Y254">
        <v>1</v>
      </c>
      <c r="AI254" t="s">
        <v>1591</v>
      </c>
      <c r="AL254" t="s">
        <v>128</v>
      </c>
      <c r="AM254" t="s">
        <v>191</v>
      </c>
      <c r="AS254" t="s">
        <v>127</v>
      </c>
      <c r="AV254" t="s">
        <v>128</v>
      </c>
      <c r="BG254">
        <v>110</v>
      </c>
      <c r="BM254" t="s">
        <v>129</v>
      </c>
      <c r="BN254">
        <v>0</v>
      </c>
      <c r="BT254" t="s">
        <v>140</v>
      </c>
      <c r="BU254" t="s">
        <v>128</v>
      </c>
      <c r="BV254" t="s">
        <v>1593</v>
      </c>
      <c r="BY254" t="s">
        <v>1638</v>
      </c>
    </row>
    <row r="255" spans="1:110" x14ac:dyDescent="0.2">
      <c r="A255" t="s">
        <v>111</v>
      </c>
      <c r="B255" t="b">
        <v>1</v>
      </c>
      <c r="E255">
        <v>292</v>
      </c>
      <c r="F255" t="str">
        <f>HYPERLINK("https://portal.dnb.de/opac.htm?method=simpleSearch&amp;cqlMode=true&amp;query=idn%3D1066962839", "Portal")</f>
        <v>Portal</v>
      </c>
      <c r="G255" t="s">
        <v>163</v>
      </c>
      <c r="H255" t="s">
        <v>1639</v>
      </c>
      <c r="I255" t="s">
        <v>1640</v>
      </c>
      <c r="J255" t="s">
        <v>1641</v>
      </c>
      <c r="K255" t="s">
        <v>1641</v>
      </c>
      <c r="L255" t="s">
        <v>1642</v>
      </c>
      <c r="N255" t="s">
        <v>1643</v>
      </c>
      <c r="O255" t="s">
        <v>118</v>
      </c>
      <c r="P255" t="s">
        <v>135</v>
      </c>
      <c r="R255" t="s">
        <v>188</v>
      </c>
      <c r="S255" t="s">
        <v>120</v>
      </c>
      <c r="T255" t="s">
        <v>136</v>
      </c>
      <c r="U255" t="s">
        <v>364</v>
      </c>
      <c r="W255" t="s">
        <v>67</v>
      </c>
      <c r="X255" t="s">
        <v>175</v>
      </c>
      <c r="Y255">
        <v>0</v>
      </c>
      <c r="AI255" t="s">
        <v>190</v>
      </c>
      <c r="AL255" t="s">
        <v>128</v>
      </c>
      <c r="AM255" t="s">
        <v>191</v>
      </c>
      <c r="AS255" t="s">
        <v>127</v>
      </c>
      <c r="AX255" t="s">
        <v>470</v>
      </c>
      <c r="BE255">
        <v>0</v>
      </c>
      <c r="BF255" t="s">
        <v>128</v>
      </c>
      <c r="BG255">
        <v>110</v>
      </c>
      <c r="BM255" t="s">
        <v>129</v>
      </c>
      <c r="BN255">
        <v>0</v>
      </c>
      <c r="BP255" t="s">
        <v>177</v>
      </c>
      <c r="BV255" t="s">
        <v>1644</v>
      </c>
    </row>
    <row r="256" spans="1:110" x14ac:dyDescent="0.2">
      <c r="A256" t="s">
        <v>111</v>
      </c>
      <c r="B256" t="b">
        <v>1</v>
      </c>
      <c r="F256" t="str">
        <f>HYPERLINK("https://portal.dnb.de/opac.htm?method=simpleSearch&amp;cqlMode=true&amp;query=idn%3D1137888385", "Portal")</f>
        <v>Portal</v>
      </c>
      <c r="G256" t="s">
        <v>157</v>
      </c>
      <c r="H256" t="s">
        <v>1645</v>
      </c>
      <c r="I256" t="s">
        <v>1646</v>
      </c>
      <c r="J256" t="s">
        <v>1647</v>
      </c>
      <c r="K256" t="s">
        <v>1647</v>
      </c>
      <c r="L256" t="s">
        <v>1647</v>
      </c>
      <c r="N256" t="s">
        <v>220</v>
      </c>
      <c r="O256" t="s">
        <v>118</v>
      </c>
      <c r="P256" t="s">
        <v>135</v>
      </c>
      <c r="R256" t="s">
        <v>467</v>
      </c>
      <c r="S256" t="s">
        <v>120</v>
      </c>
      <c r="T256" t="s">
        <v>136</v>
      </c>
      <c r="U256" t="s">
        <v>378</v>
      </c>
      <c r="W256" t="s">
        <v>67</v>
      </c>
      <c r="X256" t="s">
        <v>175</v>
      </c>
      <c r="Y256">
        <v>0</v>
      </c>
      <c r="AI256" t="s">
        <v>469</v>
      </c>
      <c r="AL256" t="s">
        <v>128</v>
      </c>
      <c r="AM256" t="s">
        <v>191</v>
      </c>
      <c r="AS256" t="s">
        <v>127</v>
      </c>
      <c r="AX256" t="s">
        <v>128</v>
      </c>
      <c r="BE256">
        <v>0</v>
      </c>
      <c r="BF256" t="s">
        <v>128</v>
      </c>
      <c r="BG256">
        <v>110</v>
      </c>
      <c r="BM256" t="s">
        <v>129</v>
      </c>
      <c r="BN256">
        <v>0</v>
      </c>
      <c r="BP256" t="s">
        <v>177</v>
      </c>
    </row>
    <row r="257" spans="1:111" x14ac:dyDescent="0.2">
      <c r="A257" t="s">
        <v>111</v>
      </c>
      <c r="B257" t="b">
        <v>1</v>
      </c>
      <c r="F257" t="str">
        <f>HYPERLINK("https://portal.dnb.de/opac.htm?method=simpleSearch&amp;cqlMode=true&amp;query=idn%3D1262272882", "Portal")</f>
        <v>Portal</v>
      </c>
      <c r="G257" t="s">
        <v>157</v>
      </c>
      <c r="H257" t="s">
        <v>1648</v>
      </c>
      <c r="I257" t="s">
        <v>1649</v>
      </c>
      <c r="J257" t="s">
        <v>1650</v>
      </c>
      <c r="K257" t="s">
        <v>1650</v>
      </c>
      <c r="L257" t="s">
        <v>1650</v>
      </c>
      <c r="N257" t="s">
        <v>220</v>
      </c>
      <c r="O257" t="s">
        <v>118</v>
      </c>
      <c r="AI257" t="s">
        <v>125</v>
      </c>
      <c r="AM257" t="s">
        <v>126</v>
      </c>
      <c r="AS257" t="s">
        <v>127</v>
      </c>
      <c r="AZ257" t="s">
        <v>128</v>
      </c>
      <c r="BG257">
        <v>110</v>
      </c>
      <c r="BM257" t="s">
        <v>129</v>
      </c>
      <c r="BN257">
        <v>0</v>
      </c>
      <c r="BT257" t="s">
        <v>140</v>
      </c>
      <c r="BU257" t="s">
        <v>128</v>
      </c>
      <c r="BY257" t="s">
        <v>141</v>
      </c>
    </row>
    <row r="258" spans="1:111" x14ac:dyDescent="0.2">
      <c r="A258" t="s">
        <v>111</v>
      </c>
      <c r="B258" t="b">
        <v>0</v>
      </c>
      <c r="F258" t="str">
        <f>HYPERLINK("https://portal.dnb.de/opac.htm?method=simpleSearch&amp;cqlMode=true&amp;query=idn%3D", "Portal")</f>
        <v>Portal</v>
      </c>
      <c r="L258" t="s">
        <v>1651</v>
      </c>
      <c r="M258" t="s">
        <v>1652</v>
      </c>
      <c r="P258" t="s">
        <v>128</v>
      </c>
      <c r="R258" t="s">
        <v>188</v>
      </c>
      <c r="S258" t="s">
        <v>120</v>
      </c>
      <c r="T258" t="s">
        <v>121</v>
      </c>
      <c r="U258" t="s">
        <v>378</v>
      </c>
      <c r="W258" t="s">
        <v>138</v>
      </c>
      <c r="X258" t="s">
        <v>139</v>
      </c>
      <c r="Y258">
        <v>0</v>
      </c>
      <c r="AI258" t="s">
        <v>190</v>
      </c>
      <c r="AM258" t="s">
        <v>191</v>
      </c>
      <c r="AS258" t="s">
        <v>127</v>
      </c>
      <c r="BE258">
        <v>0</v>
      </c>
      <c r="BF258" t="s">
        <v>128</v>
      </c>
      <c r="BG258">
        <v>45</v>
      </c>
      <c r="BM258" t="s">
        <v>129</v>
      </c>
      <c r="BN258">
        <v>0</v>
      </c>
      <c r="BT258" t="s">
        <v>140</v>
      </c>
      <c r="BU258" t="s">
        <v>128</v>
      </c>
      <c r="BY258" t="s">
        <v>141</v>
      </c>
    </row>
    <row r="259" spans="1:111" x14ac:dyDescent="0.2">
      <c r="A259" t="s">
        <v>111</v>
      </c>
      <c r="B259" t="b">
        <v>1</v>
      </c>
      <c r="E259">
        <v>299</v>
      </c>
      <c r="F259" t="str">
        <f>HYPERLINK("https://portal.dnb.de/opac.htm?method=simpleSearch&amp;cqlMode=true&amp;query=idn%3D1066960380", "Portal")</f>
        <v>Portal</v>
      </c>
      <c r="G259" t="s">
        <v>163</v>
      </c>
      <c r="H259" t="s">
        <v>1653</v>
      </c>
      <c r="I259" t="s">
        <v>1654</v>
      </c>
      <c r="J259" t="s">
        <v>1655</v>
      </c>
      <c r="K259" t="s">
        <v>1655</v>
      </c>
      <c r="L259" t="s">
        <v>1656</v>
      </c>
      <c r="N259" t="s">
        <v>1657</v>
      </c>
      <c r="O259" t="s">
        <v>118</v>
      </c>
      <c r="R259" t="s">
        <v>188</v>
      </c>
      <c r="S259" t="s">
        <v>120</v>
      </c>
      <c r="T259" t="s">
        <v>136</v>
      </c>
      <c r="U259" t="s">
        <v>232</v>
      </c>
      <c r="W259" t="s">
        <v>67</v>
      </c>
      <c r="X259" t="s">
        <v>175</v>
      </c>
      <c r="Y259">
        <v>1</v>
      </c>
      <c r="AI259" t="s">
        <v>190</v>
      </c>
      <c r="AM259" t="s">
        <v>126</v>
      </c>
      <c r="AS259" t="s">
        <v>127</v>
      </c>
      <c r="BG259">
        <v>110</v>
      </c>
      <c r="BM259" t="s">
        <v>129</v>
      </c>
      <c r="BN259">
        <v>0</v>
      </c>
      <c r="BP259" t="s">
        <v>177</v>
      </c>
    </row>
    <row r="260" spans="1:111" x14ac:dyDescent="0.2">
      <c r="A260" t="s">
        <v>111</v>
      </c>
      <c r="B260" t="b">
        <v>1</v>
      </c>
      <c r="F260" t="str">
        <f>HYPERLINK("https://portal.dnb.de/opac.htm?method=simpleSearch&amp;cqlMode=true&amp;query=idn%3D1138315451", "Portal")</f>
        <v>Portal</v>
      </c>
      <c r="G260" t="s">
        <v>157</v>
      </c>
      <c r="H260" t="s">
        <v>1658</v>
      </c>
      <c r="I260" t="s">
        <v>1659</v>
      </c>
      <c r="J260" t="s">
        <v>1660</v>
      </c>
      <c r="K260" t="s">
        <v>1660</v>
      </c>
      <c r="L260" t="s">
        <v>1660</v>
      </c>
      <c r="N260" t="s">
        <v>220</v>
      </c>
      <c r="O260" t="s">
        <v>118</v>
      </c>
      <c r="R260" t="s">
        <v>1025</v>
      </c>
      <c r="S260" t="s">
        <v>120</v>
      </c>
      <c r="T260" t="s">
        <v>121</v>
      </c>
      <c r="U260" t="s">
        <v>148</v>
      </c>
      <c r="W260" t="s">
        <v>1014</v>
      </c>
      <c r="X260" t="s">
        <v>175</v>
      </c>
      <c r="Y260">
        <v>0</v>
      </c>
      <c r="AI260" t="s">
        <v>125</v>
      </c>
      <c r="AJ260" t="s">
        <v>1199</v>
      </c>
      <c r="AL260" t="s">
        <v>128</v>
      </c>
      <c r="AM260" t="s">
        <v>126</v>
      </c>
      <c r="AS260" t="s">
        <v>127</v>
      </c>
      <c r="BG260">
        <v>80</v>
      </c>
      <c r="BK260" t="s">
        <v>128</v>
      </c>
      <c r="BM260" t="s">
        <v>129</v>
      </c>
      <c r="BN260">
        <v>0</v>
      </c>
      <c r="BS260" t="s">
        <v>128</v>
      </c>
    </row>
    <row r="261" spans="1:111" x14ac:dyDescent="0.2">
      <c r="A261" t="s">
        <v>111</v>
      </c>
      <c r="B261" t="b">
        <v>1</v>
      </c>
      <c r="F261" t="str">
        <f>HYPERLINK("https://portal.dnb.de/opac.htm?method=simpleSearch&amp;cqlMode=true&amp;query=idn%3D1262272084", "Portal")</f>
        <v>Portal</v>
      </c>
      <c r="G261" t="s">
        <v>157</v>
      </c>
      <c r="H261" t="s">
        <v>1661</v>
      </c>
      <c r="I261" t="s">
        <v>1662</v>
      </c>
      <c r="J261" t="s">
        <v>1663</v>
      </c>
      <c r="K261" t="s">
        <v>1663</v>
      </c>
      <c r="L261" t="s">
        <v>1663</v>
      </c>
      <c r="N261" t="s">
        <v>220</v>
      </c>
      <c r="O261" t="s">
        <v>118</v>
      </c>
      <c r="R261" t="s">
        <v>188</v>
      </c>
      <c r="S261" t="s">
        <v>120</v>
      </c>
      <c r="T261" t="s">
        <v>136</v>
      </c>
      <c r="W261" t="s">
        <v>67</v>
      </c>
      <c r="X261" t="s">
        <v>175</v>
      </c>
      <c r="Y261">
        <v>0</v>
      </c>
      <c r="AI261" t="s">
        <v>190</v>
      </c>
      <c r="AL261" t="s">
        <v>128</v>
      </c>
      <c r="AM261" t="s">
        <v>191</v>
      </c>
      <c r="AS261" t="s">
        <v>127</v>
      </c>
      <c r="BG261">
        <v>110</v>
      </c>
      <c r="BK261" t="s">
        <v>128</v>
      </c>
      <c r="BM261" t="s">
        <v>129</v>
      </c>
      <c r="BN261">
        <v>0</v>
      </c>
      <c r="BP261" t="s">
        <v>177</v>
      </c>
    </row>
    <row r="262" spans="1:111" x14ac:dyDescent="0.2">
      <c r="A262" t="s">
        <v>111</v>
      </c>
      <c r="B262" t="b">
        <v>1</v>
      </c>
      <c r="E262">
        <v>305</v>
      </c>
      <c r="F262" t="str">
        <f>HYPERLINK("https://portal.dnb.de/opac.htm?method=simpleSearch&amp;cqlMode=true&amp;query=idn%3D1066963959", "Portal")</f>
        <v>Portal</v>
      </c>
      <c r="G262" t="s">
        <v>163</v>
      </c>
      <c r="H262" t="s">
        <v>1664</v>
      </c>
      <c r="I262" t="s">
        <v>1665</v>
      </c>
      <c r="J262" t="s">
        <v>1666</v>
      </c>
      <c r="K262" t="s">
        <v>1666</v>
      </c>
      <c r="L262" t="s">
        <v>1667</v>
      </c>
      <c r="N262" t="s">
        <v>1668</v>
      </c>
      <c r="O262" t="s">
        <v>118</v>
      </c>
      <c r="P262" t="s">
        <v>128</v>
      </c>
      <c r="R262" t="s">
        <v>188</v>
      </c>
      <c r="S262" t="s">
        <v>120</v>
      </c>
      <c r="T262" t="s">
        <v>136</v>
      </c>
      <c r="U262" t="s">
        <v>378</v>
      </c>
      <c r="W262" t="s">
        <v>1014</v>
      </c>
      <c r="X262" t="s">
        <v>175</v>
      </c>
      <c r="Y262">
        <v>0</v>
      </c>
      <c r="AI262" t="s">
        <v>469</v>
      </c>
      <c r="AL262" t="s">
        <v>128</v>
      </c>
      <c r="AM262" t="s">
        <v>191</v>
      </c>
      <c r="AS262" t="s">
        <v>127</v>
      </c>
      <c r="BE262">
        <v>2</v>
      </c>
      <c r="BG262" t="s">
        <v>176</v>
      </c>
      <c r="BM262" t="s">
        <v>129</v>
      </c>
      <c r="BN262">
        <v>0</v>
      </c>
      <c r="BS262" t="s">
        <v>128</v>
      </c>
    </row>
    <row r="263" spans="1:111" x14ac:dyDescent="0.2">
      <c r="A263" t="s">
        <v>111</v>
      </c>
      <c r="B263" t="b">
        <v>1</v>
      </c>
      <c r="E263">
        <v>306</v>
      </c>
      <c r="F263" t="str">
        <f>HYPERLINK("https://portal.dnb.de/opac.htm?method=simpleSearch&amp;cqlMode=true&amp;query=idn%3D1003840019", "Portal")</f>
        <v>Portal</v>
      </c>
      <c r="G263" t="s">
        <v>112</v>
      </c>
      <c r="H263" t="s">
        <v>1669</v>
      </c>
      <c r="I263" t="s">
        <v>1670</v>
      </c>
      <c r="J263" t="s">
        <v>1671</v>
      </c>
      <c r="K263" t="s">
        <v>1671</v>
      </c>
      <c r="L263" t="s">
        <v>1672</v>
      </c>
      <c r="N263" t="s">
        <v>1673</v>
      </c>
      <c r="O263" t="s">
        <v>118</v>
      </c>
      <c r="P263" t="s">
        <v>128</v>
      </c>
      <c r="R263" t="s">
        <v>119</v>
      </c>
      <c r="S263" t="s">
        <v>120</v>
      </c>
      <c r="T263" t="s">
        <v>136</v>
      </c>
      <c r="U263" t="s">
        <v>148</v>
      </c>
      <c r="W263" t="s">
        <v>67</v>
      </c>
      <c r="X263" t="s">
        <v>175</v>
      </c>
      <c r="Y263">
        <v>0</v>
      </c>
      <c r="AI263" t="s">
        <v>125</v>
      </c>
      <c r="AJ263" t="s">
        <v>1199</v>
      </c>
      <c r="AM263" t="s">
        <v>126</v>
      </c>
      <c r="AS263" t="s">
        <v>127</v>
      </c>
      <c r="BG263">
        <v>110</v>
      </c>
      <c r="BM263" t="s">
        <v>129</v>
      </c>
      <c r="BN263">
        <v>0</v>
      </c>
      <c r="BP263" t="s">
        <v>177</v>
      </c>
    </row>
    <row r="264" spans="1:111" x14ac:dyDescent="0.2">
      <c r="A264" t="s">
        <v>111</v>
      </c>
      <c r="B264" t="b">
        <v>1</v>
      </c>
      <c r="F264" t="str">
        <f>HYPERLINK("https://portal.dnb.de/opac.htm?method=simpleSearch&amp;cqlMode=true&amp;query=idn%3D1137971231", "Portal")</f>
        <v>Portal</v>
      </c>
      <c r="G264" t="s">
        <v>157</v>
      </c>
      <c r="H264" t="s">
        <v>1674</v>
      </c>
      <c r="I264" t="s">
        <v>1675</v>
      </c>
      <c r="J264" t="s">
        <v>1676</v>
      </c>
      <c r="K264" t="s">
        <v>1676</v>
      </c>
      <c r="L264" t="s">
        <v>1676</v>
      </c>
      <c r="N264" t="s">
        <v>220</v>
      </c>
      <c r="O264" t="s">
        <v>118</v>
      </c>
      <c r="R264" t="s">
        <v>188</v>
      </c>
      <c r="S264" t="s">
        <v>120</v>
      </c>
      <c r="T264" t="s">
        <v>121</v>
      </c>
      <c r="U264" t="s">
        <v>378</v>
      </c>
      <c r="W264" t="s">
        <v>138</v>
      </c>
      <c r="X264" t="s">
        <v>203</v>
      </c>
      <c r="Y264">
        <v>0</v>
      </c>
      <c r="AI264" t="s">
        <v>190</v>
      </c>
      <c r="AM264" t="s">
        <v>191</v>
      </c>
      <c r="AS264" t="s">
        <v>127</v>
      </c>
      <c r="BE264">
        <v>0</v>
      </c>
      <c r="BF264" t="s">
        <v>128</v>
      </c>
      <c r="BG264">
        <v>80</v>
      </c>
      <c r="BM264" t="s">
        <v>129</v>
      </c>
      <c r="BN264">
        <v>0</v>
      </c>
      <c r="BT264" t="s">
        <v>140</v>
      </c>
      <c r="BU264" t="s">
        <v>128</v>
      </c>
      <c r="BY264" t="s">
        <v>141</v>
      </c>
    </row>
    <row r="265" spans="1:111" x14ac:dyDescent="0.2">
      <c r="A265" t="s">
        <v>111</v>
      </c>
      <c r="B265" t="b">
        <v>1</v>
      </c>
      <c r="E265">
        <v>309</v>
      </c>
      <c r="F265" t="str">
        <f>HYPERLINK("https://portal.dnb.de/opac.htm?method=simpleSearch&amp;cqlMode=true&amp;query=idn%3D1066963010", "Portal")</f>
        <v>Portal</v>
      </c>
      <c r="G265" t="s">
        <v>163</v>
      </c>
      <c r="H265" t="s">
        <v>1677</v>
      </c>
      <c r="I265" t="s">
        <v>1678</v>
      </c>
      <c r="J265" t="s">
        <v>1679</v>
      </c>
      <c r="K265" t="s">
        <v>1679</v>
      </c>
      <c r="L265" t="s">
        <v>1680</v>
      </c>
      <c r="N265" t="s">
        <v>1681</v>
      </c>
      <c r="O265" t="s">
        <v>118</v>
      </c>
      <c r="P265" t="s">
        <v>128</v>
      </c>
      <c r="R265" t="s">
        <v>147</v>
      </c>
      <c r="S265" t="s">
        <v>120</v>
      </c>
      <c r="T265" t="s">
        <v>136</v>
      </c>
      <c r="U265" t="s">
        <v>148</v>
      </c>
      <c r="W265" t="s">
        <v>67</v>
      </c>
      <c r="X265" t="s">
        <v>606</v>
      </c>
      <c r="Y265">
        <v>3</v>
      </c>
      <c r="AI265" t="s">
        <v>127</v>
      </c>
      <c r="AM265" t="s">
        <v>150</v>
      </c>
      <c r="AS265" t="s">
        <v>127</v>
      </c>
      <c r="BG265">
        <v>60</v>
      </c>
      <c r="BM265" t="s">
        <v>129</v>
      </c>
      <c r="BN265">
        <v>0</v>
      </c>
    </row>
    <row r="266" spans="1:111" x14ac:dyDescent="0.2">
      <c r="A266" t="s">
        <v>111</v>
      </c>
      <c r="B266" t="b">
        <v>1</v>
      </c>
      <c r="C266" t="s">
        <v>128</v>
      </c>
      <c r="E266">
        <v>310</v>
      </c>
      <c r="F266" t="str">
        <f>HYPERLINK("https://portal.dnb.de/opac.htm?method=simpleSearch&amp;cqlMode=true&amp;query=idn%3D1003893554", "Portal")</f>
        <v>Portal</v>
      </c>
      <c r="G266" t="s">
        <v>112</v>
      </c>
      <c r="H266" t="s">
        <v>1682</v>
      </c>
      <c r="I266" t="s">
        <v>1683</v>
      </c>
      <c r="J266" t="s">
        <v>1684</v>
      </c>
      <c r="K266" t="s">
        <v>1684</v>
      </c>
      <c r="L266" t="s">
        <v>1685</v>
      </c>
      <c r="N266" t="s">
        <v>1686</v>
      </c>
      <c r="O266" t="s">
        <v>118</v>
      </c>
      <c r="R266" t="s">
        <v>286</v>
      </c>
      <c r="S266" t="s">
        <v>120</v>
      </c>
      <c r="T266" t="s">
        <v>136</v>
      </c>
      <c r="U266" t="s">
        <v>716</v>
      </c>
      <c r="W266" t="s">
        <v>67</v>
      </c>
      <c r="X266" t="s">
        <v>175</v>
      </c>
      <c r="Y266">
        <v>3</v>
      </c>
      <c r="AI266" t="s">
        <v>190</v>
      </c>
      <c r="AM266" t="s">
        <v>191</v>
      </c>
      <c r="AS266" t="s">
        <v>127</v>
      </c>
      <c r="BG266" t="s">
        <v>249</v>
      </c>
      <c r="BH266" t="s">
        <v>1687</v>
      </c>
      <c r="BI266" t="s">
        <v>128</v>
      </c>
      <c r="BM266" t="s">
        <v>900</v>
      </c>
      <c r="BN266">
        <v>12</v>
      </c>
      <c r="BP266" t="s">
        <v>177</v>
      </c>
      <c r="BV266" t="s">
        <v>1688</v>
      </c>
      <c r="CD266" t="s">
        <v>296</v>
      </c>
      <c r="CE266">
        <v>8</v>
      </c>
      <c r="CK266" t="s">
        <v>903</v>
      </c>
      <c r="CL266" t="s">
        <v>128</v>
      </c>
      <c r="CM266">
        <v>10</v>
      </c>
      <c r="CN266" t="s">
        <v>1689</v>
      </c>
      <c r="CT266" t="s">
        <v>128</v>
      </c>
      <c r="DF266">
        <v>2</v>
      </c>
    </row>
    <row r="267" spans="1:111" x14ac:dyDescent="0.2">
      <c r="A267" t="s">
        <v>111</v>
      </c>
      <c r="B267" t="b">
        <v>1</v>
      </c>
      <c r="C267" t="s">
        <v>128</v>
      </c>
      <c r="E267">
        <v>311</v>
      </c>
      <c r="F267" t="str">
        <f>HYPERLINK("https://portal.dnb.de/opac.htm?method=simpleSearch&amp;cqlMode=true&amp;query=idn%3D1066941203", "Portal")</f>
        <v>Portal</v>
      </c>
      <c r="G267" t="s">
        <v>163</v>
      </c>
      <c r="H267" t="s">
        <v>1690</v>
      </c>
      <c r="I267" t="s">
        <v>1691</v>
      </c>
      <c r="J267" t="s">
        <v>1692</v>
      </c>
      <c r="K267" t="s">
        <v>1692</v>
      </c>
      <c r="L267" t="s">
        <v>1693</v>
      </c>
      <c r="N267" t="s">
        <v>1694</v>
      </c>
      <c r="O267" t="s">
        <v>118</v>
      </c>
      <c r="R267" t="s">
        <v>188</v>
      </c>
      <c r="S267" t="s">
        <v>120</v>
      </c>
      <c r="T267" t="s">
        <v>136</v>
      </c>
      <c r="U267" t="s">
        <v>716</v>
      </c>
      <c r="W267" t="s">
        <v>138</v>
      </c>
      <c r="X267" t="s">
        <v>203</v>
      </c>
      <c r="Y267">
        <v>0</v>
      </c>
      <c r="AI267" t="s">
        <v>190</v>
      </c>
      <c r="AL267" t="s">
        <v>128</v>
      </c>
      <c r="AM267" t="s">
        <v>191</v>
      </c>
      <c r="AS267" t="s">
        <v>127</v>
      </c>
      <c r="BG267">
        <v>45</v>
      </c>
      <c r="BM267" t="s">
        <v>206</v>
      </c>
      <c r="BN267">
        <v>0.5</v>
      </c>
      <c r="BT267" t="s">
        <v>140</v>
      </c>
      <c r="BU267" t="s">
        <v>128</v>
      </c>
      <c r="BV267" t="s">
        <v>1695</v>
      </c>
      <c r="BY267" t="s">
        <v>547</v>
      </c>
      <c r="CB267" t="s">
        <v>128</v>
      </c>
      <c r="CM267">
        <v>0.5</v>
      </c>
      <c r="CN267" t="s">
        <v>1696</v>
      </c>
    </row>
    <row r="268" spans="1:111" x14ac:dyDescent="0.2">
      <c r="A268" t="s">
        <v>111</v>
      </c>
      <c r="B268" t="b">
        <v>1</v>
      </c>
      <c r="E268">
        <v>312</v>
      </c>
      <c r="F268" t="str">
        <f>HYPERLINK("https://portal.dnb.de/opac.htm?method=simpleSearch&amp;cqlMode=true&amp;query=idn%3D1003890490", "Portal")</f>
        <v>Portal</v>
      </c>
      <c r="G268" t="s">
        <v>112</v>
      </c>
      <c r="H268" t="s">
        <v>1697</v>
      </c>
      <c r="I268" t="s">
        <v>1698</v>
      </c>
      <c r="J268" t="s">
        <v>1699</v>
      </c>
      <c r="K268" t="s">
        <v>1699</v>
      </c>
      <c r="L268" t="s">
        <v>1700</v>
      </c>
      <c r="N268" t="s">
        <v>1701</v>
      </c>
      <c r="O268" t="s">
        <v>118</v>
      </c>
      <c r="R268" t="s">
        <v>188</v>
      </c>
      <c r="S268" t="s">
        <v>120</v>
      </c>
      <c r="T268" t="s">
        <v>136</v>
      </c>
      <c r="U268" t="s">
        <v>423</v>
      </c>
      <c r="W268" t="s">
        <v>68</v>
      </c>
      <c r="X268" t="s">
        <v>606</v>
      </c>
      <c r="Y268">
        <v>0</v>
      </c>
      <c r="AI268" t="s">
        <v>190</v>
      </c>
      <c r="AM268" t="s">
        <v>150</v>
      </c>
      <c r="AS268" t="s">
        <v>127</v>
      </c>
      <c r="BG268" t="s">
        <v>176</v>
      </c>
      <c r="BM268" t="s">
        <v>129</v>
      </c>
      <c r="BN268">
        <v>0</v>
      </c>
      <c r="BQ268" t="s">
        <v>1577</v>
      </c>
      <c r="BT268" t="s">
        <v>194</v>
      </c>
    </row>
    <row r="269" spans="1:111" x14ac:dyDescent="0.2">
      <c r="A269" t="s">
        <v>111</v>
      </c>
      <c r="B269" t="b">
        <v>1</v>
      </c>
      <c r="E269">
        <v>313</v>
      </c>
      <c r="F269" t="str">
        <f>HYPERLINK("https://portal.dnb.de/opac.htm?method=simpleSearch&amp;cqlMode=true&amp;query=idn%3D1003868525", "Portal")</f>
        <v>Portal</v>
      </c>
      <c r="G269" t="s">
        <v>112</v>
      </c>
      <c r="H269" t="s">
        <v>1702</v>
      </c>
      <c r="I269" t="s">
        <v>1703</v>
      </c>
      <c r="J269" t="s">
        <v>1704</v>
      </c>
      <c r="K269" t="s">
        <v>1704</v>
      </c>
      <c r="L269" t="s">
        <v>1705</v>
      </c>
      <c r="N269" t="s">
        <v>1706</v>
      </c>
      <c r="O269" t="s">
        <v>118</v>
      </c>
      <c r="R269" t="s">
        <v>188</v>
      </c>
      <c r="S269" t="s">
        <v>120</v>
      </c>
      <c r="T269" t="s">
        <v>121</v>
      </c>
      <c r="U269" t="s">
        <v>423</v>
      </c>
      <c r="W269" t="s">
        <v>138</v>
      </c>
      <c r="X269" t="s">
        <v>203</v>
      </c>
      <c r="Y269">
        <v>0</v>
      </c>
      <c r="AI269" t="s">
        <v>190</v>
      </c>
      <c r="AM269" t="s">
        <v>204</v>
      </c>
      <c r="AS269" t="s">
        <v>127</v>
      </c>
      <c r="BG269">
        <v>45</v>
      </c>
      <c r="BM269" t="s">
        <v>129</v>
      </c>
      <c r="BN269">
        <v>0</v>
      </c>
      <c r="BR269" t="s">
        <v>1707</v>
      </c>
      <c r="BT269" t="s">
        <v>140</v>
      </c>
      <c r="BU269" t="s">
        <v>128</v>
      </c>
      <c r="BY269" t="s">
        <v>547</v>
      </c>
    </row>
    <row r="270" spans="1:111" x14ac:dyDescent="0.2">
      <c r="A270" t="s">
        <v>111</v>
      </c>
      <c r="B270" t="b">
        <v>1</v>
      </c>
      <c r="C270" t="s">
        <v>128</v>
      </c>
      <c r="E270">
        <v>314</v>
      </c>
      <c r="F270" t="str">
        <f>HYPERLINK("https://portal.dnb.de/opac.htm?method=simpleSearch&amp;cqlMode=true&amp;query=idn%3D100393904X", "Portal")</f>
        <v>Portal</v>
      </c>
      <c r="G270" t="s">
        <v>207</v>
      </c>
      <c r="H270" t="s">
        <v>1708</v>
      </c>
      <c r="I270" t="s">
        <v>1709</v>
      </c>
      <c r="J270" t="s">
        <v>1710</v>
      </c>
      <c r="K270" t="s">
        <v>1710</v>
      </c>
      <c r="L270" t="s">
        <v>1711</v>
      </c>
      <c r="N270" t="s">
        <v>1712</v>
      </c>
      <c r="O270" t="s">
        <v>1713</v>
      </c>
      <c r="R270" t="s">
        <v>1714</v>
      </c>
      <c r="S270" t="s">
        <v>120</v>
      </c>
      <c r="T270" t="s">
        <v>121</v>
      </c>
      <c r="U270" t="s">
        <v>1715</v>
      </c>
      <c r="W270" t="s">
        <v>138</v>
      </c>
      <c r="X270" t="s">
        <v>203</v>
      </c>
      <c r="Y270">
        <v>2</v>
      </c>
      <c r="AI270" t="s">
        <v>469</v>
      </c>
      <c r="AM270" t="s">
        <v>191</v>
      </c>
      <c r="AS270" t="s">
        <v>127</v>
      </c>
      <c r="BG270">
        <v>60</v>
      </c>
      <c r="BM270" t="s">
        <v>206</v>
      </c>
      <c r="BN270">
        <v>10</v>
      </c>
      <c r="BT270" t="s">
        <v>140</v>
      </c>
      <c r="BU270" t="s">
        <v>128</v>
      </c>
      <c r="CP270" t="s">
        <v>128</v>
      </c>
      <c r="CV270" t="s">
        <v>128</v>
      </c>
      <c r="CW270" t="s">
        <v>128</v>
      </c>
      <c r="CY270" t="s">
        <v>128</v>
      </c>
      <c r="DF270">
        <v>10</v>
      </c>
      <c r="DG270" t="s">
        <v>1716</v>
      </c>
    </row>
    <row r="271" spans="1:111" x14ac:dyDescent="0.2">
      <c r="A271" t="s">
        <v>111</v>
      </c>
      <c r="B271" t="b">
        <v>1</v>
      </c>
      <c r="E271">
        <v>315</v>
      </c>
      <c r="F271" t="str">
        <f>HYPERLINK("https://portal.dnb.de/opac.htm?method=simpleSearch&amp;cqlMode=true&amp;query=idn%3D100382594X", "Portal")</f>
        <v>Portal</v>
      </c>
      <c r="G271" t="s">
        <v>207</v>
      </c>
      <c r="H271" t="s">
        <v>1717</v>
      </c>
      <c r="I271" t="s">
        <v>1718</v>
      </c>
      <c r="J271" t="s">
        <v>1719</v>
      </c>
      <c r="K271" t="s">
        <v>1719</v>
      </c>
      <c r="L271" t="s">
        <v>1720</v>
      </c>
      <c r="N271" t="s">
        <v>1721</v>
      </c>
      <c r="O271" t="s">
        <v>1459</v>
      </c>
      <c r="R271" t="s">
        <v>147</v>
      </c>
      <c r="S271" t="s">
        <v>120</v>
      </c>
      <c r="T271" t="s">
        <v>136</v>
      </c>
      <c r="U271" t="s">
        <v>1722</v>
      </c>
      <c r="V271" t="s">
        <v>123</v>
      </c>
      <c r="W271" t="s">
        <v>138</v>
      </c>
      <c r="X271" t="s">
        <v>203</v>
      </c>
      <c r="Y271">
        <v>3</v>
      </c>
      <c r="AI271" t="s">
        <v>127</v>
      </c>
      <c r="AM271" t="s">
        <v>150</v>
      </c>
      <c r="AS271" t="s">
        <v>127</v>
      </c>
      <c r="BC271" t="s">
        <v>1592</v>
      </c>
      <c r="BD271" t="s">
        <v>128</v>
      </c>
      <c r="BG271">
        <v>45</v>
      </c>
      <c r="BM271" t="s">
        <v>129</v>
      </c>
      <c r="BN271">
        <v>0</v>
      </c>
      <c r="BT271" t="s">
        <v>140</v>
      </c>
      <c r="BU271" t="s">
        <v>128</v>
      </c>
      <c r="BV271" t="s">
        <v>1723</v>
      </c>
      <c r="BY271" t="s">
        <v>1403</v>
      </c>
    </row>
    <row r="272" spans="1:111" x14ac:dyDescent="0.2">
      <c r="A272" t="s">
        <v>111</v>
      </c>
      <c r="B272" t="b">
        <v>1</v>
      </c>
      <c r="E272">
        <v>316</v>
      </c>
      <c r="F272" t="str">
        <f>HYPERLINK("https://portal.dnb.de/opac.htm?method=simpleSearch&amp;cqlMode=true&amp;query=idn%3D1003826016", "Portal")</f>
        <v>Portal</v>
      </c>
      <c r="G272" t="s">
        <v>207</v>
      </c>
      <c r="H272" t="s">
        <v>1724</v>
      </c>
      <c r="I272" t="s">
        <v>1725</v>
      </c>
      <c r="J272" t="s">
        <v>1726</v>
      </c>
      <c r="K272" t="s">
        <v>1726</v>
      </c>
      <c r="L272" t="s">
        <v>1727</v>
      </c>
      <c r="N272" t="s">
        <v>1721</v>
      </c>
      <c r="O272" t="s">
        <v>1728</v>
      </c>
      <c r="BN272">
        <v>0</v>
      </c>
    </row>
    <row r="273" spans="1:111" x14ac:dyDescent="0.2">
      <c r="A273" t="s">
        <v>111</v>
      </c>
      <c r="B273" t="b">
        <v>1</v>
      </c>
      <c r="F273" t="str">
        <f>HYPERLINK("https://portal.dnb.de/opac.htm?method=simpleSearch&amp;cqlMode=true&amp;query=idn%3D1137894911", "Portal")</f>
        <v>Portal</v>
      </c>
      <c r="G273" t="s">
        <v>157</v>
      </c>
      <c r="H273" t="s">
        <v>1729</v>
      </c>
      <c r="I273" t="s">
        <v>1730</v>
      </c>
      <c r="J273" t="s">
        <v>1731</v>
      </c>
      <c r="K273" t="s">
        <v>1731</v>
      </c>
      <c r="L273" t="s">
        <v>1731</v>
      </c>
      <c r="N273" t="s">
        <v>220</v>
      </c>
      <c r="O273" t="s">
        <v>118</v>
      </c>
      <c r="R273" t="s">
        <v>188</v>
      </c>
      <c r="S273" t="s">
        <v>120</v>
      </c>
      <c r="T273" t="s">
        <v>121</v>
      </c>
      <c r="U273" t="s">
        <v>1732</v>
      </c>
      <c r="W273" t="s">
        <v>138</v>
      </c>
      <c r="X273" t="s">
        <v>203</v>
      </c>
      <c r="Y273">
        <v>1</v>
      </c>
      <c r="AH273" t="s">
        <v>128</v>
      </c>
      <c r="AI273" t="s">
        <v>190</v>
      </c>
      <c r="AM273" t="s">
        <v>191</v>
      </c>
      <c r="AS273" t="s">
        <v>127</v>
      </c>
      <c r="BG273">
        <v>110</v>
      </c>
      <c r="BM273" t="s">
        <v>129</v>
      </c>
      <c r="BN273">
        <v>0</v>
      </c>
      <c r="BT273" t="s">
        <v>140</v>
      </c>
      <c r="BU273" t="s">
        <v>128</v>
      </c>
    </row>
    <row r="274" spans="1:111" x14ac:dyDescent="0.2">
      <c r="A274" t="s">
        <v>111</v>
      </c>
      <c r="B274" t="b">
        <v>1</v>
      </c>
      <c r="C274" t="s">
        <v>128</v>
      </c>
      <c r="E274">
        <v>320</v>
      </c>
      <c r="F274" t="str">
        <f>HYPERLINK("https://portal.dnb.de/opac.htm?method=simpleSearch&amp;cqlMode=true&amp;query=idn%3D1066963355", "Portal")</f>
        <v>Portal</v>
      </c>
      <c r="G274" t="s">
        <v>163</v>
      </c>
      <c r="H274" t="s">
        <v>1733</v>
      </c>
      <c r="I274" t="s">
        <v>1734</v>
      </c>
      <c r="J274" t="s">
        <v>1735</v>
      </c>
      <c r="K274" t="s">
        <v>1735</v>
      </c>
      <c r="L274" t="s">
        <v>1736</v>
      </c>
      <c r="N274" t="s">
        <v>1737</v>
      </c>
      <c r="O274" t="s">
        <v>118</v>
      </c>
      <c r="R274" t="s">
        <v>188</v>
      </c>
      <c r="S274" t="s">
        <v>120</v>
      </c>
      <c r="T274" t="s">
        <v>136</v>
      </c>
      <c r="U274" t="s">
        <v>137</v>
      </c>
      <c r="W274" t="s">
        <v>138</v>
      </c>
      <c r="X274" t="s">
        <v>203</v>
      </c>
      <c r="Y274">
        <v>1</v>
      </c>
      <c r="AI274" t="s">
        <v>190</v>
      </c>
      <c r="AM274" t="s">
        <v>191</v>
      </c>
      <c r="AS274" t="s">
        <v>127</v>
      </c>
      <c r="BG274">
        <v>110</v>
      </c>
      <c r="BM274" t="s">
        <v>206</v>
      </c>
      <c r="BN274">
        <v>3.5</v>
      </c>
      <c r="BT274" t="s">
        <v>140</v>
      </c>
      <c r="BU274" t="s">
        <v>128</v>
      </c>
      <c r="BY274" t="s">
        <v>1738</v>
      </c>
      <c r="CB274" t="s">
        <v>128</v>
      </c>
      <c r="CD274" t="s">
        <v>128</v>
      </c>
      <c r="CM274">
        <v>0.5</v>
      </c>
      <c r="CN274" t="s">
        <v>1739</v>
      </c>
      <c r="CO274" t="s">
        <v>128</v>
      </c>
      <c r="CV274" t="s">
        <v>128</v>
      </c>
      <c r="CZ274" t="s">
        <v>128</v>
      </c>
      <c r="DF274">
        <v>3</v>
      </c>
      <c r="DG274" t="s">
        <v>1740</v>
      </c>
    </row>
    <row r="275" spans="1:111" x14ac:dyDescent="0.2">
      <c r="A275" t="s">
        <v>111</v>
      </c>
      <c r="B275" t="b">
        <v>1</v>
      </c>
      <c r="E275">
        <v>321</v>
      </c>
      <c r="F275" t="str">
        <f>HYPERLINK("https://portal.dnb.de/opac.htm?method=simpleSearch&amp;cqlMode=true&amp;query=idn%3D1066865639", "Portal")</f>
        <v>Portal</v>
      </c>
      <c r="G275" t="s">
        <v>163</v>
      </c>
      <c r="H275" t="s">
        <v>1741</v>
      </c>
      <c r="I275" t="s">
        <v>1742</v>
      </c>
      <c r="J275" t="s">
        <v>1743</v>
      </c>
      <c r="K275" t="s">
        <v>1743</v>
      </c>
      <c r="L275" t="s">
        <v>1744</v>
      </c>
      <c r="N275" t="s">
        <v>1745</v>
      </c>
      <c r="O275" t="s">
        <v>118</v>
      </c>
      <c r="R275" t="s">
        <v>188</v>
      </c>
      <c r="S275" t="s">
        <v>120</v>
      </c>
      <c r="T275" t="s">
        <v>121</v>
      </c>
      <c r="U275" t="s">
        <v>807</v>
      </c>
      <c r="W275" t="s">
        <v>138</v>
      </c>
      <c r="X275" t="s">
        <v>203</v>
      </c>
      <c r="Y275">
        <v>0</v>
      </c>
      <c r="AI275" t="s">
        <v>190</v>
      </c>
      <c r="AM275" t="s">
        <v>191</v>
      </c>
      <c r="AS275" t="s">
        <v>127</v>
      </c>
      <c r="BE275">
        <v>4</v>
      </c>
      <c r="BG275" t="s">
        <v>176</v>
      </c>
      <c r="BM275" t="s">
        <v>129</v>
      </c>
      <c r="BN275">
        <v>0</v>
      </c>
      <c r="BT275" t="s">
        <v>140</v>
      </c>
      <c r="BU275" t="s">
        <v>128</v>
      </c>
    </row>
    <row r="276" spans="1:111" x14ac:dyDescent="0.2">
      <c r="A276" t="s">
        <v>111</v>
      </c>
      <c r="B276" t="b">
        <v>1</v>
      </c>
      <c r="E276">
        <v>322</v>
      </c>
      <c r="F276" t="str">
        <f>HYPERLINK("https://portal.dnb.de/opac.htm?method=simpleSearch&amp;cqlMode=true&amp;query=idn%3D100385656X", "Portal")</f>
        <v>Portal</v>
      </c>
      <c r="G276" t="s">
        <v>112</v>
      </c>
      <c r="H276" t="s">
        <v>1746</v>
      </c>
      <c r="I276" t="s">
        <v>1747</v>
      </c>
      <c r="J276" t="s">
        <v>1748</v>
      </c>
      <c r="K276" t="s">
        <v>1748</v>
      </c>
      <c r="L276" t="s">
        <v>1749</v>
      </c>
      <c r="N276" t="s">
        <v>1750</v>
      </c>
      <c r="O276" t="s">
        <v>118</v>
      </c>
      <c r="R276" t="s">
        <v>467</v>
      </c>
      <c r="S276" t="s">
        <v>120</v>
      </c>
      <c r="T276" t="s">
        <v>136</v>
      </c>
      <c r="W276" t="s">
        <v>138</v>
      </c>
      <c r="X276" t="s">
        <v>203</v>
      </c>
      <c r="Y276">
        <v>1</v>
      </c>
      <c r="AI276" t="s">
        <v>469</v>
      </c>
      <c r="AM276" t="s">
        <v>191</v>
      </c>
      <c r="AS276" t="s">
        <v>127</v>
      </c>
      <c r="BG276" t="s">
        <v>176</v>
      </c>
      <c r="BM276" t="s">
        <v>129</v>
      </c>
      <c r="BN276">
        <v>0</v>
      </c>
      <c r="BT276" t="s">
        <v>140</v>
      </c>
      <c r="BU276" t="s">
        <v>128</v>
      </c>
      <c r="BY276" t="s">
        <v>141</v>
      </c>
    </row>
    <row r="277" spans="1:111" x14ac:dyDescent="0.2">
      <c r="A277" t="s">
        <v>111</v>
      </c>
      <c r="B277" t="b">
        <v>1</v>
      </c>
      <c r="F277" t="str">
        <f>HYPERLINK("https://portal.dnb.de/opac.htm?method=simpleSearch&amp;cqlMode=true&amp;query=idn%3D1138366714", "Portal")</f>
        <v>Portal</v>
      </c>
      <c r="G277" t="s">
        <v>157</v>
      </c>
      <c r="H277" t="s">
        <v>1751</v>
      </c>
      <c r="I277" t="s">
        <v>1752</v>
      </c>
      <c r="J277" t="s">
        <v>1753</v>
      </c>
      <c r="K277" t="s">
        <v>1753</v>
      </c>
      <c r="L277" t="s">
        <v>1753</v>
      </c>
      <c r="N277" t="s">
        <v>220</v>
      </c>
      <c r="O277" t="s">
        <v>118</v>
      </c>
      <c r="R277" t="s">
        <v>188</v>
      </c>
      <c r="S277" t="s">
        <v>120</v>
      </c>
      <c r="T277" t="s">
        <v>121</v>
      </c>
      <c r="U277" t="s">
        <v>1754</v>
      </c>
      <c r="W277" t="s">
        <v>138</v>
      </c>
      <c r="X277" t="s">
        <v>203</v>
      </c>
      <c r="Y277">
        <v>3</v>
      </c>
      <c r="AI277" t="s">
        <v>190</v>
      </c>
      <c r="AM277" t="s">
        <v>191</v>
      </c>
      <c r="AS277" t="s">
        <v>127</v>
      </c>
      <c r="BE277">
        <v>2</v>
      </c>
      <c r="BG277">
        <v>110</v>
      </c>
      <c r="BM277" t="s">
        <v>129</v>
      </c>
      <c r="BN277">
        <v>0</v>
      </c>
      <c r="BT277" t="s">
        <v>140</v>
      </c>
      <c r="BU277" t="s">
        <v>128</v>
      </c>
      <c r="BY277" t="s">
        <v>141</v>
      </c>
    </row>
    <row r="278" spans="1:111" x14ac:dyDescent="0.2">
      <c r="A278" t="s">
        <v>111</v>
      </c>
      <c r="B278" t="b">
        <v>1</v>
      </c>
      <c r="E278">
        <v>326</v>
      </c>
      <c r="F278" t="str">
        <f>HYPERLINK("https://portal.dnb.de/opac.htm?method=simpleSearch&amp;cqlMode=true&amp;query=idn%3D1066674566", "Portal")</f>
        <v>Portal</v>
      </c>
      <c r="G278" t="s">
        <v>163</v>
      </c>
      <c r="H278" t="s">
        <v>1755</v>
      </c>
      <c r="I278" t="s">
        <v>1756</v>
      </c>
      <c r="J278" t="s">
        <v>1757</v>
      </c>
      <c r="K278" t="s">
        <v>1757</v>
      </c>
      <c r="L278" t="s">
        <v>1758</v>
      </c>
      <c r="N278" t="s">
        <v>1759</v>
      </c>
      <c r="O278" t="s">
        <v>118</v>
      </c>
      <c r="R278" t="s">
        <v>467</v>
      </c>
      <c r="S278" t="s">
        <v>120</v>
      </c>
      <c r="T278" t="s">
        <v>121</v>
      </c>
      <c r="U278" t="s">
        <v>378</v>
      </c>
      <c r="W278" t="s">
        <v>67</v>
      </c>
      <c r="X278" t="s">
        <v>175</v>
      </c>
      <c r="Y278">
        <v>0</v>
      </c>
      <c r="AI278" t="s">
        <v>469</v>
      </c>
      <c r="AL278" t="s">
        <v>128</v>
      </c>
      <c r="AM278" t="s">
        <v>191</v>
      </c>
      <c r="AS278" t="s">
        <v>127</v>
      </c>
      <c r="AX278" t="s">
        <v>128</v>
      </c>
      <c r="BE278">
        <v>0</v>
      </c>
      <c r="BF278" t="s">
        <v>128</v>
      </c>
      <c r="BG278" t="s">
        <v>176</v>
      </c>
      <c r="BK278" t="s">
        <v>128</v>
      </c>
      <c r="BM278" t="s">
        <v>129</v>
      </c>
      <c r="BN278">
        <v>0</v>
      </c>
      <c r="BP278" t="s">
        <v>177</v>
      </c>
    </row>
    <row r="279" spans="1:111" x14ac:dyDescent="0.2">
      <c r="A279" t="s">
        <v>111</v>
      </c>
      <c r="B279" t="b">
        <v>1</v>
      </c>
      <c r="E279">
        <v>327</v>
      </c>
      <c r="F279" t="str">
        <f>HYPERLINK("https://portal.dnb.de/opac.htm?method=simpleSearch&amp;cqlMode=true&amp;query=idn%3D1003988792", "Portal")</f>
        <v>Portal</v>
      </c>
      <c r="G279" t="s">
        <v>112</v>
      </c>
      <c r="H279" t="s">
        <v>1760</v>
      </c>
      <c r="I279" t="s">
        <v>1761</v>
      </c>
      <c r="J279" t="s">
        <v>1762</v>
      </c>
      <c r="K279" t="s">
        <v>1762</v>
      </c>
      <c r="L279" t="s">
        <v>1763</v>
      </c>
      <c r="N279" t="s">
        <v>1764</v>
      </c>
      <c r="O279" t="s">
        <v>118</v>
      </c>
      <c r="BN279">
        <v>0</v>
      </c>
    </row>
    <row r="280" spans="1:111" x14ac:dyDescent="0.2">
      <c r="A280" t="s">
        <v>111</v>
      </c>
      <c r="B280" t="b">
        <v>1</v>
      </c>
      <c r="F280" t="str">
        <f>HYPERLINK("https://portal.dnb.de/opac.htm?method=simpleSearch&amp;cqlMode=true&amp;query=idn%3D1138240583", "Portal")</f>
        <v>Portal</v>
      </c>
      <c r="G280" t="s">
        <v>157</v>
      </c>
      <c r="H280" t="s">
        <v>1765</v>
      </c>
      <c r="I280" t="s">
        <v>1766</v>
      </c>
      <c r="J280" t="s">
        <v>1767</v>
      </c>
      <c r="K280" t="s">
        <v>1767</v>
      </c>
      <c r="L280" t="s">
        <v>1767</v>
      </c>
      <c r="N280" t="s">
        <v>1768</v>
      </c>
      <c r="O280" t="s">
        <v>118</v>
      </c>
      <c r="R280" t="s">
        <v>467</v>
      </c>
      <c r="S280" t="s">
        <v>120</v>
      </c>
      <c r="T280" t="s">
        <v>121</v>
      </c>
      <c r="U280" t="s">
        <v>1769</v>
      </c>
      <c r="V280" t="s">
        <v>123</v>
      </c>
      <c r="W280" t="s">
        <v>67</v>
      </c>
      <c r="X280" t="s">
        <v>175</v>
      </c>
      <c r="Y280">
        <v>1</v>
      </c>
      <c r="AI280" t="s">
        <v>190</v>
      </c>
      <c r="AL280" t="s">
        <v>128</v>
      </c>
      <c r="AM280" t="s">
        <v>191</v>
      </c>
      <c r="AS280" t="s">
        <v>127</v>
      </c>
      <c r="AX280" t="s">
        <v>128</v>
      </c>
      <c r="BE280">
        <v>2</v>
      </c>
      <c r="BG280">
        <v>110</v>
      </c>
      <c r="BM280" t="s">
        <v>129</v>
      </c>
      <c r="BN280">
        <v>0</v>
      </c>
      <c r="BP280" t="s">
        <v>177</v>
      </c>
    </row>
    <row r="281" spans="1:111" x14ac:dyDescent="0.2">
      <c r="A281" t="s">
        <v>111</v>
      </c>
      <c r="B281" t="b">
        <v>1</v>
      </c>
      <c r="E281">
        <v>330</v>
      </c>
      <c r="F281" t="str">
        <f>HYPERLINK("https://portal.dnb.de/opac.htm?method=simpleSearch&amp;cqlMode=true&amp;query=idn%3D1066786240", "Portal")</f>
        <v>Portal</v>
      </c>
      <c r="G281" t="s">
        <v>163</v>
      </c>
      <c r="H281" t="s">
        <v>1770</v>
      </c>
      <c r="I281" t="s">
        <v>1771</v>
      </c>
      <c r="J281" t="s">
        <v>1772</v>
      </c>
      <c r="K281" t="s">
        <v>1772</v>
      </c>
      <c r="L281" t="s">
        <v>1773</v>
      </c>
      <c r="N281" t="s">
        <v>1774</v>
      </c>
      <c r="O281" t="s">
        <v>118</v>
      </c>
      <c r="R281" t="s">
        <v>188</v>
      </c>
      <c r="S281" t="s">
        <v>120</v>
      </c>
      <c r="T281" t="s">
        <v>136</v>
      </c>
      <c r="W281" t="s">
        <v>138</v>
      </c>
      <c r="X281" t="s">
        <v>203</v>
      </c>
      <c r="Y281">
        <v>1</v>
      </c>
      <c r="AA281" t="s">
        <v>910</v>
      </c>
      <c r="AI281" t="s">
        <v>190</v>
      </c>
      <c r="AM281" t="s">
        <v>126</v>
      </c>
      <c r="AS281" t="s">
        <v>127</v>
      </c>
      <c r="BG281">
        <v>110</v>
      </c>
      <c r="BM281" t="s">
        <v>129</v>
      </c>
      <c r="BN281">
        <v>0</v>
      </c>
      <c r="BT281" t="s">
        <v>140</v>
      </c>
      <c r="BU281" t="s">
        <v>128</v>
      </c>
      <c r="BV281" t="s">
        <v>1775</v>
      </c>
      <c r="BY281" t="s">
        <v>1142</v>
      </c>
    </row>
    <row r="282" spans="1:111" x14ac:dyDescent="0.2">
      <c r="A282" t="s">
        <v>111</v>
      </c>
      <c r="B282" t="b">
        <v>1</v>
      </c>
      <c r="C282" t="s">
        <v>128</v>
      </c>
      <c r="E282">
        <v>331</v>
      </c>
      <c r="F282" t="str">
        <f>HYPERLINK("https://portal.dnb.de/opac.htm?method=simpleSearch&amp;cqlMode=true&amp;query=idn%3D106686943X", "Portal")</f>
        <v>Portal</v>
      </c>
      <c r="G282" t="s">
        <v>163</v>
      </c>
      <c r="H282" t="s">
        <v>1776</v>
      </c>
      <c r="I282" t="s">
        <v>1777</v>
      </c>
      <c r="J282" t="s">
        <v>1778</v>
      </c>
      <c r="K282" t="s">
        <v>1778</v>
      </c>
      <c r="L282" t="s">
        <v>1779</v>
      </c>
      <c r="N282" t="s">
        <v>1780</v>
      </c>
      <c r="O282" t="s">
        <v>118</v>
      </c>
      <c r="R282" t="s">
        <v>188</v>
      </c>
      <c r="S282" t="s">
        <v>120</v>
      </c>
      <c r="T282" t="s">
        <v>136</v>
      </c>
      <c r="U282" t="s">
        <v>1781</v>
      </c>
      <c r="W282" t="s">
        <v>67</v>
      </c>
      <c r="X282" t="s">
        <v>175</v>
      </c>
      <c r="Y282">
        <v>2</v>
      </c>
      <c r="AI282" t="s">
        <v>469</v>
      </c>
      <c r="AL282" t="s">
        <v>128</v>
      </c>
      <c r="AM282" t="s">
        <v>204</v>
      </c>
      <c r="AS282" t="s">
        <v>127</v>
      </c>
      <c r="AW282" t="s">
        <v>128</v>
      </c>
      <c r="BG282">
        <v>45</v>
      </c>
      <c r="BM282" t="s">
        <v>206</v>
      </c>
      <c r="BN282">
        <v>0.5</v>
      </c>
      <c r="BP282" t="s">
        <v>788</v>
      </c>
      <c r="CB282" t="s">
        <v>128</v>
      </c>
      <c r="CM282">
        <v>0.5</v>
      </c>
    </row>
    <row r="283" spans="1:111" x14ac:dyDescent="0.2">
      <c r="A283" t="s">
        <v>111</v>
      </c>
      <c r="B283" t="b">
        <v>1</v>
      </c>
      <c r="E283">
        <v>332</v>
      </c>
      <c r="F283" t="str">
        <f>HYPERLINK("https://portal.dnb.de/opac.htm?method=simpleSearch&amp;cqlMode=true&amp;query=idn%3D1003898483", "Portal")</f>
        <v>Portal</v>
      </c>
      <c r="G283" t="s">
        <v>112</v>
      </c>
      <c r="H283" t="s">
        <v>1782</v>
      </c>
      <c r="I283" t="s">
        <v>1783</v>
      </c>
      <c r="J283" t="s">
        <v>1784</v>
      </c>
      <c r="K283" t="s">
        <v>1784</v>
      </c>
      <c r="L283" t="s">
        <v>1785</v>
      </c>
      <c r="N283" t="s">
        <v>1786</v>
      </c>
      <c r="O283" t="s">
        <v>118</v>
      </c>
      <c r="R283" t="s">
        <v>467</v>
      </c>
      <c r="S283" t="s">
        <v>120</v>
      </c>
      <c r="T283" t="s">
        <v>136</v>
      </c>
      <c r="U283" t="s">
        <v>378</v>
      </c>
      <c r="W283" t="s">
        <v>67</v>
      </c>
      <c r="X283" t="s">
        <v>175</v>
      </c>
      <c r="Y283">
        <v>0</v>
      </c>
      <c r="AA283" t="s">
        <v>1787</v>
      </c>
      <c r="AI283" t="s">
        <v>190</v>
      </c>
      <c r="AL283" t="s">
        <v>128</v>
      </c>
      <c r="AM283" t="s">
        <v>191</v>
      </c>
      <c r="AS283" t="s">
        <v>127</v>
      </c>
      <c r="AX283" t="s">
        <v>128</v>
      </c>
      <c r="BE283">
        <v>4</v>
      </c>
      <c r="BG283">
        <v>110</v>
      </c>
      <c r="BM283" t="s">
        <v>129</v>
      </c>
      <c r="BN283">
        <v>0</v>
      </c>
      <c r="BP283" t="s">
        <v>177</v>
      </c>
    </row>
    <row r="284" spans="1:111" x14ac:dyDescent="0.2">
      <c r="A284" t="s">
        <v>111</v>
      </c>
      <c r="B284" t="b">
        <v>1</v>
      </c>
      <c r="E284">
        <v>333</v>
      </c>
      <c r="F284" t="str">
        <f>HYPERLINK("https://portal.dnb.de/opac.htm?method=simpleSearch&amp;cqlMode=true&amp;query=idn%3D1003866670", "Portal")</f>
        <v>Portal</v>
      </c>
      <c r="G284" t="s">
        <v>112</v>
      </c>
      <c r="H284" t="s">
        <v>1788</v>
      </c>
      <c r="I284" t="s">
        <v>1789</v>
      </c>
      <c r="J284" t="s">
        <v>1790</v>
      </c>
      <c r="K284" t="s">
        <v>1790</v>
      </c>
      <c r="L284" t="s">
        <v>1791</v>
      </c>
      <c r="N284" t="s">
        <v>1792</v>
      </c>
      <c r="O284" t="s">
        <v>118</v>
      </c>
      <c r="R284" t="s">
        <v>467</v>
      </c>
      <c r="S284" t="s">
        <v>120</v>
      </c>
      <c r="T284" t="s">
        <v>121</v>
      </c>
      <c r="U284" t="s">
        <v>378</v>
      </c>
      <c r="W284" t="s">
        <v>138</v>
      </c>
      <c r="X284" t="s">
        <v>203</v>
      </c>
      <c r="Y284">
        <v>1</v>
      </c>
      <c r="AH284" t="s">
        <v>128</v>
      </c>
      <c r="AI284" t="s">
        <v>469</v>
      </c>
      <c r="AM284" t="s">
        <v>191</v>
      </c>
      <c r="AS284" t="s">
        <v>127</v>
      </c>
      <c r="BE284">
        <v>4</v>
      </c>
      <c r="BG284">
        <v>110</v>
      </c>
      <c r="BM284" t="s">
        <v>129</v>
      </c>
      <c r="BN284">
        <v>0</v>
      </c>
      <c r="BT284" t="s">
        <v>140</v>
      </c>
      <c r="BU284" t="s">
        <v>128</v>
      </c>
    </row>
    <row r="285" spans="1:111" x14ac:dyDescent="0.2">
      <c r="A285" t="s">
        <v>111</v>
      </c>
      <c r="B285" t="b">
        <v>1</v>
      </c>
      <c r="E285">
        <v>334</v>
      </c>
      <c r="F285" t="str">
        <f>HYPERLINK("https://portal.dnb.de/opac.htm?method=simpleSearch&amp;cqlMode=true&amp;query=idn%3D1003866999", "Portal")</f>
        <v>Portal</v>
      </c>
      <c r="G285" t="s">
        <v>112</v>
      </c>
      <c r="H285" t="s">
        <v>1793</v>
      </c>
      <c r="I285" t="s">
        <v>1794</v>
      </c>
      <c r="J285" t="s">
        <v>1795</v>
      </c>
      <c r="K285" t="s">
        <v>1795</v>
      </c>
      <c r="L285" t="s">
        <v>1796</v>
      </c>
      <c r="N285" t="s">
        <v>1797</v>
      </c>
      <c r="O285" t="s">
        <v>118</v>
      </c>
      <c r="P285" t="s">
        <v>135</v>
      </c>
      <c r="R285" t="s">
        <v>162</v>
      </c>
      <c r="S285" t="s">
        <v>120</v>
      </c>
      <c r="T285" t="s">
        <v>156</v>
      </c>
      <c r="U285" t="s">
        <v>137</v>
      </c>
      <c r="W285" t="s">
        <v>138</v>
      </c>
      <c r="X285" t="s">
        <v>139</v>
      </c>
      <c r="Y285">
        <v>2</v>
      </c>
      <c r="AH285" t="s">
        <v>128</v>
      </c>
      <c r="AI285" t="s">
        <v>125</v>
      </c>
      <c r="AJ285" t="s">
        <v>1798</v>
      </c>
      <c r="AM285" t="s">
        <v>126</v>
      </c>
      <c r="AS285" t="s">
        <v>127</v>
      </c>
      <c r="BG285" t="s">
        <v>249</v>
      </c>
      <c r="BM285" t="s">
        <v>129</v>
      </c>
      <c r="BN285">
        <v>0</v>
      </c>
      <c r="BT285" t="s">
        <v>140</v>
      </c>
      <c r="BU285" t="s">
        <v>128</v>
      </c>
    </row>
    <row r="286" spans="1:111" x14ac:dyDescent="0.2">
      <c r="A286" t="s">
        <v>111</v>
      </c>
      <c r="B286" t="b">
        <v>1</v>
      </c>
      <c r="C286" t="s">
        <v>128</v>
      </c>
      <c r="E286">
        <v>335</v>
      </c>
      <c r="F286" t="str">
        <f>HYPERLINK("https://portal.dnb.de/opac.htm?method=simpleSearch&amp;cqlMode=true&amp;query=idn%3D1003867383", "Portal")</f>
        <v>Portal</v>
      </c>
      <c r="G286" t="s">
        <v>112</v>
      </c>
      <c r="H286" t="s">
        <v>1799</v>
      </c>
      <c r="I286" t="s">
        <v>1800</v>
      </c>
      <c r="J286" t="s">
        <v>1801</v>
      </c>
      <c r="K286" t="s">
        <v>1801</v>
      </c>
      <c r="L286" t="s">
        <v>1802</v>
      </c>
      <c r="N286" t="s">
        <v>1803</v>
      </c>
      <c r="O286" t="s">
        <v>118</v>
      </c>
      <c r="R286" t="s">
        <v>188</v>
      </c>
      <c r="S286" t="s">
        <v>120</v>
      </c>
      <c r="T286" t="s">
        <v>136</v>
      </c>
      <c r="U286" t="s">
        <v>1804</v>
      </c>
      <c r="W286" t="s">
        <v>67</v>
      </c>
      <c r="X286" t="s">
        <v>175</v>
      </c>
      <c r="Y286">
        <v>1</v>
      </c>
      <c r="AI286" t="s">
        <v>190</v>
      </c>
      <c r="AM286" t="s">
        <v>204</v>
      </c>
      <c r="AS286" t="s">
        <v>127</v>
      </c>
      <c r="AZ286" t="s">
        <v>128</v>
      </c>
      <c r="BA286" t="s">
        <v>1805</v>
      </c>
      <c r="BB286" t="s">
        <v>128</v>
      </c>
      <c r="BG286">
        <v>110</v>
      </c>
      <c r="BM286" t="s">
        <v>206</v>
      </c>
      <c r="BN286">
        <v>1</v>
      </c>
      <c r="BP286" t="s">
        <v>177</v>
      </c>
      <c r="BV286" t="s">
        <v>1806</v>
      </c>
      <c r="CD286" t="s">
        <v>296</v>
      </c>
      <c r="CM286">
        <v>1</v>
      </c>
      <c r="CN286" t="s">
        <v>1807</v>
      </c>
    </row>
    <row r="287" spans="1:111" x14ac:dyDescent="0.2">
      <c r="A287" t="s">
        <v>111</v>
      </c>
      <c r="B287" t="b">
        <v>1</v>
      </c>
      <c r="E287">
        <v>338</v>
      </c>
      <c r="F287" t="str">
        <f>HYPERLINK("https://portal.dnb.de/opac.htm?method=simpleSearch&amp;cqlMode=true&amp;query=idn%3D997387564", "Portal")</f>
        <v>Portal</v>
      </c>
      <c r="G287" t="s">
        <v>112</v>
      </c>
      <c r="H287" t="s">
        <v>1808</v>
      </c>
      <c r="I287" t="s">
        <v>1809</v>
      </c>
      <c r="J287" t="s">
        <v>1810</v>
      </c>
      <c r="K287" t="s">
        <v>1810</v>
      </c>
      <c r="L287" t="s">
        <v>1811</v>
      </c>
      <c r="N287" t="s">
        <v>1812</v>
      </c>
      <c r="O287" t="s">
        <v>118</v>
      </c>
      <c r="R287" t="s">
        <v>188</v>
      </c>
      <c r="S287" t="s">
        <v>120</v>
      </c>
      <c r="T287" t="s">
        <v>136</v>
      </c>
      <c r="W287" t="s">
        <v>138</v>
      </c>
      <c r="X287" t="s">
        <v>139</v>
      </c>
      <c r="Y287">
        <v>0</v>
      </c>
      <c r="AH287" t="s">
        <v>128</v>
      </c>
      <c r="AI287" t="s">
        <v>190</v>
      </c>
      <c r="AM287" t="s">
        <v>204</v>
      </c>
      <c r="AS287" t="s">
        <v>127</v>
      </c>
      <c r="BB287" t="s">
        <v>128</v>
      </c>
      <c r="BD287" t="s">
        <v>128</v>
      </c>
      <c r="BG287" t="s">
        <v>176</v>
      </c>
      <c r="BM287" t="s">
        <v>129</v>
      </c>
      <c r="BN287">
        <v>0</v>
      </c>
      <c r="BT287" t="s">
        <v>140</v>
      </c>
      <c r="BU287" t="s">
        <v>128</v>
      </c>
      <c r="BY287" t="s">
        <v>1813</v>
      </c>
    </row>
    <row r="288" spans="1:111" x14ac:dyDescent="0.2">
      <c r="A288" t="s">
        <v>111</v>
      </c>
      <c r="B288" t="b">
        <v>1</v>
      </c>
      <c r="F288" t="str">
        <f>HYPERLINK("https://portal.dnb.de/opac.htm?method=simpleSearch&amp;cqlMode=true&amp;query=idn%3D1262280389", "Portal")</f>
        <v>Portal</v>
      </c>
      <c r="G288" t="s">
        <v>157</v>
      </c>
      <c r="H288" t="s">
        <v>1814</v>
      </c>
      <c r="I288" t="s">
        <v>1815</v>
      </c>
      <c r="J288" t="s">
        <v>1816</v>
      </c>
      <c r="K288" t="s">
        <v>1816</v>
      </c>
      <c r="L288" t="s">
        <v>1816</v>
      </c>
      <c r="N288" t="s">
        <v>220</v>
      </c>
      <c r="O288" t="s">
        <v>118</v>
      </c>
      <c r="R288" t="s">
        <v>467</v>
      </c>
      <c r="S288" t="s">
        <v>120</v>
      </c>
      <c r="T288" t="s">
        <v>121</v>
      </c>
      <c r="U288" t="s">
        <v>1817</v>
      </c>
      <c r="W288" t="s">
        <v>138</v>
      </c>
      <c r="X288" t="s">
        <v>203</v>
      </c>
      <c r="Y288">
        <v>0</v>
      </c>
      <c r="AH288" t="s">
        <v>128</v>
      </c>
      <c r="AI288" t="s">
        <v>469</v>
      </c>
      <c r="AL288" t="s">
        <v>128</v>
      </c>
      <c r="AM288" t="s">
        <v>191</v>
      </c>
      <c r="AS288" t="s">
        <v>127</v>
      </c>
      <c r="AX288" t="s">
        <v>128</v>
      </c>
      <c r="BE288">
        <v>0</v>
      </c>
      <c r="BF288" t="s">
        <v>128</v>
      </c>
      <c r="BG288">
        <v>80</v>
      </c>
      <c r="BM288" t="s">
        <v>129</v>
      </c>
      <c r="BN288">
        <v>0</v>
      </c>
      <c r="BT288" t="s">
        <v>140</v>
      </c>
      <c r="BU288" t="s">
        <v>128</v>
      </c>
      <c r="BY288" t="s">
        <v>141</v>
      </c>
    </row>
    <row r="289" spans="1:110" x14ac:dyDescent="0.2">
      <c r="A289" t="s">
        <v>111</v>
      </c>
      <c r="B289" t="b">
        <v>1</v>
      </c>
      <c r="E289">
        <v>341</v>
      </c>
      <c r="F289" t="str">
        <f>HYPERLINK("https://portal.dnb.de/opac.htm?method=simpleSearch&amp;cqlMode=true&amp;query=idn%3D1003893554", "Portal")</f>
        <v>Portal</v>
      </c>
      <c r="G289" t="s">
        <v>112</v>
      </c>
      <c r="H289" t="s">
        <v>1818</v>
      </c>
      <c r="I289" t="s">
        <v>1683</v>
      </c>
      <c r="J289" t="s">
        <v>1819</v>
      </c>
      <c r="K289" t="s">
        <v>1819</v>
      </c>
      <c r="L289" t="s">
        <v>1820</v>
      </c>
      <c r="N289" t="s">
        <v>1686</v>
      </c>
      <c r="O289" t="s">
        <v>118</v>
      </c>
      <c r="R289" t="s">
        <v>119</v>
      </c>
      <c r="S289" t="s">
        <v>120</v>
      </c>
      <c r="T289" t="s">
        <v>121</v>
      </c>
      <c r="U289" t="s">
        <v>807</v>
      </c>
      <c r="X289" t="s">
        <v>124</v>
      </c>
      <c r="Y289">
        <v>1</v>
      </c>
      <c r="AI289" t="s">
        <v>125</v>
      </c>
      <c r="AM289" t="s">
        <v>126</v>
      </c>
      <c r="AS289" t="s">
        <v>127</v>
      </c>
      <c r="BG289" t="s">
        <v>366</v>
      </c>
      <c r="BI289" t="s">
        <v>128</v>
      </c>
      <c r="BJ289" t="s">
        <v>1821</v>
      </c>
      <c r="BM289" t="s">
        <v>129</v>
      </c>
      <c r="BN289">
        <v>0</v>
      </c>
      <c r="BV289" t="s">
        <v>1822</v>
      </c>
      <c r="BY289" t="s">
        <v>1823</v>
      </c>
    </row>
    <row r="290" spans="1:110" x14ac:dyDescent="0.2">
      <c r="A290" t="s">
        <v>111</v>
      </c>
      <c r="B290" t="b">
        <v>1</v>
      </c>
      <c r="E290">
        <v>342</v>
      </c>
      <c r="F290" t="str">
        <f>HYPERLINK("https://portal.dnb.de/opac.htm?method=simpleSearch&amp;cqlMode=true&amp;query=idn%3D1003892930", "Portal")</f>
        <v>Portal</v>
      </c>
      <c r="G290" t="s">
        <v>112</v>
      </c>
      <c r="H290" t="s">
        <v>1824</v>
      </c>
      <c r="I290" t="s">
        <v>1825</v>
      </c>
      <c r="J290" t="s">
        <v>1826</v>
      </c>
      <c r="K290" t="s">
        <v>1826</v>
      </c>
      <c r="L290" t="s">
        <v>1827</v>
      </c>
      <c r="N290" t="s">
        <v>1828</v>
      </c>
      <c r="O290" t="s">
        <v>118</v>
      </c>
      <c r="R290" t="s">
        <v>188</v>
      </c>
      <c r="S290" t="s">
        <v>120</v>
      </c>
      <c r="T290" t="s">
        <v>136</v>
      </c>
      <c r="U290" t="s">
        <v>423</v>
      </c>
      <c r="W290" t="s">
        <v>138</v>
      </c>
      <c r="X290" t="s">
        <v>203</v>
      </c>
      <c r="Y290">
        <v>1</v>
      </c>
      <c r="AH290" t="s">
        <v>128</v>
      </c>
      <c r="AI290" t="s">
        <v>190</v>
      </c>
      <c r="AM290" t="s">
        <v>126</v>
      </c>
      <c r="AS290" t="s">
        <v>127</v>
      </c>
      <c r="BG290">
        <v>110</v>
      </c>
      <c r="BM290" t="s">
        <v>129</v>
      </c>
      <c r="BN290">
        <v>0</v>
      </c>
      <c r="BT290" t="s">
        <v>140</v>
      </c>
      <c r="BU290" t="s">
        <v>128</v>
      </c>
      <c r="BV290" t="s">
        <v>1775</v>
      </c>
      <c r="BY290" t="s">
        <v>1829</v>
      </c>
    </row>
    <row r="291" spans="1:110" x14ac:dyDescent="0.2">
      <c r="A291" t="s">
        <v>111</v>
      </c>
      <c r="B291" t="b">
        <v>1</v>
      </c>
      <c r="E291">
        <v>343</v>
      </c>
      <c r="F291" t="str">
        <f>HYPERLINK("https://portal.dnb.de/opac.htm?method=simpleSearch&amp;cqlMode=true&amp;query=idn%3D1003893333", "Portal")</f>
        <v>Portal</v>
      </c>
      <c r="G291" t="s">
        <v>112</v>
      </c>
      <c r="H291" t="s">
        <v>1830</v>
      </c>
      <c r="I291" t="s">
        <v>1831</v>
      </c>
      <c r="J291" t="s">
        <v>1832</v>
      </c>
      <c r="K291" t="s">
        <v>1832</v>
      </c>
      <c r="L291" t="s">
        <v>1833</v>
      </c>
      <c r="N291" t="s">
        <v>1834</v>
      </c>
      <c r="O291" t="s">
        <v>118</v>
      </c>
      <c r="R291" t="s">
        <v>188</v>
      </c>
      <c r="S291" t="s">
        <v>120</v>
      </c>
      <c r="T291" t="s">
        <v>121</v>
      </c>
      <c r="U291" t="s">
        <v>378</v>
      </c>
      <c r="W291" t="s">
        <v>67</v>
      </c>
      <c r="X291" t="s">
        <v>175</v>
      </c>
      <c r="Y291">
        <v>0</v>
      </c>
      <c r="AH291" t="s">
        <v>128</v>
      </c>
      <c r="AI291" t="s">
        <v>190</v>
      </c>
      <c r="AL291" t="s">
        <v>128</v>
      </c>
      <c r="AM291" t="s">
        <v>191</v>
      </c>
      <c r="AS291" t="s">
        <v>127</v>
      </c>
      <c r="AX291" t="s">
        <v>470</v>
      </c>
      <c r="BE291">
        <v>0</v>
      </c>
      <c r="BF291" t="s">
        <v>128</v>
      </c>
      <c r="BG291">
        <v>110</v>
      </c>
      <c r="BK291" t="s">
        <v>128</v>
      </c>
      <c r="BM291" t="s">
        <v>129</v>
      </c>
      <c r="BN291">
        <v>0</v>
      </c>
      <c r="BP291" t="s">
        <v>177</v>
      </c>
    </row>
    <row r="292" spans="1:110" x14ac:dyDescent="0.2">
      <c r="A292" t="s">
        <v>111</v>
      </c>
      <c r="B292" t="b">
        <v>1</v>
      </c>
      <c r="E292">
        <v>344</v>
      </c>
      <c r="F292" t="str">
        <f>HYPERLINK("https://portal.dnb.de/opac.htm?method=simpleSearch&amp;cqlMode=true&amp;query=idn%3D1003900801", "Portal")</f>
        <v>Portal</v>
      </c>
      <c r="G292" t="s">
        <v>112</v>
      </c>
      <c r="H292" t="s">
        <v>1835</v>
      </c>
      <c r="I292" t="s">
        <v>1836</v>
      </c>
      <c r="J292" t="s">
        <v>1837</v>
      </c>
      <c r="K292" t="s">
        <v>1837</v>
      </c>
      <c r="L292" t="s">
        <v>1838</v>
      </c>
      <c r="N292" t="s">
        <v>1839</v>
      </c>
      <c r="O292" t="s">
        <v>118</v>
      </c>
      <c r="R292" t="s">
        <v>188</v>
      </c>
      <c r="S292" t="s">
        <v>120</v>
      </c>
      <c r="T292" t="s">
        <v>136</v>
      </c>
      <c r="U292" t="s">
        <v>378</v>
      </c>
      <c r="W292" t="s">
        <v>67</v>
      </c>
      <c r="X292" t="s">
        <v>175</v>
      </c>
      <c r="Y292">
        <v>2</v>
      </c>
      <c r="AI292" t="s">
        <v>190</v>
      </c>
      <c r="AM292" t="s">
        <v>204</v>
      </c>
      <c r="AS292" t="s">
        <v>127</v>
      </c>
      <c r="AX292" t="s">
        <v>128</v>
      </c>
      <c r="BE292">
        <v>2</v>
      </c>
      <c r="BG292">
        <v>110</v>
      </c>
      <c r="BM292" t="s">
        <v>129</v>
      </c>
      <c r="BN292">
        <v>0</v>
      </c>
      <c r="BP292" t="s">
        <v>177</v>
      </c>
    </row>
    <row r="293" spans="1:110" x14ac:dyDescent="0.2">
      <c r="A293" t="s">
        <v>111</v>
      </c>
      <c r="B293" t="b">
        <v>1</v>
      </c>
      <c r="E293">
        <v>345</v>
      </c>
      <c r="F293" t="str">
        <f>HYPERLINK("https://portal.dnb.de/opac.htm?method=simpleSearch&amp;cqlMode=true&amp;query=idn%3D1066959986", "Portal")</f>
        <v>Portal</v>
      </c>
      <c r="G293" t="s">
        <v>163</v>
      </c>
      <c r="H293" t="s">
        <v>1840</v>
      </c>
      <c r="I293" t="s">
        <v>1841</v>
      </c>
      <c r="J293" t="s">
        <v>1842</v>
      </c>
      <c r="K293" t="s">
        <v>1842</v>
      </c>
      <c r="L293" t="s">
        <v>1843</v>
      </c>
      <c r="N293" t="s">
        <v>1844</v>
      </c>
      <c r="O293" t="s">
        <v>118</v>
      </c>
      <c r="R293" t="s">
        <v>467</v>
      </c>
      <c r="S293" t="s">
        <v>120</v>
      </c>
      <c r="T293" t="s">
        <v>121</v>
      </c>
      <c r="U293" t="s">
        <v>378</v>
      </c>
      <c r="W293" t="s">
        <v>67</v>
      </c>
      <c r="X293" t="s">
        <v>175</v>
      </c>
      <c r="Y293">
        <v>0</v>
      </c>
      <c r="AI293" t="s">
        <v>469</v>
      </c>
      <c r="AL293" t="s">
        <v>128</v>
      </c>
      <c r="AM293" t="s">
        <v>191</v>
      </c>
      <c r="AS293" t="s">
        <v>127</v>
      </c>
      <c r="AX293" t="s">
        <v>128</v>
      </c>
      <c r="BE293">
        <v>0</v>
      </c>
      <c r="BF293" t="s">
        <v>128</v>
      </c>
      <c r="BG293">
        <v>110</v>
      </c>
      <c r="BK293" t="s">
        <v>128</v>
      </c>
      <c r="BM293" t="s">
        <v>129</v>
      </c>
      <c r="BN293">
        <v>0</v>
      </c>
      <c r="BP293" t="s">
        <v>177</v>
      </c>
    </row>
    <row r="294" spans="1:110" x14ac:dyDescent="0.2">
      <c r="A294" t="s">
        <v>111</v>
      </c>
      <c r="B294" t="b">
        <v>1</v>
      </c>
      <c r="F294" t="str">
        <f>HYPERLINK("https://portal.dnb.de/opac.htm?method=simpleSearch&amp;cqlMode=true&amp;query=idn%3D1136805699", "Portal")</f>
        <v>Portal</v>
      </c>
      <c r="G294" t="s">
        <v>207</v>
      </c>
      <c r="H294" t="s">
        <v>1845</v>
      </c>
      <c r="I294" t="s">
        <v>1846</v>
      </c>
      <c r="J294" t="s">
        <v>1847</v>
      </c>
      <c r="K294" t="s">
        <v>1848</v>
      </c>
      <c r="L294" t="s">
        <v>1847</v>
      </c>
      <c r="N294" t="s">
        <v>1849</v>
      </c>
      <c r="O294" t="s">
        <v>1850</v>
      </c>
      <c r="R294" t="s">
        <v>188</v>
      </c>
      <c r="S294" t="s">
        <v>120</v>
      </c>
      <c r="T294" t="s">
        <v>121</v>
      </c>
      <c r="U294" t="s">
        <v>378</v>
      </c>
      <c r="W294" t="s">
        <v>365</v>
      </c>
      <c r="X294" t="s">
        <v>203</v>
      </c>
      <c r="Y294">
        <v>0</v>
      </c>
      <c r="AH294" t="s">
        <v>128</v>
      </c>
      <c r="AI294" t="s">
        <v>190</v>
      </c>
      <c r="AL294" t="s">
        <v>128</v>
      </c>
      <c r="AM294" t="s">
        <v>191</v>
      </c>
      <c r="AS294" t="s">
        <v>127</v>
      </c>
      <c r="AX294" t="s">
        <v>128</v>
      </c>
      <c r="BE294">
        <v>0</v>
      </c>
      <c r="BF294" t="s">
        <v>128</v>
      </c>
      <c r="BG294">
        <v>110</v>
      </c>
      <c r="BK294" t="s">
        <v>128</v>
      </c>
      <c r="BM294" t="s">
        <v>129</v>
      </c>
      <c r="BN294">
        <v>0</v>
      </c>
      <c r="BS294" t="s">
        <v>140</v>
      </c>
    </row>
    <row r="295" spans="1:110" x14ac:dyDescent="0.2">
      <c r="A295" t="s">
        <v>111</v>
      </c>
      <c r="B295" t="b">
        <v>1</v>
      </c>
      <c r="E295">
        <v>346</v>
      </c>
      <c r="F295" t="str">
        <f>HYPERLINK("https://portal.dnb.de/opac.htm?method=simpleSearch&amp;cqlMode=true&amp;query=idn%3D1136805699", "Portal")</f>
        <v>Portal</v>
      </c>
      <c r="G295" t="s">
        <v>207</v>
      </c>
      <c r="H295" t="s">
        <v>1845</v>
      </c>
      <c r="I295" t="s">
        <v>1846</v>
      </c>
      <c r="J295" t="s">
        <v>1848</v>
      </c>
      <c r="K295" t="s">
        <v>1848</v>
      </c>
      <c r="L295" t="s">
        <v>1851</v>
      </c>
      <c r="M295" t="s">
        <v>1852</v>
      </c>
      <c r="N295" t="s">
        <v>1849</v>
      </c>
      <c r="O295" t="s">
        <v>1850</v>
      </c>
      <c r="R295" t="s">
        <v>286</v>
      </c>
      <c r="T295" t="s">
        <v>156</v>
      </c>
      <c r="U295" t="s">
        <v>1415</v>
      </c>
      <c r="W295" t="s">
        <v>138</v>
      </c>
      <c r="X295" t="s">
        <v>139</v>
      </c>
      <c r="Y295">
        <v>3</v>
      </c>
      <c r="BN295">
        <v>0</v>
      </c>
    </row>
    <row r="296" spans="1:110" x14ac:dyDescent="0.2">
      <c r="A296" t="s">
        <v>111</v>
      </c>
      <c r="B296" t="b">
        <v>1</v>
      </c>
      <c r="E296">
        <v>348</v>
      </c>
      <c r="F296" t="str">
        <f>HYPERLINK("https://portal.dnb.de/opac.htm?method=simpleSearch&amp;cqlMode=true&amp;query=idn%3D36758865X", "Portal")</f>
        <v>Portal</v>
      </c>
      <c r="G296" t="s">
        <v>1556</v>
      </c>
      <c r="H296" t="s">
        <v>1853</v>
      </c>
      <c r="I296" t="s">
        <v>1854</v>
      </c>
      <c r="J296" t="s">
        <v>1855</v>
      </c>
      <c r="K296" t="s">
        <v>1855</v>
      </c>
      <c r="L296" t="s">
        <v>1856</v>
      </c>
      <c r="N296" t="s">
        <v>1857</v>
      </c>
      <c r="O296" t="s">
        <v>118</v>
      </c>
      <c r="S296" t="s">
        <v>120</v>
      </c>
      <c r="AH296" t="s">
        <v>128</v>
      </c>
      <c r="AI296" t="s">
        <v>338</v>
      </c>
      <c r="AM296" t="s">
        <v>150</v>
      </c>
      <c r="AS296" t="s">
        <v>127</v>
      </c>
      <c r="BG296">
        <v>110</v>
      </c>
      <c r="BM296" t="s">
        <v>129</v>
      </c>
      <c r="BN296">
        <v>0</v>
      </c>
      <c r="BT296" t="s">
        <v>140</v>
      </c>
      <c r="BU296" t="s">
        <v>128</v>
      </c>
    </row>
    <row r="297" spans="1:110" x14ac:dyDescent="0.2">
      <c r="A297" t="s">
        <v>111</v>
      </c>
      <c r="B297" t="b">
        <v>1</v>
      </c>
      <c r="E297">
        <v>349</v>
      </c>
      <c r="F297" t="str">
        <f>HYPERLINK("https://portal.dnb.de/opac.htm?method=simpleSearch&amp;cqlMode=true&amp;query=idn%3D1003923704", "Portal")</f>
        <v>Portal</v>
      </c>
      <c r="G297" t="s">
        <v>112</v>
      </c>
      <c r="H297" t="s">
        <v>1858</v>
      </c>
      <c r="I297" t="s">
        <v>1859</v>
      </c>
      <c r="J297" t="s">
        <v>1860</v>
      </c>
      <c r="K297" t="s">
        <v>1860</v>
      </c>
      <c r="L297" t="s">
        <v>1861</v>
      </c>
      <c r="N297" t="s">
        <v>1862</v>
      </c>
      <c r="O297" t="s">
        <v>118</v>
      </c>
      <c r="R297" t="s">
        <v>147</v>
      </c>
      <c r="S297" t="s">
        <v>120</v>
      </c>
      <c r="T297" t="s">
        <v>156</v>
      </c>
      <c r="U297" t="s">
        <v>716</v>
      </c>
      <c r="X297" t="s">
        <v>124</v>
      </c>
      <c r="Y297">
        <v>2</v>
      </c>
      <c r="AI297" t="s">
        <v>127</v>
      </c>
      <c r="AM297" t="s">
        <v>191</v>
      </c>
      <c r="AS297" t="s">
        <v>127</v>
      </c>
      <c r="BG297">
        <v>180</v>
      </c>
      <c r="BM297" t="s">
        <v>129</v>
      </c>
      <c r="BN297">
        <v>0</v>
      </c>
    </row>
    <row r="298" spans="1:110" x14ac:dyDescent="0.2">
      <c r="A298" t="s">
        <v>111</v>
      </c>
      <c r="B298" t="b">
        <v>1</v>
      </c>
      <c r="E298">
        <v>350</v>
      </c>
      <c r="F298" t="str">
        <f>HYPERLINK("https://portal.dnb.de/opac.htm?method=simpleSearch&amp;cqlMode=true&amp;query=idn%3D1003866263", "Portal")</f>
        <v>Portal</v>
      </c>
      <c r="G298" t="s">
        <v>112</v>
      </c>
      <c r="H298" t="s">
        <v>1863</v>
      </c>
      <c r="I298" t="s">
        <v>1864</v>
      </c>
      <c r="J298" t="s">
        <v>1865</v>
      </c>
      <c r="K298" t="s">
        <v>1865</v>
      </c>
      <c r="L298" t="s">
        <v>1866</v>
      </c>
      <c r="N298" t="s">
        <v>1867</v>
      </c>
      <c r="O298" t="s">
        <v>118</v>
      </c>
      <c r="P298" t="s">
        <v>135</v>
      </c>
      <c r="R298" t="s">
        <v>286</v>
      </c>
      <c r="S298" t="s">
        <v>120</v>
      </c>
      <c r="T298" t="s">
        <v>136</v>
      </c>
      <c r="U298" t="s">
        <v>423</v>
      </c>
      <c r="Y298">
        <v>0</v>
      </c>
      <c r="AI298" t="s">
        <v>338</v>
      </c>
      <c r="AL298" t="s">
        <v>128</v>
      </c>
      <c r="AM298" t="s">
        <v>150</v>
      </c>
      <c r="AS298" t="s">
        <v>127</v>
      </c>
      <c r="BG298">
        <v>180</v>
      </c>
      <c r="BM298" t="s">
        <v>129</v>
      </c>
      <c r="BN298">
        <v>0</v>
      </c>
    </row>
    <row r="299" spans="1:110" x14ac:dyDescent="0.2">
      <c r="A299" t="s">
        <v>111</v>
      </c>
      <c r="B299" t="b">
        <v>1</v>
      </c>
      <c r="E299">
        <v>351</v>
      </c>
      <c r="F299" t="str">
        <f>HYPERLINK("https://portal.dnb.de/opac.htm?method=simpleSearch&amp;cqlMode=true&amp;query=idn%3D1003866263", "Portal")</f>
        <v>Portal</v>
      </c>
      <c r="G299" t="s">
        <v>112</v>
      </c>
      <c r="H299" t="s">
        <v>1863</v>
      </c>
      <c r="I299" t="s">
        <v>1864</v>
      </c>
      <c r="J299" t="s">
        <v>1865</v>
      </c>
      <c r="K299" t="s">
        <v>1865</v>
      </c>
      <c r="L299" t="s">
        <v>1866</v>
      </c>
      <c r="M299" t="s">
        <v>1868</v>
      </c>
      <c r="N299" t="s">
        <v>1867</v>
      </c>
      <c r="O299" t="s">
        <v>118</v>
      </c>
      <c r="BN299">
        <v>0</v>
      </c>
    </row>
    <row r="300" spans="1:110" x14ac:dyDescent="0.2">
      <c r="A300" t="s">
        <v>111</v>
      </c>
      <c r="B300" t="b">
        <v>1</v>
      </c>
      <c r="E300">
        <v>352</v>
      </c>
      <c r="F300" t="str">
        <f>HYPERLINK("https://portal.dnb.de/opac.htm?method=simpleSearch&amp;cqlMode=true&amp;query=idn%3D1003854729", "Portal")</f>
        <v>Portal</v>
      </c>
      <c r="G300" t="s">
        <v>112</v>
      </c>
      <c r="H300" t="s">
        <v>1869</v>
      </c>
      <c r="I300" t="s">
        <v>1870</v>
      </c>
      <c r="J300" t="s">
        <v>1871</v>
      </c>
      <c r="K300" t="s">
        <v>1871</v>
      </c>
      <c r="L300" t="s">
        <v>1872</v>
      </c>
      <c r="N300" t="s">
        <v>1873</v>
      </c>
      <c r="O300" t="s">
        <v>118</v>
      </c>
      <c r="R300" t="s">
        <v>147</v>
      </c>
      <c r="S300" t="s">
        <v>120</v>
      </c>
      <c r="T300" t="s">
        <v>156</v>
      </c>
      <c r="U300" t="s">
        <v>716</v>
      </c>
      <c r="X300" t="s">
        <v>124</v>
      </c>
      <c r="Y300">
        <v>2</v>
      </c>
      <c r="AI300" t="s">
        <v>1591</v>
      </c>
      <c r="AM300" t="s">
        <v>191</v>
      </c>
      <c r="AS300" t="s">
        <v>127</v>
      </c>
      <c r="BG300">
        <v>180</v>
      </c>
      <c r="BM300" t="s">
        <v>129</v>
      </c>
      <c r="BN300">
        <v>0</v>
      </c>
    </row>
    <row r="301" spans="1:110" x14ac:dyDescent="0.2">
      <c r="A301" t="s">
        <v>111</v>
      </c>
      <c r="B301" t="b">
        <v>1</v>
      </c>
      <c r="C301" t="s">
        <v>128</v>
      </c>
      <c r="E301">
        <v>353</v>
      </c>
      <c r="F301" t="str">
        <f>HYPERLINK("https://portal.dnb.de/opac.htm?method=simpleSearch&amp;cqlMode=true&amp;query=idn%3D1066872554", "Portal")</f>
        <v>Portal</v>
      </c>
      <c r="G301" t="s">
        <v>163</v>
      </c>
      <c r="H301" t="s">
        <v>1874</v>
      </c>
      <c r="I301" t="s">
        <v>1875</v>
      </c>
      <c r="J301" t="s">
        <v>1876</v>
      </c>
      <c r="K301" t="s">
        <v>1876</v>
      </c>
      <c r="L301" t="s">
        <v>1877</v>
      </c>
      <c r="N301" t="s">
        <v>1878</v>
      </c>
      <c r="O301" t="s">
        <v>118</v>
      </c>
      <c r="R301" t="s">
        <v>147</v>
      </c>
      <c r="S301" t="s">
        <v>120</v>
      </c>
      <c r="T301" t="s">
        <v>156</v>
      </c>
      <c r="U301" t="s">
        <v>897</v>
      </c>
      <c r="X301" t="s">
        <v>124</v>
      </c>
      <c r="Y301">
        <v>3</v>
      </c>
      <c r="AI301" t="s">
        <v>127</v>
      </c>
      <c r="AM301" t="s">
        <v>126</v>
      </c>
      <c r="AS301" t="s">
        <v>127</v>
      </c>
      <c r="BG301">
        <v>110</v>
      </c>
      <c r="BM301" t="s">
        <v>206</v>
      </c>
      <c r="BN301">
        <v>2</v>
      </c>
      <c r="CB301" t="s">
        <v>128</v>
      </c>
      <c r="CD301" t="s">
        <v>128</v>
      </c>
      <c r="CM301">
        <v>2</v>
      </c>
      <c r="CN301" t="s">
        <v>1879</v>
      </c>
    </row>
    <row r="302" spans="1:110" x14ac:dyDescent="0.2">
      <c r="A302" t="s">
        <v>111</v>
      </c>
      <c r="B302" t="b">
        <v>1</v>
      </c>
      <c r="E302">
        <v>354</v>
      </c>
      <c r="F302" t="str">
        <f>HYPERLINK("https://portal.dnb.de/opac.htm?method=simpleSearch&amp;cqlMode=true&amp;query=idn%3D1003963188", "Portal")</f>
        <v>Portal</v>
      </c>
      <c r="G302" t="s">
        <v>112</v>
      </c>
      <c r="H302" t="s">
        <v>1880</v>
      </c>
      <c r="I302" t="s">
        <v>1881</v>
      </c>
      <c r="J302" t="s">
        <v>1882</v>
      </c>
      <c r="K302" t="s">
        <v>1882</v>
      </c>
      <c r="L302" t="s">
        <v>1883</v>
      </c>
      <c r="N302" t="s">
        <v>1884</v>
      </c>
      <c r="O302" t="s">
        <v>118</v>
      </c>
      <c r="R302" t="s">
        <v>1590</v>
      </c>
      <c r="S302" t="s">
        <v>120</v>
      </c>
      <c r="T302" t="s">
        <v>156</v>
      </c>
      <c r="U302" t="s">
        <v>137</v>
      </c>
      <c r="X302" t="s">
        <v>124</v>
      </c>
      <c r="Y302">
        <v>1</v>
      </c>
      <c r="AI302" t="s">
        <v>1591</v>
      </c>
      <c r="AM302" t="s">
        <v>191</v>
      </c>
      <c r="AS302" t="s">
        <v>127</v>
      </c>
      <c r="BG302" t="s">
        <v>249</v>
      </c>
      <c r="BM302" t="s">
        <v>129</v>
      </c>
      <c r="BN302">
        <v>0</v>
      </c>
      <c r="BY302" t="s">
        <v>1594</v>
      </c>
    </row>
    <row r="303" spans="1:110" x14ac:dyDescent="0.2">
      <c r="A303" t="s">
        <v>111</v>
      </c>
      <c r="B303" t="b">
        <v>1</v>
      </c>
      <c r="C303" t="s">
        <v>128</v>
      </c>
      <c r="E303">
        <v>355</v>
      </c>
      <c r="F303" t="str">
        <f>HYPERLINK("https://portal.dnb.de/opac.htm?method=simpleSearch&amp;cqlMode=true&amp;query=idn%3D1066862451", "Portal")</f>
        <v>Portal</v>
      </c>
      <c r="G303" t="s">
        <v>163</v>
      </c>
      <c r="H303" t="s">
        <v>1885</v>
      </c>
      <c r="I303" t="s">
        <v>1886</v>
      </c>
      <c r="J303" t="s">
        <v>1887</v>
      </c>
      <c r="K303" t="s">
        <v>1887</v>
      </c>
      <c r="L303" t="s">
        <v>1888</v>
      </c>
      <c r="N303" t="s">
        <v>1889</v>
      </c>
      <c r="O303" t="s">
        <v>118</v>
      </c>
      <c r="R303" t="s">
        <v>147</v>
      </c>
      <c r="S303" t="s">
        <v>120</v>
      </c>
      <c r="T303" t="s">
        <v>156</v>
      </c>
      <c r="U303" t="s">
        <v>997</v>
      </c>
      <c r="V303" t="s">
        <v>123</v>
      </c>
      <c r="X303" t="s">
        <v>124</v>
      </c>
      <c r="Y303">
        <v>1</v>
      </c>
      <c r="AI303" t="s">
        <v>127</v>
      </c>
      <c r="AM303" t="s">
        <v>126</v>
      </c>
      <c r="AS303" t="s">
        <v>127</v>
      </c>
      <c r="BG303">
        <v>110</v>
      </c>
      <c r="BM303" t="s">
        <v>206</v>
      </c>
      <c r="BN303">
        <v>3</v>
      </c>
      <c r="CB303" t="s">
        <v>128</v>
      </c>
      <c r="CM303">
        <v>0.5</v>
      </c>
      <c r="CN303" t="s">
        <v>1890</v>
      </c>
      <c r="CT303" t="s">
        <v>128</v>
      </c>
      <c r="CY303" t="s">
        <v>128</v>
      </c>
      <c r="DF303">
        <v>2.5</v>
      </c>
    </row>
    <row r="304" spans="1:110" x14ac:dyDescent="0.2">
      <c r="A304" t="s">
        <v>111</v>
      </c>
      <c r="B304" t="b">
        <v>1</v>
      </c>
      <c r="E304">
        <v>356</v>
      </c>
      <c r="F304" t="str">
        <f>HYPERLINK("https://portal.dnb.de/opac.htm?method=simpleSearch&amp;cqlMode=true&amp;query=idn%3D1003966012", "Portal")</f>
        <v>Portal</v>
      </c>
      <c r="G304" t="s">
        <v>112</v>
      </c>
      <c r="H304" t="s">
        <v>1891</v>
      </c>
      <c r="I304" t="s">
        <v>1892</v>
      </c>
      <c r="J304" t="s">
        <v>1893</v>
      </c>
      <c r="K304" t="s">
        <v>1893</v>
      </c>
      <c r="L304" t="s">
        <v>1894</v>
      </c>
      <c r="N304" t="s">
        <v>1895</v>
      </c>
      <c r="O304" t="s">
        <v>118</v>
      </c>
      <c r="R304" t="s">
        <v>147</v>
      </c>
      <c r="S304" t="s">
        <v>120</v>
      </c>
      <c r="T304" t="s">
        <v>156</v>
      </c>
      <c r="X304" t="s">
        <v>124</v>
      </c>
      <c r="Y304">
        <v>1</v>
      </c>
      <c r="AI304" t="s">
        <v>127</v>
      </c>
      <c r="AM304" t="s">
        <v>150</v>
      </c>
      <c r="AS304" t="s">
        <v>127</v>
      </c>
      <c r="BG304">
        <v>180</v>
      </c>
      <c r="BM304" t="s">
        <v>129</v>
      </c>
      <c r="BN304">
        <v>0</v>
      </c>
    </row>
    <row r="305" spans="1:92" x14ac:dyDescent="0.2">
      <c r="A305" t="s">
        <v>111</v>
      </c>
      <c r="B305" t="b">
        <v>1</v>
      </c>
      <c r="C305" t="s">
        <v>128</v>
      </c>
      <c r="E305">
        <v>357</v>
      </c>
      <c r="F305" t="str">
        <f>HYPERLINK("https://portal.dnb.de/opac.htm?method=simpleSearch&amp;cqlMode=true&amp;query=idn%3D1066956936", "Portal")</f>
        <v>Portal</v>
      </c>
      <c r="G305" t="s">
        <v>163</v>
      </c>
      <c r="H305" t="s">
        <v>1896</v>
      </c>
      <c r="I305" t="s">
        <v>1897</v>
      </c>
      <c r="J305" t="s">
        <v>1898</v>
      </c>
      <c r="K305" t="s">
        <v>1898</v>
      </c>
      <c r="L305" t="s">
        <v>1899</v>
      </c>
      <c r="N305" t="s">
        <v>1900</v>
      </c>
      <c r="O305" t="s">
        <v>118</v>
      </c>
      <c r="R305" t="s">
        <v>147</v>
      </c>
      <c r="S305" t="s">
        <v>120</v>
      </c>
      <c r="T305" t="s">
        <v>156</v>
      </c>
      <c r="U305" t="s">
        <v>897</v>
      </c>
      <c r="X305" t="s">
        <v>124</v>
      </c>
      <c r="Y305">
        <v>2</v>
      </c>
      <c r="AI305" t="s">
        <v>127</v>
      </c>
      <c r="AM305" t="s">
        <v>126</v>
      </c>
      <c r="AS305" t="s">
        <v>127</v>
      </c>
      <c r="BG305">
        <v>110</v>
      </c>
      <c r="BM305" t="s">
        <v>206</v>
      </c>
      <c r="BN305">
        <v>1</v>
      </c>
      <c r="BU305" t="s">
        <v>128</v>
      </c>
      <c r="BV305" t="s">
        <v>1901</v>
      </c>
      <c r="BY305" t="s">
        <v>368</v>
      </c>
      <c r="CB305" t="s">
        <v>128</v>
      </c>
      <c r="CM305">
        <v>1</v>
      </c>
      <c r="CN305" t="s">
        <v>1902</v>
      </c>
    </row>
    <row r="306" spans="1:92" x14ac:dyDescent="0.2">
      <c r="A306" t="s">
        <v>111</v>
      </c>
      <c r="B306" t="b">
        <v>1</v>
      </c>
      <c r="E306">
        <v>358</v>
      </c>
      <c r="F306" t="str">
        <f>HYPERLINK("https://portal.dnb.de/opac.htm?method=simpleSearch&amp;cqlMode=true&amp;query=idn%3D1066964211", "Portal")</f>
        <v>Portal</v>
      </c>
      <c r="G306" t="s">
        <v>163</v>
      </c>
      <c r="H306" t="s">
        <v>1903</v>
      </c>
      <c r="I306" t="s">
        <v>1904</v>
      </c>
      <c r="J306" t="s">
        <v>1905</v>
      </c>
      <c r="K306" t="s">
        <v>1905</v>
      </c>
      <c r="L306" t="s">
        <v>1906</v>
      </c>
      <c r="N306" t="s">
        <v>1907</v>
      </c>
      <c r="O306" t="s">
        <v>118</v>
      </c>
      <c r="R306" t="s">
        <v>188</v>
      </c>
      <c r="S306" t="s">
        <v>120</v>
      </c>
      <c r="T306" t="s">
        <v>136</v>
      </c>
      <c r="U306" t="s">
        <v>137</v>
      </c>
      <c r="W306" t="s">
        <v>138</v>
      </c>
      <c r="X306" t="s">
        <v>203</v>
      </c>
      <c r="Y306">
        <v>1</v>
      </c>
      <c r="AA306" t="s">
        <v>1908</v>
      </c>
      <c r="AI306" t="s">
        <v>469</v>
      </c>
      <c r="AM306" t="s">
        <v>191</v>
      </c>
      <c r="AS306" t="s">
        <v>127</v>
      </c>
      <c r="BG306" t="s">
        <v>176</v>
      </c>
      <c r="BM306" t="s">
        <v>129</v>
      </c>
      <c r="BN306">
        <v>0</v>
      </c>
      <c r="BT306" t="s">
        <v>140</v>
      </c>
      <c r="BU306" t="s">
        <v>128</v>
      </c>
      <c r="BV306" t="s">
        <v>1909</v>
      </c>
    </row>
    <row r="307" spans="1:92" x14ac:dyDescent="0.2">
      <c r="A307" t="s">
        <v>111</v>
      </c>
      <c r="B307" t="b">
        <v>1</v>
      </c>
      <c r="E307">
        <v>359</v>
      </c>
      <c r="F307" t="str">
        <f>HYPERLINK("https://portal.dnb.de/opac.htm?method=simpleSearch&amp;cqlMode=true&amp;query=idn%3D1003983456", "Portal")</f>
        <v>Portal</v>
      </c>
      <c r="G307" t="s">
        <v>112</v>
      </c>
      <c r="H307" t="s">
        <v>1910</v>
      </c>
      <c r="I307" t="s">
        <v>1911</v>
      </c>
      <c r="J307" t="s">
        <v>1912</v>
      </c>
      <c r="K307" t="s">
        <v>1912</v>
      </c>
      <c r="L307" t="s">
        <v>1913</v>
      </c>
      <c r="N307" t="s">
        <v>1914</v>
      </c>
      <c r="O307" t="s">
        <v>118</v>
      </c>
      <c r="R307" t="s">
        <v>188</v>
      </c>
      <c r="S307" t="s">
        <v>120</v>
      </c>
      <c r="T307" t="s">
        <v>121</v>
      </c>
      <c r="U307" t="s">
        <v>1915</v>
      </c>
      <c r="W307" t="s">
        <v>138</v>
      </c>
      <c r="X307" t="s">
        <v>203</v>
      </c>
      <c r="Y307">
        <v>2</v>
      </c>
      <c r="AI307" t="s">
        <v>190</v>
      </c>
      <c r="AM307" t="s">
        <v>191</v>
      </c>
      <c r="AS307" t="s">
        <v>127</v>
      </c>
      <c r="BE307">
        <v>0</v>
      </c>
      <c r="BF307" t="s">
        <v>128</v>
      </c>
      <c r="BG307">
        <v>80</v>
      </c>
      <c r="BM307" t="s">
        <v>129</v>
      </c>
      <c r="BN307">
        <v>0</v>
      </c>
      <c r="BT307" t="s">
        <v>140</v>
      </c>
      <c r="BU307" t="s">
        <v>128</v>
      </c>
      <c r="BY307" t="s">
        <v>141</v>
      </c>
    </row>
    <row r="308" spans="1:92" x14ac:dyDescent="0.2">
      <c r="A308" t="s">
        <v>111</v>
      </c>
      <c r="B308" t="b">
        <v>1</v>
      </c>
      <c r="E308">
        <v>360</v>
      </c>
      <c r="F308" t="str">
        <f>HYPERLINK("https://portal.dnb.de/opac.htm?method=simpleSearch&amp;cqlMode=true&amp;query=idn%3D100385494X", "Portal")</f>
        <v>Portal</v>
      </c>
      <c r="G308" t="s">
        <v>112</v>
      </c>
      <c r="H308" t="s">
        <v>1916</v>
      </c>
      <c r="I308" t="s">
        <v>1917</v>
      </c>
      <c r="J308" t="s">
        <v>1918</v>
      </c>
      <c r="K308" t="s">
        <v>1918</v>
      </c>
      <c r="L308" t="s">
        <v>1919</v>
      </c>
      <c r="N308" t="s">
        <v>1920</v>
      </c>
      <c r="O308" t="s">
        <v>118</v>
      </c>
      <c r="P308" t="s">
        <v>135</v>
      </c>
      <c r="R308" t="s">
        <v>147</v>
      </c>
      <c r="S308" t="s">
        <v>120</v>
      </c>
      <c r="T308" t="s">
        <v>136</v>
      </c>
      <c r="U308" t="s">
        <v>1921</v>
      </c>
      <c r="X308" t="s">
        <v>124</v>
      </c>
      <c r="Y308">
        <v>0</v>
      </c>
      <c r="AI308" t="s">
        <v>127</v>
      </c>
      <c r="AM308" t="s">
        <v>150</v>
      </c>
      <c r="AS308" t="s">
        <v>127</v>
      </c>
      <c r="BG308">
        <v>110</v>
      </c>
      <c r="BM308" t="s">
        <v>129</v>
      </c>
      <c r="BN308">
        <v>0</v>
      </c>
    </row>
    <row r="309" spans="1:92" x14ac:dyDescent="0.2">
      <c r="A309" t="s">
        <v>111</v>
      </c>
      <c r="B309" t="b">
        <v>1</v>
      </c>
      <c r="E309">
        <v>362</v>
      </c>
      <c r="F309" t="str">
        <f>HYPERLINK("https://portal.dnb.de/opac.htm?method=simpleSearch&amp;cqlMode=true&amp;query=idn%3D1003969119", "Portal")</f>
        <v>Portal</v>
      </c>
      <c r="G309" t="s">
        <v>112</v>
      </c>
      <c r="H309" t="s">
        <v>1922</v>
      </c>
      <c r="I309" t="s">
        <v>1923</v>
      </c>
      <c r="J309" t="s">
        <v>1924</v>
      </c>
      <c r="K309" t="s">
        <v>1924</v>
      </c>
      <c r="L309" t="s">
        <v>1925</v>
      </c>
      <c r="N309" t="s">
        <v>1926</v>
      </c>
      <c r="O309" t="s">
        <v>118</v>
      </c>
      <c r="R309" t="s">
        <v>286</v>
      </c>
      <c r="S309" t="s">
        <v>120</v>
      </c>
      <c r="T309" t="s">
        <v>136</v>
      </c>
      <c r="U309" t="s">
        <v>148</v>
      </c>
      <c r="X309" t="s">
        <v>124</v>
      </c>
      <c r="Y309">
        <v>0</v>
      </c>
      <c r="AH309" t="s">
        <v>128</v>
      </c>
      <c r="AI309" t="s">
        <v>149</v>
      </c>
      <c r="AL309" t="s">
        <v>128</v>
      </c>
      <c r="AM309" t="s">
        <v>150</v>
      </c>
      <c r="AS309" t="s">
        <v>127</v>
      </c>
      <c r="BG309">
        <v>110</v>
      </c>
      <c r="BK309" t="s">
        <v>128</v>
      </c>
      <c r="BM309" t="s">
        <v>129</v>
      </c>
      <c r="BN309">
        <v>0</v>
      </c>
    </row>
    <row r="310" spans="1:92" x14ac:dyDescent="0.2">
      <c r="A310" t="s">
        <v>111</v>
      </c>
      <c r="B310" t="b">
        <v>1</v>
      </c>
      <c r="E310">
        <v>363</v>
      </c>
      <c r="F310" t="str">
        <f>HYPERLINK("https://portal.dnb.de/opac.htm?method=simpleSearch&amp;cqlMode=true&amp;query=idn%3D106695688X", "Portal")</f>
        <v>Portal</v>
      </c>
      <c r="G310" t="s">
        <v>163</v>
      </c>
      <c r="H310" t="s">
        <v>1927</v>
      </c>
      <c r="I310" t="s">
        <v>1928</v>
      </c>
      <c r="J310" t="s">
        <v>1929</v>
      </c>
      <c r="K310" t="s">
        <v>1929</v>
      </c>
      <c r="L310" t="s">
        <v>1930</v>
      </c>
      <c r="N310" t="s">
        <v>1931</v>
      </c>
      <c r="O310" t="s">
        <v>118</v>
      </c>
      <c r="P310" t="s">
        <v>135</v>
      </c>
      <c r="R310" t="s">
        <v>1590</v>
      </c>
      <c r="S310" t="s">
        <v>120</v>
      </c>
      <c r="T310" t="s">
        <v>156</v>
      </c>
      <c r="W310" t="s">
        <v>365</v>
      </c>
      <c r="X310" t="s">
        <v>606</v>
      </c>
      <c r="Y310">
        <v>0</v>
      </c>
      <c r="AI310" t="s">
        <v>390</v>
      </c>
      <c r="AS310" t="s">
        <v>127</v>
      </c>
      <c r="BG310">
        <v>180</v>
      </c>
      <c r="BM310" t="s">
        <v>129</v>
      </c>
      <c r="BN310">
        <v>0</v>
      </c>
      <c r="BS310" t="s">
        <v>128</v>
      </c>
    </row>
    <row r="311" spans="1:92" x14ac:dyDescent="0.2">
      <c r="A311" t="s">
        <v>111</v>
      </c>
      <c r="B311" t="b">
        <v>1</v>
      </c>
      <c r="E311">
        <v>364</v>
      </c>
      <c r="F311" t="str">
        <f>HYPERLINK("https://portal.dnb.de/opac.htm?method=simpleSearch&amp;cqlMode=true&amp;query=idn%3D1003826466", "Portal")</f>
        <v>Portal</v>
      </c>
      <c r="G311" t="s">
        <v>112</v>
      </c>
      <c r="H311" t="s">
        <v>1932</v>
      </c>
      <c r="I311" t="s">
        <v>1933</v>
      </c>
      <c r="J311" t="s">
        <v>1934</v>
      </c>
      <c r="K311" t="s">
        <v>1934</v>
      </c>
      <c r="L311" t="s">
        <v>1935</v>
      </c>
      <c r="N311" t="s">
        <v>1936</v>
      </c>
      <c r="O311" t="s">
        <v>118</v>
      </c>
      <c r="P311" t="s">
        <v>135</v>
      </c>
      <c r="R311" t="s">
        <v>162</v>
      </c>
      <c r="S311" t="s">
        <v>120</v>
      </c>
      <c r="T311" t="s">
        <v>121</v>
      </c>
      <c r="U311" t="s">
        <v>148</v>
      </c>
      <c r="Y311">
        <v>0</v>
      </c>
      <c r="AH311" t="s">
        <v>128</v>
      </c>
      <c r="AI311" t="s">
        <v>149</v>
      </c>
      <c r="AM311" t="s">
        <v>126</v>
      </c>
      <c r="AS311" t="s">
        <v>127</v>
      </c>
      <c r="BG311">
        <v>45</v>
      </c>
      <c r="BM311" t="s">
        <v>129</v>
      </c>
      <c r="BN311">
        <v>0</v>
      </c>
    </row>
    <row r="312" spans="1:92" x14ac:dyDescent="0.2">
      <c r="A312" t="s">
        <v>111</v>
      </c>
      <c r="B312" t="b">
        <v>1</v>
      </c>
      <c r="E312">
        <v>365</v>
      </c>
      <c r="F312" t="str">
        <f>HYPERLINK("https://portal.dnb.de/opac.htm?method=simpleSearch&amp;cqlMode=true&amp;query=idn%3D100396365X", "Portal")</f>
        <v>Portal</v>
      </c>
      <c r="G312" t="s">
        <v>112</v>
      </c>
      <c r="H312" t="s">
        <v>1937</v>
      </c>
      <c r="I312" t="s">
        <v>1938</v>
      </c>
      <c r="J312" t="s">
        <v>1939</v>
      </c>
      <c r="K312" t="s">
        <v>1939</v>
      </c>
      <c r="L312" t="s">
        <v>1940</v>
      </c>
      <c r="N312" t="s">
        <v>1941</v>
      </c>
      <c r="O312" t="s">
        <v>118</v>
      </c>
      <c r="P312" t="s">
        <v>135</v>
      </c>
      <c r="R312" t="s">
        <v>147</v>
      </c>
      <c r="S312" t="s">
        <v>120</v>
      </c>
      <c r="T312" t="s">
        <v>156</v>
      </c>
      <c r="X312" t="s">
        <v>124</v>
      </c>
      <c r="Y312">
        <v>1</v>
      </c>
      <c r="AI312" t="s">
        <v>127</v>
      </c>
      <c r="AM312" t="s">
        <v>191</v>
      </c>
      <c r="AS312" t="s">
        <v>127</v>
      </c>
      <c r="BG312">
        <v>180</v>
      </c>
      <c r="BM312" t="s">
        <v>129</v>
      </c>
      <c r="BN312">
        <v>0</v>
      </c>
    </row>
    <row r="313" spans="1:92" x14ac:dyDescent="0.2">
      <c r="A313" t="s">
        <v>111</v>
      </c>
      <c r="B313" t="b">
        <v>1</v>
      </c>
      <c r="F313" t="str">
        <f>HYPERLINK("https://portal.dnb.de/opac.htm?method=simpleSearch&amp;cqlMode=true&amp;query=idn%3D1262532264", "Portal")</f>
        <v>Portal</v>
      </c>
      <c r="G313" t="s">
        <v>157</v>
      </c>
      <c r="H313" t="s">
        <v>1942</v>
      </c>
      <c r="I313" t="s">
        <v>1943</v>
      </c>
      <c r="J313" t="s">
        <v>1944</v>
      </c>
      <c r="K313" t="s">
        <v>1944</v>
      </c>
      <c r="L313" t="s">
        <v>1944</v>
      </c>
      <c r="N313" t="s">
        <v>220</v>
      </c>
      <c r="O313" t="s">
        <v>118</v>
      </c>
      <c r="P313" t="s">
        <v>135</v>
      </c>
      <c r="R313" t="s">
        <v>188</v>
      </c>
      <c r="S313" t="s">
        <v>120</v>
      </c>
      <c r="T313" t="s">
        <v>136</v>
      </c>
      <c r="U313" t="s">
        <v>423</v>
      </c>
      <c r="X313" t="s">
        <v>124</v>
      </c>
      <c r="Y313">
        <v>0</v>
      </c>
      <c r="AI313" t="s">
        <v>190</v>
      </c>
      <c r="AM313" t="s">
        <v>204</v>
      </c>
      <c r="AS313" t="s">
        <v>127</v>
      </c>
      <c r="BG313">
        <v>60</v>
      </c>
      <c r="BM313" t="s">
        <v>129</v>
      </c>
      <c r="BN313">
        <v>0</v>
      </c>
    </row>
    <row r="314" spans="1:92" x14ac:dyDescent="0.2">
      <c r="A314" t="s">
        <v>111</v>
      </c>
      <c r="B314" t="b">
        <v>1</v>
      </c>
      <c r="E314">
        <v>369</v>
      </c>
      <c r="F314" t="str">
        <f>HYPERLINK("https://portal.dnb.de/opac.htm?method=simpleSearch&amp;cqlMode=true&amp;query=idn%3D106696226X", "Portal")</f>
        <v>Portal</v>
      </c>
      <c r="G314" t="s">
        <v>112</v>
      </c>
      <c r="H314" t="s">
        <v>1945</v>
      </c>
      <c r="I314" t="s">
        <v>1946</v>
      </c>
      <c r="J314" t="s">
        <v>1947</v>
      </c>
      <c r="K314" t="s">
        <v>1947</v>
      </c>
      <c r="L314" t="s">
        <v>1948</v>
      </c>
      <c r="N314" t="s">
        <v>1949</v>
      </c>
      <c r="O314" t="s">
        <v>118</v>
      </c>
      <c r="P314" t="s">
        <v>135</v>
      </c>
      <c r="R314" t="s">
        <v>147</v>
      </c>
      <c r="S314" t="s">
        <v>120</v>
      </c>
      <c r="T314" t="s">
        <v>156</v>
      </c>
      <c r="X314" t="s">
        <v>124</v>
      </c>
      <c r="Y314">
        <v>0</v>
      </c>
      <c r="AI314" t="s">
        <v>127</v>
      </c>
      <c r="AM314" t="s">
        <v>126</v>
      </c>
      <c r="AS314" t="s">
        <v>127</v>
      </c>
      <c r="BG314">
        <v>180</v>
      </c>
      <c r="BM314" t="s">
        <v>129</v>
      </c>
      <c r="BN314">
        <v>0</v>
      </c>
    </row>
    <row r="315" spans="1:92" x14ac:dyDescent="0.2">
      <c r="A315" t="s">
        <v>111</v>
      </c>
      <c r="B315" t="b">
        <v>1</v>
      </c>
      <c r="E315">
        <v>370</v>
      </c>
      <c r="F315" t="str">
        <f>HYPERLINK("https://portal.dnb.de/opac.htm?method=simpleSearch&amp;cqlMode=true&amp;query=idn%3D1003915418", "Portal")</f>
        <v>Portal</v>
      </c>
      <c r="G315" t="s">
        <v>112</v>
      </c>
      <c r="H315" t="s">
        <v>1950</v>
      </c>
      <c r="I315" t="s">
        <v>1951</v>
      </c>
      <c r="J315" t="s">
        <v>1952</v>
      </c>
      <c r="K315" t="s">
        <v>1952</v>
      </c>
      <c r="L315" t="s">
        <v>1953</v>
      </c>
      <c r="N315" t="s">
        <v>1954</v>
      </c>
      <c r="O315" t="s">
        <v>118</v>
      </c>
      <c r="P315" t="s">
        <v>135</v>
      </c>
      <c r="R315" t="s">
        <v>188</v>
      </c>
      <c r="S315" t="s">
        <v>120</v>
      </c>
      <c r="T315" t="s">
        <v>136</v>
      </c>
      <c r="U315" t="s">
        <v>215</v>
      </c>
      <c r="W315" t="s">
        <v>138</v>
      </c>
      <c r="X315" t="s">
        <v>203</v>
      </c>
      <c r="Y315">
        <v>0</v>
      </c>
      <c r="AI315" t="s">
        <v>190</v>
      </c>
      <c r="AM315" t="s">
        <v>150</v>
      </c>
      <c r="AS315" t="s">
        <v>127</v>
      </c>
      <c r="AZ315" t="s">
        <v>128</v>
      </c>
      <c r="BG315" t="s">
        <v>176</v>
      </c>
      <c r="BM315" t="s">
        <v>129</v>
      </c>
      <c r="BN315">
        <v>0</v>
      </c>
      <c r="BT315" t="s">
        <v>140</v>
      </c>
      <c r="BU315" t="s">
        <v>128</v>
      </c>
      <c r="BY315" t="s">
        <v>1056</v>
      </c>
    </row>
    <row r="316" spans="1:92" x14ac:dyDescent="0.2">
      <c r="A316" t="s">
        <v>111</v>
      </c>
      <c r="B316" t="b">
        <v>1</v>
      </c>
      <c r="F316" t="str">
        <f>HYPERLINK("https://portal.dnb.de/opac.htm?method=simpleSearch&amp;cqlMode=true&amp;query=idn%3D1003965970", "Portal")</f>
        <v>Portal</v>
      </c>
      <c r="G316" t="s">
        <v>1955</v>
      </c>
      <c r="H316" t="s">
        <v>1956</v>
      </c>
      <c r="I316" t="s">
        <v>1957</v>
      </c>
      <c r="J316" t="s">
        <v>1958</v>
      </c>
      <c r="K316" t="s">
        <v>1958</v>
      </c>
      <c r="L316" t="s">
        <v>1958</v>
      </c>
      <c r="N316" t="s">
        <v>1959</v>
      </c>
      <c r="O316" t="s">
        <v>118</v>
      </c>
      <c r="P316" t="s">
        <v>135</v>
      </c>
      <c r="R316" t="s">
        <v>147</v>
      </c>
      <c r="S316" t="s">
        <v>120</v>
      </c>
      <c r="T316" t="s">
        <v>156</v>
      </c>
      <c r="U316" t="s">
        <v>148</v>
      </c>
      <c r="Y316">
        <v>0</v>
      </c>
      <c r="AI316" t="s">
        <v>127</v>
      </c>
      <c r="AM316" t="s">
        <v>150</v>
      </c>
      <c r="AS316" t="s">
        <v>127</v>
      </c>
      <c r="BG316">
        <v>110</v>
      </c>
      <c r="BM316" t="s">
        <v>129</v>
      </c>
      <c r="BN316">
        <v>0</v>
      </c>
    </row>
    <row r="317" spans="1:92" x14ac:dyDescent="0.2">
      <c r="A317" t="s">
        <v>111</v>
      </c>
      <c r="B317" t="b">
        <v>1</v>
      </c>
      <c r="E317">
        <v>391</v>
      </c>
      <c r="F317" t="str">
        <f>HYPERLINK("https://portal.dnb.de/opac.htm?method=simpleSearch&amp;cqlMode=true&amp;query=idn%3D1003985432", "Portal")</f>
        <v>Portal</v>
      </c>
      <c r="G317" t="s">
        <v>112</v>
      </c>
      <c r="H317" t="s">
        <v>1960</v>
      </c>
      <c r="I317" t="s">
        <v>1961</v>
      </c>
      <c r="J317" t="s">
        <v>1962</v>
      </c>
      <c r="K317" t="s">
        <v>1962</v>
      </c>
      <c r="L317" t="s">
        <v>1963</v>
      </c>
      <c r="N317" t="s">
        <v>1964</v>
      </c>
      <c r="O317" t="s">
        <v>118</v>
      </c>
      <c r="P317" t="s">
        <v>135</v>
      </c>
      <c r="R317" t="s">
        <v>188</v>
      </c>
      <c r="S317" t="s">
        <v>120</v>
      </c>
      <c r="T317" t="s">
        <v>136</v>
      </c>
      <c r="U317" t="s">
        <v>378</v>
      </c>
      <c r="W317" t="s">
        <v>67</v>
      </c>
      <c r="X317" t="s">
        <v>175</v>
      </c>
      <c r="Y317">
        <v>0</v>
      </c>
      <c r="AI317" t="s">
        <v>190</v>
      </c>
      <c r="AL317" t="s">
        <v>128</v>
      </c>
      <c r="AM317" t="s">
        <v>191</v>
      </c>
      <c r="AS317" t="s">
        <v>127</v>
      </c>
      <c r="AX317" t="s">
        <v>128</v>
      </c>
      <c r="BE317">
        <v>0</v>
      </c>
      <c r="BF317" t="s">
        <v>128</v>
      </c>
      <c r="BG317">
        <v>110</v>
      </c>
      <c r="BM317" t="s">
        <v>129</v>
      </c>
      <c r="BN317">
        <v>0</v>
      </c>
      <c r="BP317" t="s">
        <v>177</v>
      </c>
    </row>
    <row r="318" spans="1:92" x14ac:dyDescent="0.2">
      <c r="A318" t="s">
        <v>111</v>
      </c>
      <c r="B318" t="b">
        <v>1</v>
      </c>
      <c r="E318">
        <v>392</v>
      </c>
      <c r="F318" t="str">
        <f>HYPERLINK("https://portal.dnb.de/opac.htm?method=simpleSearch&amp;cqlMode=true&amp;query=idn%3D1003986323", "Portal")</f>
        <v>Portal</v>
      </c>
      <c r="G318" t="s">
        <v>112</v>
      </c>
      <c r="H318" t="s">
        <v>1965</v>
      </c>
      <c r="I318" t="s">
        <v>1966</v>
      </c>
      <c r="J318" t="s">
        <v>1967</v>
      </c>
      <c r="K318" t="s">
        <v>1967</v>
      </c>
      <c r="L318" t="s">
        <v>1968</v>
      </c>
      <c r="N318" t="s">
        <v>1969</v>
      </c>
      <c r="O318" t="s">
        <v>118</v>
      </c>
      <c r="P318" t="s">
        <v>135</v>
      </c>
      <c r="R318" t="s">
        <v>147</v>
      </c>
      <c r="S318" t="s">
        <v>120</v>
      </c>
      <c r="T318" t="s">
        <v>156</v>
      </c>
      <c r="U318" t="s">
        <v>619</v>
      </c>
      <c r="X318" t="s">
        <v>124</v>
      </c>
      <c r="Y318">
        <v>0</v>
      </c>
      <c r="AI318" t="s">
        <v>127</v>
      </c>
      <c r="AM318" t="s">
        <v>150</v>
      </c>
      <c r="AS318" t="s">
        <v>127</v>
      </c>
      <c r="BG318">
        <v>180</v>
      </c>
      <c r="BM318" t="s">
        <v>129</v>
      </c>
      <c r="BN318">
        <v>0</v>
      </c>
    </row>
    <row r="319" spans="1:92" x14ac:dyDescent="0.2">
      <c r="A319" t="s">
        <v>111</v>
      </c>
      <c r="B319" t="b">
        <v>1</v>
      </c>
      <c r="E319">
        <v>393</v>
      </c>
      <c r="F319" t="str">
        <f>HYPERLINK("https://portal.dnb.de/opac.htm?method=simpleSearch&amp;cqlMode=true&amp;query=idn%3D1066847428", "Portal")</f>
        <v>Portal</v>
      </c>
      <c r="G319" t="s">
        <v>163</v>
      </c>
      <c r="H319" t="s">
        <v>1970</v>
      </c>
      <c r="I319" t="s">
        <v>1971</v>
      </c>
      <c r="J319" t="s">
        <v>1972</v>
      </c>
      <c r="K319" t="s">
        <v>1972</v>
      </c>
      <c r="L319" t="s">
        <v>1973</v>
      </c>
      <c r="N319" t="s">
        <v>1974</v>
      </c>
      <c r="O319" t="s">
        <v>118</v>
      </c>
      <c r="P319" t="s">
        <v>135</v>
      </c>
      <c r="R319" t="s">
        <v>147</v>
      </c>
      <c r="S319" t="s">
        <v>120</v>
      </c>
      <c r="T319" t="s">
        <v>136</v>
      </c>
      <c r="U319" t="s">
        <v>619</v>
      </c>
      <c r="X319" t="s">
        <v>124</v>
      </c>
      <c r="Y319">
        <v>0</v>
      </c>
      <c r="AI319" t="s">
        <v>127</v>
      </c>
      <c r="AM319" t="s">
        <v>150</v>
      </c>
      <c r="AS319" t="s">
        <v>127</v>
      </c>
      <c r="BG319">
        <v>180</v>
      </c>
      <c r="BM319" t="s">
        <v>129</v>
      </c>
      <c r="BN319">
        <v>0</v>
      </c>
    </row>
    <row r="320" spans="1:92" x14ac:dyDescent="0.2">
      <c r="A320" t="s">
        <v>111</v>
      </c>
      <c r="B320" t="b">
        <v>1</v>
      </c>
      <c r="E320">
        <v>394</v>
      </c>
      <c r="F320" t="str">
        <f>HYPERLINK("https://portal.dnb.de/opac.htm?method=simpleSearch&amp;cqlMode=true&amp;query=idn%3D1003868053", "Portal")</f>
        <v>Portal</v>
      </c>
      <c r="G320" t="s">
        <v>112</v>
      </c>
      <c r="H320" t="s">
        <v>1975</v>
      </c>
      <c r="I320" t="s">
        <v>1976</v>
      </c>
      <c r="J320" t="s">
        <v>1977</v>
      </c>
      <c r="K320" t="s">
        <v>1977</v>
      </c>
      <c r="L320" t="s">
        <v>1978</v>
      </c>
      <c r="N320" t="s">
        <v>1979</v>
      </c>
      <c r="O320" t="s">
        <v>118</v>
      </c>
      <c r="P320" t="s">
        <v>135</v>
      </c>
      <c r="R320" t="s">
        <v>286</v>
      </c>
      <c r="S320" t="s">
        <v>120</v>
      </c>
      <c r="T320" t="s">
        <v>136</v>
      </c>
      <c r="W320" t="s">
        <v>138</v>
      </c>
      <c r="X320" t="s">
        <v>203</v>
      </c>
      <c r="Y320">
        <v>0</v>
      </c>
      <c r="AI320" t="s">
        <v>127</v>
      </c>
      <c r="AM320" t="s">
        <v>204</v>
      </c>
      <c r="AS320" t="s">
        <v>127</v>
      </c>
      <c r="BG320" t="s">
        <v>176</v>
      </c>
      <c r="BM320" t="s">
        <v>129</v>
      </c>
      <c r="BN320">
        <v>0</v>
      </c>
      <c r="BT320" t="s">
        <v>140</v>
      </c>
      <c r="BU320" t="s">
        <v>128</v>
      </c>
      <c r="BY320" t="s">
        <v>1829</v>
      </c>
    </row>
    <row r="321" spans="1:92" x14ac:dyDescent="0.2">
      <c r="A321" t="s">
        <v>111</v>
      </c>
      <c r="B321" t="b">
        <v>1</v>
      </c>
      <c r="E321">
        <v>395</v>
      </c>
      <c r="F321" t="str">
        <f>HYPERLINK("https://portal.dnb.de/opac.htm?method=simpleSearch&amp;cqlMode=true&amp;query=idn%3D1003894267", "Portal")</f>
        <v>Portal</v>
      </c>
      <c r="G321" t="s">
        <v>112</v>
      </c>
      <c r="H321" t="s">
        <v>1980</v>
      </c>
      <c r="I321" t="s">
        <v>1981</v>
      </c>
      <c r="J321" t="s">
        <v>1982</v>
      </c>
      <c r="K321" t="s">
        <v>1982</v>
      </c>
      <c r="L321" t="s">
        <v>1983</v>
      </c>
      <c r="N321" t="s">
        <v>1984</v>
      </c>
      <c r="O321" t="s">
        <v>118</v>
      </c>
      <c r="P321" t="s">
        <v>135</v>
      </c>
      <c r="R321" t="s">
        <v>286</v>
      </c>
      <c r="S321" t="s">
        <v>120</v>
      </c>
      <c r="T321" t="s">
        <v>136</v>
      </c>
      <c r="W321" t="s">
        <v>138</v>
      </c>
      <c r="X321" t="s">
        <v>203</v>
      </c>
      <c r="Y321">
        <v>1</v>
      </c>
      <c r="AI321" t="s">
        <v>127</v>
      </c>
      <c r="AM321" t="s">
        <v>191</v>
      </c>
      <c r="AS321" t="s">
        <v>127</v>
      </c>
      <c r="BG321" t="s">
        <v>176</v>
      </c>
      <c r="BM321" t="s">
        <v>129</v>
      </c>
      <c r="BN321">
        <v>0</v>
      </c>
      <c r="BT321" t="s">
        <v>140</v>
      </c>
      <c r="BU321" t="s">
        <v>128</v>
      </c>
    </row>
    <row r="322" spans="1:92" x14ac:dyDescent="0.2">
      <c r="A322" t="s">
        <v>111</v>
      </c>
      <c r="B322" t="b">
        <v>1</v>
      </c>
      <c r="C322" t="s">
        <v>128</v>
      </c>
      <c r="E322">
        <v>396</v>
      </c>
      <c r="F322" t="str">
        <f>HYPERLINK("https://portal.dnb.de/opac.htm?method=simpleSearch&amp;cqlMode=true&amp;query=idn%3D1003900119", "Portal")</f>
        <v>Portal</v>
      </c>
      <c r="G322" t="s">
        <v>112</v>
      </c>
      <c r="H322" t="s">
        <v>1985</v>
      </c>
      <c r="I322" t="s">
        <v>1986</v>
      </c>
      <c r="J322" t="s">
        <v>1987</v>
      </c>
      <c r="K322" t="s">
        <v>1987</v>
      </c>
      <c r="L322" t="s">
        <v>1988</v>
      </c>
      <c r="N322" t="s">
        <v>1989</v>
      </c>
      <c r="O322" t="s">
        <v>118</v>
      </c>
      <c r="R322" t="s">
        <v>147</v>
      </c>
      <c r="S322" t="s">
        <v>120</v>
      </c>
      <c r="T322" t="s">
        <v>156</v>
      </c>
      <c r="U322" t="s">
        <v>148</v>
      </c>
      <c r="W322" t="s">
        <v>138</v>
      </c>
      <c r="X322" t="s">
        <v>139</v>
      </c>
      <c r="Y322">
        <v>0</v>
      </c>
      <c r="AI322" t="s">
        <v>127</v>
      </c>
      <c r="AJ322" t="s">
        <v>1990</v>
      </c>
      <c r="AM322" t="s">
        <v>150</v>
      </c>
      <c r="AS322" t="s">
        <v>127</v>
      </c>
      <c r="BG322">
        <v>110</v>
      </c>
      <c r="BM322" t="s">
        <v>206</v>
      </c>
      <c r="BN322">
        <v>1</v>
      </c>
      <c r="BT322" t="s">
        <v>140</v>
      </c>
      <c r="BU322" t="s">
        <v>128</v>
      </c>
      <c r="BY322" t="s">
        <v>1056</v>
      </c>
      <c r="CB322" t="s">
        <v>128</v>
      </c>
      <c r="CM322">
        <v>1</v>
      </c>
      <c r="CN322" t="s">
        <v>1991</v>
      </c>
    </row>
    <row r="323" spans="1:92" x14ac:dyDescent="0.2">
      <c r="A323" t="s">
        <v>111</v>
      </c>
      <c r="B323" t="b">
        <v>1</v>
      </c>
      <c r="E323">
        <v>397</v>
      </c>
      <c r="F323" t="str">
        <f>HYPERLINK("https://portal.dnb.de/opac.htm?method=simpleSearch&amp;cqlMode=true&amp;query=idn%3D100397290X", "Portal")</f>
        <v>Portal</v>
      </c>
      <c r="G323" t="s">
        <v>112</v>
      </c>
      <c r="H323" t="s">
        <v>1992</v>
      </c>
      <c r="I323" t="s">
        <v>1993</v>
      </c>
      <c r="J323" t="s">
        <v>1994</v>
      </c>
      <c r="K323" t="s">
        <v>1994</v>
      </c>
      <c r="L323" t="s">
        <v>1995</v>
      </c>
      <c r="N323" t="s">
        <v>1996</v>
      </c>
      <c r="O323" t="s">
        <v>118</v>
      </c>
      <c r="P323" t="s">
        <v>135</v>
      </c>
      <c r="R323" t="s">
        <v>188</v>
      </c>
      <c r="S323" t="s">
        <v>120</v>
      </c>
      <c r="T323" t="s">
        <v>136</v>
      </c>
      <c r="U323" t="s">
        <v>423</v>
      </c>
      <c r="W323" t="s">
        <v>138</v>
      </c>
      <c r="X323" t="s">
        <v>139</v>
      </c>
      <c r="Y323">
        <v>0</v>
      </c>
      <c r="AI323" t="s">
        <v>190</v>
      </c>
      <c r="AM323" t="s">
        <v>204</v>
      </c>
      <c r="AS323" t="s">
        <v>127</v>
      </c>
      <c r="BG323">
        <v>110</v>
      </c>
      <c r="BM323" t="s">
        <v>129</v>
      </c>
      <c r="BN323">
        <v>0</v>
      </c>
      <c r="BT323" t="s">
        <v>140</v>
      </c>
      <c r="BU323" t="s">
        <v>128</v>
      </c>
      <c r="BY323" t="s">
        <v>1056</v>
      </c>
    </row>
    <row r="324" spans="1:92" x14ac:dyDescent="0.2">
      <c r="A324" t="s">
        <v>111</v>
      </c>
      <c r="B324" t="b">
        <v>1</v>
      </c>
      <c r="E324">
        <v>399</v>
      </c>
      <c r="F324" t="str">
        <f>HYPERLINK("https://portal.dnb.de/opac.htm?method=simpleSearch&amp;cqlMode=true&amp;query=idn%3D1137279974", "Portal")</f>
        <v>Portal</v>
      </c>
      <c r="G324" t="s">
        <v>939</v>
      </c>
      <c r="H324" t="s">
        <v>1997</v>
      </c>
      <c r="I324" t="s">
        <v>1998</v>
      </c>
      <c r="J324" t="s">
        <v>1999</v>
      </c>
      <c r="K324" t="s">
        <v>1999</v>
      </c>
      <c r="L324" t="s">
        <v>2000</v>
      </c>
      <c r="N324" t="s">
        <v>2001</v>
      </c>
      <c r="O324" t="s">
        <v>2002</v>
      </c>
      <c r="P324" t="s">
        <v>135</v>
      </c>
      <c r="R324" t="s">
        <v>188</v>
      </c>
      <c r="S324" t="s">
        <v>120</v>
      </c>
      <c r="T324" t="s">
        <v>136</v>
      </c>
      <c r="U324" t="s">
        <v>423</v>
      </c>
      <c r="W324" t="s">
        <v>138</v>
      </c>
      <c r="X324" t="s">
        <v>139</v>
      </c>
      <c r="AI324" t="s">
        <v>190</v>
      </c>
      <c r="AM324" t="s">
        <v>204</v>
      </c>
      <c r="AS324" t="s">
        <v>127</v>
      </c>
      <c r="BG324">
        <v>45</v>
      </c>
      <c r="BM324" t="s">
        <v>129</v>
      </c>
      <c r="BN324">
        <v>0</v>
      </c>
      <c r="BT324" t="s">
        <v>140</v>
      </c>
      <c r="BU324" t="s">
        <v>128</v>
      </c>
      <c r="BY324" t="s">
        <v>2003</v>
      </c>
    </row>
    <row r="325" spans="1:92" x14ac:dyDescent="0.2">
      <c r="A325" t="s">
        <v>111</v>
      </c>
      <c r="B325" t="b">
        <v>1</v>
      </c>
      <c r="E325">
        <v>398</v>
      </c>
      <c r="F325" t="str">
        <f>HYPERLINK("https://portal.dnb.de/opac.htm?method=simpleSearch&amp;cqlMode=true&amp;query=idn%3D1137280093", "Portal")</f>
        <v>Portal</v>
      </c>
      <c r="G325" t="s">
        <v>939</v>
      </c>
      <c r="H325" t="s">
        <v>2004</v>
      </c>
      <c r="I325" t="s">
        <v>2005</v>
      </c>
      <c r="J325" t="s">
        <v>1999</v>
      </c>
      <c r="K325" t="s">
        <v>1999</v>
      </c>
      <c r="L325" t="s">
        <v>2006</v>
      </c>
      <c r="N325" t="s">
        <v>2001</v>
      </c>
      <c r="O325" t="s">
        <v>2007</v>
      </c>
      <c r="BN325">
        <v>0</v>
      </c>
    </row>
    <row r="326" spans="1:92" x14ac:dyDescent="0.2">
      <c r="A326" t="s">
        <v>111</v>
      </c>
      <c r="B326" t="b">
        <v>1</v>
      </c>
      <c r="E326">
        <v>402</v>
      </c>
      <c r="F326" t="str">
        <f>HYPERLINK("https://portal.dnb.de/opac.htm?method=simpleSearch&amp;cqlMode=true&amp;query=idn%3D1003966500", "Portal")</f>
        <v>Portal</v>
      </c>
      <c r="G326" t="s">
        <v>207</v>
      </c>
      <c r="H326" t="s">
        <v>2008</v>
      </c>
      <c r="I326" t="s">
        <v>2009</v>
      </c>
      <c r="J326" t="s">
        <v>2010</v>
      </c>
      <c r="K326" t="s">
        <v>2010</v>
      </c>
      <c r="L326" t="s">
        <v>2011</v>
      </c>
      <c r="N326" t="s">
        <v>2012</v>
      </c>
      <c r="O326" t="s">
        <v>1488</v>
      </c>
      <c r="R326" t="s">
        <v>119</v>
      </c>
      <c r="S326" t="s">
        <v>120</v>
      </c>
      <c r="T326" t="s">
        <v>136</v>
      </c>
      <c r="W326" t="s">
        <v>138</v>
      </c>
      <c r="X326" t="s">
        <v>203</v>
      </c>
      <c r="Y326">
        <v>0</v>
      </c>
      <c r="AA326" t="s">
        <v>320</v>
      </c>
      <c r="AI326" t="s">
        <v>469</v>
      </c>
      <c r="AM326" t="s">
        <v>191</v>
      </c>
      <c r="AS326" t="s">
        <v>127</v>
      </c>
      <c r="BG326">
        <v>80</v>
      </c>
      <c r="BM326" t="s">
        <v>129</v>
      </c>
      <c r="BN326">
        <v>0</v>
      </c>
      <c r="BT326" t="s">
        <v>140</v>
      </c>
      <c r="BU326" t="s">
        <v>128</v>
      </c>
      <c r="BY326" t="s">
        <v>141</v>
      </c>
    </row>
    <row r="327" spans="1:92" x14ac:dyDescent="0.2">
      <c r="A327" t="s">
        <v>111</v>
      </c>
      <c r="B327" t="b">
        <v>1</v>
      </c>
      <c r="E327">
        <v>401</v>
      </c>
      <c r="F327" t="str">
        <f>HYPERLINK("https://portal.dnb.de/opac.htm?method=simpleSearch&amp;cqlMode=true&amp;query=idn%3D1003966527", "Portal")</f>
        <v>Portal</v>
      </c>
      <c r="G327" t="s">
        <v>207</v>
      </c>
      <c r="H327" t="s">
        <v>2013</v>
      </c>
      <c r="I327" t="s">
        <v>2014</v>
      </c>
      <c r="J327" t="s">
        <v>2010</v>
      </c>
      <c r="K327" t="s">
        <v>2010</v>
      </c>
      <c r="L327" t="s">
        <v>2015</v>
      </c>
      <c r="N327" t="s">
        <v>2012</v>
      </c>
      <c r="O327" t="s">
        <v>1491</v>
      </c>
      <c r="R327" t="s">
        <v>119</v>
      </c>
      <c r="S327" t="s">
        <v>120</v>
      </c>
      <c r="T327" t="s">
        <v>136</v>
      </c>
      <c r="W327" t="s">
        <v>138</v>
      </c>
      <c r="X327" t="s">
        <v>203</v>
      </c>
      <c r="Y327">
        <v>0</v>
      </c>
      <c r="AI327" t="s">
        <v>469</v>
      </c>
      <c r="AM327" t="s">
        <v>191</v>
      </c>
      <c r="AS327" t="s">
        <v>127</v>
      </c>
      <c r="BG327">
        <v>80</v>
      </c>
      <c r="BM327" t="s">
        <v>129</v>
      </c>
      <c r="BN327">
        <v>0</v>
      </c>
      <c r="BT327" t="s">
        <v>140</v>
      </c>
      <c r="BU327" t="s">
        <v>128</v>
      </c>
      <c r="BY327" t="s">
        <v>141</v>
      </c>
    </row>
    <row r="328" spans="1:92" x14ac:dyDescent="0.2">
      <c r="A328" t="s">
        <v>111</v>
      </c>
      <c r="B328" t="b">
        <v>1</v>
      </c>
      <c r="E328">
        <v>403</v>
      </c>
      <c r="F328" t="str">
        <f>HYPERLINK("https://portal.dnb.de/opac.htm?method=simpleSearch&amp;cqlMode=true&amp;query=idn%3D1003895336", "Portal")</f>
        <v>Portal</v>
      </c>
      <c r="G328" t="s">
        <v>112</v>
      </c>
      <c r="H328" t="s">
        <v>2016</v>
      </c>
      <c r="I328" t="s">
        <v>2017</v>
      </c>
      <c r="J328" t="s">
        <v>2018</v>
      </c>
      <c r="K328" t="s">
        <v>2018</v>
      </c>
      <c r="L328" t="s">
        <v>2019</v>
      </c>
      <c r="N328" t="s">
        <v>2020</v>
      </c>
      <c r="O328" t="s">
        <v>118</v>
      </c>
      <c r="P328" t="s">
        <v>135</v>
      </c>
      <c r="R328" t="s">
        <v>147</v>
      </c>
      <c r="S328" t="s">
        <v>120</v>
      </c>
      <c r="T328" t="s">
        <v>136</v>
      </c>
      <c r="U328" t="s">
        <v>2021</v>
      </c>
      <c r="V328" t="s">
        <v>123</v>
      </c>
      <c r="W328" t="s">
        <v>67</v>
      </c>
      <c r="X328" t="s">
        <v>175</v>
      </c>
      <c r="Y328">
        <v>0</v>
      </c>
      <c r="AA328" t="s">
        <v>2022</v>
      </c>
      <c r="AI328" t="s">
        <v>125</v>
      </c>
      <c r="AJ328" t="s">
        <v>2023</v>
      </c>
      <c r="AM328" t="s">
        <v>150</v>
      </c>
      <c r="AS328" t="s">
        <v>127</v>
      </c>
      <c r="BE328">
        <v>4</v>
      </c>
      <c r="BG328">
        <v>110</v>
      </c>
      <c r="BM328" t="s">
        <v>129</v>
      </c>
      <c r="BN328">
        <v>0</v>
      </c>
      <c r="BP328" t="s">
        <v>177</v>
      </c>
      <c r="BT328" t="s">
        <v>194</v>
      </c>
    </row>
    <row r="329" spans="1:92" x14ac:dyDescent="0.2">
      <c r="A329" t="s">
        <v>111</v>
      </c>
      <c r="B329" t="b">
        <v>1</v>
      </c>
      <c r="E329">
        <v>406</v>
      </c>
      <c r="F329" t="str">
        <f>HYPERLINK("https://portal.dnb.de/opac.htm?method=simpleSearch&amp;cqlMode=true&amp;query=idn%3D1003866786", "Portal")</f>
        <v>Portal</v>
      </c>
      <c r="G329" t="s">
        <v>112</v>
      </c>
      <c r="H329" t="s">
        <v>2024</v>
      </c>
      <c r="I329" t="s">
        <v>2025</v>
      </c>
      <c r="J329" t="s">
        <v>2026</v>
      </c>
      <c r="K329" t="s">
        <v>2026</v>
      </c>
      <c r="L329" t="s">
        <v>2027</v>
      </c>
      <c r="N329" t="s">
        <v>2028</v>
      </c>
      <c r="O329" t="s">
        <v>118</v>
      </c>
      <c r="P329" t="s">
        <v>135</v>
      </c>
      <c r="R329" t="s">
        <v>188</v>
      </c>
      <c r="S329" t="s">
        <v>120</v>
      </c>
      <c r="T329" t="s">
        <v>136</v>
      </c>
      <c r="U329" t="s">
        <v>423</v>
      </c>
      <c r="W329" t="s">
        <v>67</v>
      </c>
      <c r="X329" t="s">
        <v>175</v>
      </c>
      <c r="Y329">
        <v>1</v>
      </c>
      <c r="AI329" t="s">
        <v>190</v>
      </c>
      <c r="AL329" t="s">
        <v>128</v>
      </c>
      <c r="AM329" t="s">
        <v>204</v>
      </c>
      <c r="AS329" t="s">
        <v>127</v>
      </c>
      <c r="BG329">
        <v>60</v>
      </c>
      <c r="BM329" t="s">
        <v>129</v>
      </c>
      <c r="BN329">
        <v>0</v>
      </c>
      <c r="BP329" t="s">
        <v>177</v>
      </c>
    </row>
    <row r="330" spans="1:92" x14ac:dyDescent="0.2">
      <c r="A330" t="s">
        <v>111</v>
      </c>
      <c r="B330" t="b">
        <v>1</v>
      </c>
      <c r="E330">
        <v>407</v>
      </c>
      <c r="F330" t="str">
        <f>HYPERLINK("https://portal.dnb.de/opac.htm?method=simpleSearch&amp;cqlMode=true&amp;query=idn%3D1066847177", "Portal")</f>
        <v>Portal</v>
      </c>
      <c r="G330" t="s">
        <v>163</v>
      </c>
      <c r="H330" t="s">
        <v>2029</v>
      </c>
      <c r="I330" t="s">
        <v>2030</v>
      </c>
      <c r="J330" t="s">
        <v>2031</v>
      </c>
      <c r="K330" t="s">
        <v>2031</v>
      </c>
      <c r="L330" t="s">
        <v>2032</v>
      </c>
      <c r="N330" t="s">
        <v>2033</v>
      </c>
      <c r="O330" t="s">
        <v>118</v>
      </c>
      <c r="P330" t="s">
        <v>135</v>
      </c>
      <c r="R330" t="s">
        <v>147</v>
      </c>
      <c r="S330" t="s">
        <v>120</v>
      </c>
      <c r="T330" t="s">
        <v>156</v>
      </c>
      <c r="U330" t="s">
        <v>232</v>
      </c>
      <c r="X330" t="s">
        <v>124</v>
      </c>
      <c r="Y330">
        <v>0</v>
      </c>
      <c r="AI330" t="s">
        <v>127</v>
      </c>
      <c r="AM330" t="s">
        <v>150</v>
      </c>
      <c r="AS330" t="s">
        <v>127</v>
      </c>
      <c r="BG330">
        <v>180</v>
      </c>
      <c r="BM330" t="s">
        <v>129</v>
      </c>
      <c r="BN330">
        <v>0</v>
      </c>
    </row>
    <row r="331" spans="1:92" x14ac:dyDescent="0.2">
      <c r="A331" t="s">
        <v>111</v>
      </c>
      <c r="B331" t="b">
        <v>1</v>
      </c>
      <c r="E331">
        <v>408</v>
      </c>
      <c r="F331" t="str">
        <f>HYPERLINK("https://portal.dnb.de/opac.htm?method=simpleSearch&amp;cqlMode=true&amp;query=idn%3D1066862788", "Portal")</f>
        <v>Portal</v>
      </c>
      <c r="G331" t="s">
        <v>163</v>
      </c>
      <c r="H331" t="s">
        <v>2034</v>
      </c>
      <c r="I331" t="s">
        <v>2035</v>
      </c>
      <c r="J331" t="s">
        <v>2036</v>
      </c>
      <c r="K331" t="s">
        <v>2036</v>
      </c>
      <c r="L331" t="s">
        <v>2037</v>
      </c>
      <c r="N331" t="s">
        <v>2038</v>
      </c>
      <c r="O331" t="s">
        <v>118</v>
      </c>
      <c r="P331" t="s">
        <v>135</v>
      </c>
      <c r="R331" t="s">
        <v>147</v>
      </c>
      <c r="S331" t="s">
        <v>120</v>
      </c>
      <c r="T331" t="s">
        <v>136</v>
      </c>
      <c r="U331" t="s">
        <v>553</v>
      </c>
      <c r="V331" t="s">
        <v>123</v>
      </c>
      <c r="W331" t="s">
        <v>1014</v>
      </c>
      <c r="X331" t="s">
        <v>175</v>
      </c>
      <c r="Y331">
        <v>0</v>
      </c>
      <c r="AI331" t="s">
        <v>127</v>
      </c>
      <c r="AL331" t="s">
        <v>128</v>
      </c>
      <c r="AM331" t="s">
        <v>126</v>
      </c>
      <c r="AS331" t="s">
        <v>127</v>
      </c>
      <c r="BG331" t="s">
        <v>176</v>
      </c>
      <c r="BM331" t="s">
        <v>129</v>
      </c>
      <c r="BN331">
        <v>0</v>
      </c>
      <c r="BS331" t="s">
        <v>128</v>
      </c>
    </row>
    <row r="332" spans="1:92" x14ac:dyDescent="0.2">
      <c r="A332" t="s">
        <v>111</v>
      </c>
      <c r="B332" t="b">
        <v>1</v>
      </c>
      <c r="E332">
        <v>409</v>
      </c>
      <c r="F332" t="str">
        <f>HYPERLINK("https://portal.dnb.de/opac.htm?method=simpleSearch&amp;cqlMode=true&amp;query=idn%3D1066961387", "Portal")</f>
        <v>Portal</v>
      </c>
      <c r="G332" t="s">
        <v>163</v>
      </c>
      <c r="H332" t="s">
        <v>2039</v>
      </c>
      <c r="I332" t="s">
        <v>2040</v>
      </c>
      <c r="J332" t="s">
        <v>2041</v>
      </c>
      <c r="K332" t="s">
        <v>2041</v>
      </c>
      <c r="L332" t="s">
        <v>2042</v>
      </c>
      <c r="N332" t="s">
        <v>2043</v>
      </c>
      <c r="O332" t="s">
        <v>118</v>
      </c>
      <c r="P332" t="s">
        <v>135</v>
      </c>
      <c r="R332" t="s">
        <v>162</v>
      </c>
      <c r="S332" t="s">
        <v>120</v>
      </c>
      <c r="T332" t="s">
        <v>136</v>
      </c>
      <c r="U332" t="s">
        <v>137</v>
      </c>
      <c r="X332" t="s">
        <v>124</v>
      </c>
      <c r="Y332">
        <v>0</v>
      </c>
      <c r="AI332" t="s">
        <v>127</v>
      </c>
      <c r="AM332" t="s">
        <v>150</v>
      </c>
      <c r="AS332" t="s">
        <v>127</v>
      </c>
      <c r="BG332">
        <v>110</v>
      </c>
      <c r="BM332" t="s">
        <v>129</v>
      </c>
      <c r="BN332">
        <v>0</v>
      </c>
    </row>
    <row r="333" spans="1:92" x14ac:dyDescent="0.2">
      <c r="A333" t="s">
        <v>111</v>
      </c>
      <c r="B333" t="b">
        <v>1</v>
      </c>
      <c r="E333">
        <v>410</v>
      </c>
      <c r="F333" t="str">
        <f>HYPERLINK("https://portal.dnb.de/opac.htm?method=simpleSearch&amp;cqlMode=true&amp;query=idn%3D1066961581", "Portal")</f>
        <v>Portal</v>
      </c>
      <c r="G333" t="s">
        <v>163</v>
      </c>
      <c r="H333" t="s">
        <v>2044</v>
      </c>
      <c r="I333" t="s">
        <v>2045</v>
      </c>
      <c r="J333" t="s">
        <v>2046</v>
      </c>
      <c r="K333" t="s">
        <v>2046</v>
      </c>
      <c r="L333" t="s">
        <v>2047</v>
      </c>
      <c r="N333" t="s">
        <v>2048</v>
      </c>
      <c r="O333" t="s">
        <v>118</v>
      </c>
      <c r="P333" t="s">
        <v>135</v>
      </c>
      <c r="R333" t="s">
        <v>162</v>
      </c>
      <c r="S333" t="s">
        <v>120</v>
      </c>
      <c r="T333" t="s">
        <v>156</v>
      </c>
      <c r="U333" t="s">
        <v>148</v>
      </c>
      <c r="X333" t="s">
        <v>124</v>
      </c>
      <c r="Y333">
        <v>1</v>
      </c>
      <c r="AI333" t="s">
        <v>149</v>
      </c>
      <c r="AM333" t="s">
        <v>150</v>
      </c>
      <c r="AS333" t="s">
        <v>127</v>
      </c>
      <c r="BG333">
        <v>110</v>
      </c>
      <c r="BM333" t="s">
        <v>129</v>
      </c>
      <c r="BN333">
        <v>0</v>
      </c>
    </row>
    <row r="334" spans="1:92" x14ac:dyDescent="0.2">
      <c r="A334" t="s">
        <v>111</v>
      </c>
      <c r="B334" t="b">
        <v>1</v>
      </c>
      <c r="E334">
        <v>411</v>
      </c>
      <c r="F334" t="str">
        <f>HYPERLINK("https://portal.dnb.de/opac.htm?method=simpleSearch&amp;cqlMode=true&amp;query=idn%3D1003868207", "Portal")</f>
        <v>Portal</v>
      </c>
      <c r="G334" t="s">
        <v>207</v>
      </c>
      <c r="H334" t="s">
        <v>2049</v>
      </c>
      <c r="I334" t="s">
        <v>2050</v>
      </c>
      <c r="J334" t="s">
        <v>2051</v>
      </c>
      <c r="K334" t="s">
        <v>2051</v>
      </c>
      <c r="L334" t="s">
        <v>2052</v>
      </c>
      <c r="N334" t="s">
        <v>2053</v>
      </c>
      <c r="O334" t="s">
        <v>1513</v>
      </c>
      <c r="P334" t="s">
        <v>135</v>
      </c>
      <c r="R334" t="s">
        <v>119</v>
      </c>
      <c r="S334" t="s">
        <v>120</v>
      </c>
      <c r="T334" t="s">
        <v>136</v>
      </c>
      <c r="U334" t="s">
        <v>2054</v>
      </c>
      <c r="V334" t="s">
        <v>123</v>
      </c>
      <c r="W334" t="s">
        <v>138</v>
      </c>
      <c r="X334" t="s">
        <v>203</v>
      </c>
      <c r="Y334">
        <v>1</v>
      </c>
      <c r="AA334" t="s">
        <v>320</v>
      </c>
      <c r="AI334" t="s">
        <v>149</v>
      </c>
      <c r="AK334" t="s">
        <v>128</v>
      </c>
      <c r="AM334" t="s">
        <v>126</v>
      </c>
      <c r="AS334" t="s">
        <v>127</v>
      </c>
      <c r="AZ334" t="s">
        <v>128</v>
      </c>
      <c r="BA334" t="s">
        <v>2055</v>
      </c>
      <c r="BG334">
        <v>110</v>
      </c>
      <c r="BM334" t="s">
        <v>129</v>
      </c>
      <c r="BN334">
        <v>0</v>
      </c>
      <c r="BT334" t="s">
        <v>140</v>
      </c>
      <c r="BU334" t="s">
        <v>128</v>
      </c>
      <c r="BY334" t="s">
        <v>141</v>
      </c>
    </row>
    <row r="335" spans="1:92" x14ac:dyDescent="0.2">
      <c r="A335" t="s">
        <v>111</v>
      </c>
      <c r="B335" t="b">
        <v>1</v>
      </c>
      <c r="E335">
        <v>412</v>
      </c>
      <c r="F335" t="str">
        <f>HYPERLINK("https://portal.dnb.de/opac.htm?method=simpleSearch&amp;cqlMode=true&amp;query=idn%3D1003868215", "Portal")</f>
        <v>Portal</v>
      </c>
      <c r="G335" t="s">
        <v>207</v>
      </c>
      <c r="H335" t="s">
        <v>2056</v>
      </c>
      <c r="I335" t="s">
        <v>2057</v>
      </c>
      <c r="J335" t="s">
        <v>2051</v>
      </c>
      <c r="K335" t="s">
        <v>2051</v>
      </c>
      <c r="L335" t="s">
        <v>2058</v>
      </c>
      <c r="N335" t="s">
        <v>2053</v>
      </c>
      <c r="O335" t="s">
        <v>1517</v>
      </c>
      <c r="BN335">
        <v>0</v>
      </c>
    </row>
    <row r="336" spans="1:92" x14ac:dyDescent="0.2">
      <c r="A336" t="s">
        <v>111</v>
      </c>
      <c r="B336" t="b">
        <v>1</v>
      </c>
      <c r="E336">
        <v>413</v>
      </c>
      <c r="F336" t="str">
        <f>HYPERLINK("https://portal.dnb.de/opac.htm?method=simpleSearch&amp;cqlMode=true&amp;query=idn%3D1003971598", "Portal")</f>
        <v>Portal</v>
      </c>
      <c r="G336" t="s">
        <v>112</v>
      </c>
      <c r="H336" t="s">
        <v>2059</v>
      </c>
      <c r="I336" t="s">
        <v>2060</v>
      </c>
      <c r="J336" t="s">
        <v>2061</v>
      </c>
      <c r="K336" t="s">
        <v>2061</v>
      </c>
      <c r="L336" t="s">
        <v>2062</v>
      </c>
      <c r="N336" t="s">
        <v>2063</v>
      </c>
      <c r="O336" t="s">
        <v>118</v>
      </c>
      <c r="P336" t="s">
        <v>135</v>
      </c>
      <c r="R336" t="s">
        <v>162</v>
      </c>
      <c r="S336" t="s">
        <v>120</v>
      </c>
      <c r="T336" t="s">
        <v>136</v>
      </c>
      <c r="U336" t="s">
        <v>232</v>
      </c>
      <c r="W336" t="s">
        <v>138</v>
      </c>
      <c r="X336" t="s">
        <v>203</v>
      </c>
      <c r="AI336" t="s">
        <v>149</v>
      </c>
      <c r="AM336" t="s">
        <v>150</v>
      </c>
      <c r="AS336" t="s">
        <v>127</v>
      </c>
      <c r="BG336">
        <v>110</v>
      </c>
      <c r="BM336" t="s">
        <v>129</v>
      </c>
      <c r="BN336">
        <v>0</v>
      </c>
      <c r="BT336" t="s">
        <v>140</v>
      </c>
      <c r="BU336" t="s">
        <v>128</v>
      </c>
    </row>
    <row r="337" spans="1:110" x14ac:dyDescent="0.2">
      <c r="A337" t="s">
        <v>111</v>
      </c>
      <c r="B337" t="b">
        <v>1</v>
      </c>
      <c r="E337">
        <v>415</v>
      </c>
      <c r="F337" t="str">
        <f>HYPERLINK("https://portal.dnb.de/opac.htm?method=simpleSearch&amp;cqlMode=true&amp;query=idn%3D1003854486", "Portal")</f>
        <v>Portal</v>
      </c>
      <c r="G337" t="s">
        <v>207</v>
      </c>
      <c r="H337" t="s">
        <v>2064</v>
      </c>
      <c r="I337" t="s">
        <v>2065</v>
      </c>
      <c r="J337" t="s">
        <v>2066</v>
      </c>
      <c r="K337" t="s">
        <v>2066</v>
      </c>
      <c r="L337" t="s">
        <v>2067</v>
      </c>
      <c r="N337" t="s">
        <v>2068</v>
      </c>
      <c r="O337" t="s">
        <v>1409</v>
      </c>
      <c r="P337" t="s">
        <v>135</v>
      </c>
      <c r="R337" t="s">
        <v>188</v>
      </c>
      <c r="S337" t="s">
        <v>120</v>
      </c>
      <c r="T337" t="s">
        <v>136</v>
      </c>
      <c r="U337" t="s">
        <v>2069</v>
      </c>
      <c r="W337" t="s">
        <v>138</v>
      </c>
      <c r="X337" t="s">
        <v>203</v>
      </c>
      <c r="Y337">
        <v>0</v>
      </c>
      <c r="AI337" t="s">
        <v>190</v>
      </c>
      <c r="AM337" t="s">
        <v>204</v>
      </c>
      <c r="AS337" t="s">
        <v>127</v>
      </c>
      <c r="BG337">
        <v>60</v>
      </c>
      <c r="BM337" t="s">
        <v>129</v>
      </c>
      <c r="BN337">
        <v>0</v>
      </c>
      <c r="BT337" t="s">
        <v>140</v>
      </c>
      <c r="BU337" t="s">
        <v>128</v>
      </c>
      <c r="BY337" t="s">
        <v>2070</v>
      </c>
    </row>
    <row r="338" spans="1:110" x14ac:dyDescent="0.2">
      <c r="A338" t="s">
        <v>111</v>
      </c>
      <c r="B338" t="b">
        <v>1</v>
      </c>
      <c r="E338">
        <v>414</v>
      </c>
      <c r="F338" t="str">
        <f>HYPERLINK("https://portal.dnb.de/opac.htm?method=simpleSearch&amp;cqlMode=true&amp;query=idn%3D1003854540", "Portal")</f>
        <v>Portal</v>
      </c>
      <c r="G338" t="s">
        <v>207</v>
      </c>
      <c r="H338" t="s">
        <v>2071</v>
      </c>
      <c r="I338" t="s">
        <v>2072</v>
      </c>
      <c r="J338" t="s">
        <v>2066</v>
      </c>
      <c r="K338" t="s">
        <v>2066</v>
      </c>
      <c r="L338" t="s">
        <v>2073</v>
      </c>
      <c r="N338" t="s">
        <v>2068</v>
      </c>
      <c r="O338" t="s">
        <v>1414</v>
      </c>
      <c r="P338" t="s">
        <v>135</v>
      </c>
      <c r="R338" t="s">
        <v>188</v>
      </c>
      <c r="S338" t="s">
        <v>120</v>
      </c>
      <c r="T338" t="s">
        <v>136</v>
      </c>
      <c r="U338" t="s">
        <v>189</v>
      </c>
      <c r="W338" t="s">
        <v>138</v>
      </c>
      <c r="X338" t="s">
        <v>203</v>
      </c>
      <c r="Y338">
        <v>0</v>
      </c>
      <c r="AI338" t="s">
        <v>190</v>
      </c>
      <c r="AM338" t="s">
        <v>204</v>
      </c>
      <c r="AS338" t="s">
        <v>127</v>
      </c>
      <c r="BG338">
        <v>80</v>
      </c>
      <c r="BM338" t="s">
        <v>129</v>
      </c>
      <c r="BN338">
        <v>0</v>
      </c>
      <c r="BT338" t="s">
        <v>140</v>
      </c>
      <c r="BU338" t="s">
        <v>128</v>
      </c>
      <c r="BY338" t="s">
        <v>2070</v>
      </c>
    </row>
    <row r="339" spans="1:110" x14ac:dyDescent="0.2">
      <c r="A339" t="s">
        <v>111</v>
      </c>
      <c r="B339" t="b">
        <v>1</v>
      </c>
      <c r="F339" t="str">
        <f>HYPERLINK("https://portal.dnb.de/opac.htm?method=simpleSearch&amp;cqlMode=true&amp;query=idn%3D012671118", "Portal")</f>
        <v>Portal</v>
      </c>
      <c r="G339" t="s">
        <v>1504</v>
      </c>
      <c r="H339" t="s">
        <v>2074</v>
      </c>
      <c r="I339" t="s">
        <v>2075</v>
      </c>
      <c r="J339" t="s">
        <v>2076</v>
      </c>
      <c r="K339" t="s">
        <v>2076</v>
      </c>
      <c r="L339" t="s">
        <v>2076</v>
      </c>
      <c r="N339" t="s">
        <v>2077</v>
      </c>
      <c r="O339" t="s">
        <v>118</v>
      </c>
      <c r="R339" t="s">
        <v>2078</v>
      </c>
      <c r="S339" t="s">
        <v>120</v>
      </c>
      <c r="T339" t="s">
        <v>136</v>
      </c>
      <c r="U339" t="s">
        <v>148</v>
      </c>
      <c r="Y339">
        <v>0</v>
      </c>
      <c r="AI339" t="s">
        <v>2079</v>
      </c>
      <c r="AM339" t="s">
        <v>150</v>
      </c>
      <c r="AS339" t="s">
        <v>127</v>
      </c>
      <c r="BG339">
        <v>110</v>
      </c>
      <c r="BM339" t="s">
        <v>129</v>
      </c>
      <c r="BN339">
        <v>0</v>
      </c>
    </row>
    <row r="340" spans="1:110" x14ac:dyDescent="0.2">
      <c r="A340" t="s">
        <v>111</v>
      </c>
      <c r="B340" t="b">
        <v>1</v>
      </c>
      <c r="E340">
        <v>417</v>
      </c>
      <c r="F340" t="str">
        <f>HYPERLINK("https://portal.dnb.de/opac.htm?method=simpleSearch&amp;cqlMode=true&amp;query=idn%3D1003840299", "Portal")</f>
        <v>Portal</v>
      </c>
      <c r="G340" t="s">
        <v>207</v>
      </c>
      <c r="H340" t="s">
        <v>2080</v>
      </c>
      <c r="I340" t="s">
        <v>2081</v>
      </c>
      <c r="J340" t="s">
        <v>2082</v>
      </c>
      <c r="K340" t="s">
        <v>2082</v>
      </c>
      <c r="L340" t="s">
        <v>2083</v>
      </c>
      <c r="N340" t="s">
        <v>2084</v>
      </c>
      <c r="O340" t="s">
        <v>2085</v>
      </c>
      <c r="P340" t="s">
        <v>128</v>
      </c>
      <c r="R340" t="s">
        <v>286</v>
      </c>
      <c r="S340" t="s">
        <v>120</v>
      </c>
      <c r="T340" t="s">
        <v>136</v>
      </c>
      <c r="U340" t="s">
        <v>423</v>
      </c>
      <c r="W340" t="s">
        <v>138</v>
      </c>
      <c r="X340" t="s">
        <v>203</v>
      </c>
      <c r="Y340">
        <v>0</v>
      </c>
      <c r="AI340" t="s">
        <v>190</v>
      </c>
      <c r="AM340" t="s">
        <v>204</v>
      </c>
      <c r="AS340" t="s">
        <v>127</v>
      </c>
      <c r="BG340">
        <v>60</v>
      </c>
      <c r="BM340" t="s">
        <v>129</v>
      </c>
      <c r="BN340">
        <v>0</v>
      </c>
      <c r="BT340" t="s">
        <v>140</v>
      </c>
      <c r="BU340" t="s">
        <v>128</v>
      </c>
      <c r="BY340" t="s">
        <v>2070</v>
      </c>
    </row>
    <row r="341" spans="1:110" x14ac:dyDescent="0.2">
      <c r="A341" t="s">
        <v>111</v>
      </c>
      <c r="B341" t="b">
        <v>1</v>
      </c>
      <c r="E341">
        <v>418</v>
      </c>
      <c r="F341" t="str">
        <f>HYPERLINK("https://portal.dnb.de/opac.htm?method=simpleSearch&amp;cqlMode=true&amp;query=idn%3D1066960275", "Portal")</f>
        <v>Portal</v>
      </c>
      <c r="G341" t="s">
        <v>163</v>
      </c>
      <c r="H341" t="s">
        <v>2086</v>
      </c>
      <c r="I341" t="s">
        <v>2087</v>
      </c>
      <c r="J341" t="s">
        <v>2088</v>
      </c>
      <c r="K341" t="s">
        <v>2088</v>
      </c>
      <c r="L341" t="s">
        <v>2089</v>
      </c>
      <c r="N341" t="s">
        <v>2090</v>
      </c>
      <c r="O341" t="s">
        <v>118</v>
      </c>
      <c r="P341" t="s">
        <v>128</v>
      </c>
      <c r="R341" t="s">
        <v>147</v>
      </c>
      <c r="S341" t="s">
        <v>120</v>
      </c>
      <c r="T341" t="s">
        <v>136</v>
      </c>
      <c r="U341" t="s">
        <v>2091</v>
      </c>
      <c r="V341" t="s">
        <v>123</v>
      </c>
      <c r="X341" t="s">
        <v>124</v>
      </c>
      <c r="Y341">
        <v>0</v>
      </c>
      <c r="AI341" t="s">
        <v>149</v>
      </c>
      <c r="AM341" t="s">
        <v>150</v>
      </c>
      <c r="AS341" t="s">
        <v>127</v>
      </c>
      <c r="BG341">
        <v>180</v>
      </c>
      <c r="BM341" t="s">
        <v>129</v>
      </c>
      <c r="BN341">
        <v>0</v>
      </c>
    </row>
    <row r="342" spans="1:110" x14ac:dyDescent="0.2">
      <c r="A342" t="s">
        <v>111</v>
      </c>
      <c r="B342" t="b">
        <v>1</v>
      </c>
      <c r="C342" t="s">
        <v>128</v>
      </c>
      <c r="E342">
        <v>419</v>
      </c>
      <c r="F342" t="str">
        <f>HYPERLINK("https://portal.dnb.de/opac.htm?method=simpleSearch&amp;cqlMode=true&amp;query=idn%3D100399203X", "Portal")</f>
        <v>Portal</v>
      </c>
      <c r="G342" t="s">
        <v>112</v>
      </c>
      <c r="H342" t="s">
        <v>2092</v>
      </c>
      <c r="I342" t="s">
        <v>2093</v>
      </c>
      <c r="J342" t="s">
        <v>2094</v>
      </c>
      <c r="K342" t="s">
        <v>2094</v>
      </c>
      <c r="L342" t="s">
        <v>2095</v>
      </c>
      <c r="N342" t="s">
        <v>2096</v>
      </c>
      <c r="O342" t="s">
        <v>118</v>
      </c>
      <c r="R342" t="s">
        <v>188</v>
      </c>
      <c r="S342" t="s">
        <v>120</v>
      </c>
      <c r="T342" t="s">
        <v>136</v>
      </c>
      <c r="U342" t="s">
        <v>2097</v>
      </c>
      <c r="W342" t="s">
        <v>67</v>
      </c>
      <c r="X342" t="s">
        <v>175</v>
      </c>
      <c r="Y342">
        <v>3</v>
      </c>
      <c r="AI342" t="s">
        <v>190</v>
      </c>
      <c r="AM342" t="s">
        <v>191</v>
      </c>
      <c r="AS342" t="s">
        <v>127</v>
      </c>
      <c r="BE342">
        <v>4</v>
      </c>
      <c r="BG342">
        <v>110</v>
      </c>
      <c r="BM342" t="s">
        <v>206</v>
      </c>
      <c r="BN342">
        <v>3</v>
      </c>
      <c r="BP342" t="s">
        <v>177</v>
      </c>
      <c r="CA342" t="s">
        <v>128</v>
      </c>
      <c r="CD342" t="s">
        <v>483</v>
      </c>
      <c r="CE342">
        <v>1</v>
      </c>
      <c r="CM342">
        <v>3</v>
      </c>
      <c r="CN342" t="s">
        <v>2098</v>
      </c>
    </row>
    <row r="343" spans="1:110" x14ac:dyDescent="0.2">
      <c r="A343" t="s">
        <v>111</v>
      </c>
      <c r="B343" t="b">
        <v>1</v>
      </c>
      <c r="E343">
        <v>420</v>
      </c>
      <c r="F343" t="str">
        <f>HYPERLINK("https://portal.dnb.de/opac.htm?method=simpleSearch&amp;cqlMode=true&amp;query=idn%3D1003977588", "Portal")</f>
        <v>Portal</v>
      </c>
      <c r="G343" t="s">
        <v>112</v>
      </c>
      <c r="H343" t="s">
        <v>2099</v>
      </c>
      <c r="I343" t="s">
        <v>2100</v>
      </c>
      <c r="J343" t="s">
        <v>2101</v>
      </c>
      <c r="K343" t="s">
        <v>2101</v>
      </c>
      <c r="L343" t="s">
        <v>2102</v>
      </c>
      <c r="N343" t="s">
        <v>2103</v>
      </c>
      <c r="O343" t="s">
        <v>118</v>
      </c>
      <c r="R343" t="s">
        <v>188</v>
      </c>
      <c r="S343" t="s">
        <v>120</v>
      </c>
      <c r="T343" t="s">
        <v>136</v>
      </c>
      <c r="U343" t="s">
        <v>423</v>
      </c>
      <c r="W343" t="s">
        <v>138</v>
      </c>
      <c r="X343" t="s">
        <v>203</v>
      </c>
      <c r="Y343">
        <v>2</v>
      </c>
      <c r="AI343" t="s">
        <v>190</v>
      </c>
      <c r="AM343" t="s">
        <v>204</v>
      </c>
      <c r="AS343" t="s">
        <v>127</v>
      </c>
      <c r="BG343" t="s">
        <v>249</v>
      </c>
      <c r="BM343" t="s">
        <v>129</v>
      </c>
      <c r="BN343">
        <v>0</v>
      </c>
      <c r="BT343" t="s">
        <v>140</v>
      </c>
      <c r="BU343" t="s">
        <v>128</v>
      </c>
      <c r="BV343" t="s">
        <v>2104</v>
      </c>
      <c r="BY343" t="s">
        <v>141</v>
      </c>
    </row>
    <row r="344" spans="1:110" x14ac:dyDescent="0.2">
      <c r="A344" t="s">
        <v>111</v>
      </c>
      <c r="B344" t="b">
        <v>1</v>
      </c>
      <c r="E344">
        <v>421</v>
      </c>
      <c r="F344" t="str">
        <f>HYPERLINK("https://portal.dnb.de/opac.htm?method=simpleSearch&amp;cqlMode=true&amp;query=idn%3D1003991718", "Portal")</f>
        <v>Portal</v>
      </c>
      <c r="G344" t="s">
        <v>207</v>
      </c>
      <c r="H344" t="s">
        <v>2105</v>
      </c>
      <c r="I344" t="s">
        <v>2106</v>
      </c>
      <c r="J344" t="s">
        <v>2107</v>
      </c>
      <c r="K344" t="s">
        <v>2107</v>
      </c>
      <c r="L344" t="s">
        <v>2108</v>
      </c>
      <c r="N344" t="s">
        <v>2109</v>
      </c>
      <c r="O344" t="s">
        <v>1409</v>
      </c>
      <c r="R344" t="s">
        <v>188</v>
      </c>
      <c r="S344" t="s">
        <v>120</v>
      </c>
      <c r="T344" t="s">
        <v>136</v>
      </c>
      <c r="U344" t="s">
        <v>423</v>
      </c>
      <c r="W344" t="s">
        <v>67</v>
      </c>
      <c r="X344" t="s">
        <v>175</v>
      </c>
      <c r="Y344">
        <v>0</v>
      </c>
      <c r="AI344" t="s">
        <v>190</v>
      </c>
      <c r="AM344" t="s">
        <v>204</v>
      </c>
      <c r="AS344" t="s">
        <v>127</v>
      </c>
      <c r="AZ344" t="s">
        <v>128</v>
      </c>
      <c r="BG344" t="s">
        <v>249</v>
      </c>
      <c r="BM344" t="s">
        <v>129</v>
      </c>
      <c r="BN344">
        <v>0</v>
      </c>
      <c r="BP344" t="s">
        <v>177</v>
      </c>
    </row>
    <row r="345" spans="1:110" x14ac:dyDescent="0.2">
      <c r="A345" t="s">
        <v>111</v>
      </c>
      <c r="B345" t="b">
        <v>1</v>
      </c>
      <c r="E345">
        <v>422</v>
      </c>
      <c r="F345" t="str">
        <f>HYPERLINK("https://portal.dnb.de/opac.htm?method=simpleSearch&amp;cqlMode=true&amp;query=idn%3D1003991793", "Portal")</f>
        <v>Portal</v>
      </c>
      <c r="G345" t="s">
        <v>207</v>
      </c>
      <c r="H345" t="s">
        <v>2110</v>
      </c>
      <c r="I345" t="s">
        <v>2111</v>
      </c>
      <c r="J345" t="s">
        <v>2107</v>
      </c>
      <c r="K345" t="s">
        <v>2107</v>
      </c>
      <c r="L345" t="s">
        <v>2112</v>
      </c>
      <c r="N345" t="s">
        <v>2109</v>
      </c>
      <c r="O345" t="s">
        <v>1414</v>
      </c>
      <c r="BN345">
        <v>0</v>
      </c>
    </row>
    <row r="346" spans="1:110" x14ac:dyDescent="0.2">
      <c r="A346" t="s">
        <v>111</v>
      </c>
      <c r="B346" t="b">
        <v>1</v>
      </c>
      <c r="C346" t="s">
        <v>128</v>
      </c>
      <c r="F346" t="str">
        <f>HYPERLINK("https://portal.dnb.de/opac.htm?method=simpleSearch&amp;cqlMode=true&amp;query=idn%3D1138311561", "Portal")</f>
        <v>Portal</v>
      </c>
      <c r="G346" t="s">
        <v>157</v>
      </c>
      <c r="H346" t="s">
        <v>2113</v>
      </c>
      <c r="I346" t="s">
        <v>2114</v>
      </c>
      <c r="J346" t="s">
        <v>2115</v>
      </c>
      <c r="K346" t="s">
        <v>2115</v>
      </c>
      <c r="L346" t="s">
        <v>2115</v>
      </c>
      <c r="N346" t="s">
        <v>220</v>
      </c>
      <c r="O346" t="s">
        <v>118</v>
      </c>
      <c r="Q346" t="s">
        <v>1154</v>
      </c>
      <c r="R346" t="s">
        <v>188</v>
      </c>
      <c r="S346" t="s">
        <v>120</v>
      </c>
      <c r="T346" t="s">
        <v>121</v>
      </c>
      <c r="U346" t="s">
        <v>2116</v>
      </c>
      <c r="X346" t="s">
        <v>124</v>
      </c>
      <c r="Y346">
        <v>0</v>
      </c>
      <c r="AI346" t="s">
        <v>190</v>
      </c>
      <c r="AM346" t="s">
        <v>126</v>
      </c>
      <c r="AS346" t="s">
        <v>127</v>
      </c>
      <c r="BE346">
        <v>2</v>
      </c>
      <c r="BF346" t="s">
        <v>128</v>
      </c>
      <c r="BG346">
        <v>80</v>
      </c>
      <c r="BM346" t="s">
        <v>206</v>
      </c>
      <c r="BN346">
        <v>4</v>
      </c>
      <c r="BV346" t="s">
        <v>1775</v>
      </c>
      <c r="BY346" t="s">
        <v>141</v>
      </c>
      <c r="CV346" t="s">
        <v>128</v>
      </c>
      <c r="CW346" t="s">
        <v>128</v>
      </c>
      <c r="DF346">
        <v>4</v>
      </c>
    </row>
    <row r="347" spans="1:110" x14ac:dyDescent="0.2">
      <c r="A347" t="s">
        <v>111</v>
      </c>
      <c r="B347" t="b">
        <v>0</v>
      </c>
      <c r="E347">
        <v>425</v>
      </c>
      <c r="F347" t="str">
        <f>HYPERLINK("https://portal.dnb.de/opac.htm?method=simpleSearch&amp;cqlMode=true&amp;query=idn%3D1003962432", "Portal")</f>
        <v>Portal</v>
      </c>
      <c r="G347" t="s">
        <v>112</v>
      </c>
      <c r="H347" t="s">
        <v>2117</v>
      </c>
      <c r="I347" t="s">
        <v>2118</v>
      </c>
      <c r="J347" t="s">
        <v>2119</v>
      </c>
      <c r="L347" t="s">
        <v>2119</v>
      </c>
      <c r="R347" t="s">
        <v>147</v>
      </c>
      <c r="S347" t="s">
        <v>120</v>
      </c>
      <c r="T347" t="s">
        <v>156</v>
      </c>
      <c r="U347" t="s">
        <v>148</v>
      </c>
      <c r="X347" t="s">
        <v>124</v>
      </c>
      <c r="Y347">
        <v>0</v>
      </c>
      <c r="AI347" t="s">
        <v>127</v>
      </c>
      <c r="AM347" t="s">
        <v>126</v>
      </c>
      <c r="AS347" t="s">
        <v>127</v>
      </c>
      <c r="BG347">
        <v>180</v>
      </c>
      <c r="BM347" t="s">
        <v>129</v>
      </c>
      <c r="BN347">
        <v>0</v>
      </c>
    </row>
    <row r="348" spans="1:110" x14ac:dyDescent="0.2">
      <c r="A348" t="s">
        <v>111</v>
      </c>
      <c r="B348" t="b">
        <v>1</v>
      </c>
      <c r="E348">
        <v>427</v>
      </c>
      <c r="F348" t="str">
        <f>HYPERLINK("https://portal.dnb.de/opac.htm?method=simpleSearch&amp;cqlMode=true&amp;query=idn%3D1066865582", "Portal")</f>
        <v>Portal</v>
      </c>
      <c r="G348" t="s">
        <v>163</v>
      </c>
      <c r="H348" t="s">
        <v>2120</v>
      </c>
      <c r="I348" t="s">
        <v>2121</v>
      </c>
      <c r="J348" t="s">
        <v>2122</v>
      </c>
      <c r="K348" t="s">
        <v>2122</v>
      </c>
      <c r="L348" t="s">
        <v>2123</v>
      </c>
      <c r="N348" t="s">
        <v>2124</v>
      </c>
      <c r="O348" t="s">
        <v>118</v>
      </c>
      <c r="R348" t="s">
        <v>467</v>
      </c>
      <c r="S348" t="s">
        <v>120</v>
      </c>
      <c r="T348" t="s">
        <v>121</v>
      </c>
      <c r="U348" t="s">
        <v>364</v>
      </c>
      <c r="W348" t="s">
        <v>138</v>
      </c>
      <c r="X348" t="s">
        <v>203</v>
      </c>
      <c r="Y348">
        <v>0</v>
      </c>
      <c r="AI348" t="s">
        <v>469</v>
      </c>
      <c r="AM348" t="s">
        <v>191</v>
      </c>
      <c r="AS348" t="s">
        <v>127</v>
      </c>
      <c r="BG348">
        <v>60</v>
      </c>
      <c r="BM348" t="s">
        <v>129</v>
      </c>
      <c r="BN348">
        <v>0</v>
      </c>
      <c r="BT348" t="s">
        <v>140</v>
      </c>
      <c r="BU348" t="s">
        <v>128</v>
      </c>
    </row>
    <row r="349" spans="1:110" x14ac:dyDescent="0.2">
      <c r="A349" t="s">
        <v>111</v>
      </c>
      <c r="B349" t="b">
        <v>1</v>
      </c>
      <c r="E349">
        <v>428</v>
      </c>
      <c r="F349" t="str">
        <f>HYPERLINK("https://portal.dnb.de/opac.htm?method=simpleSearch&amp;cqlMode=true&amp;query=idn%3D1066941718", "Portal")</f>
        <v>Portal</v>
      </c>
      <c r="G349" t="s">
        <v>163</v>
      </c>
      <c r="H349" t="s">
        <v>2125</v>
      </c>
      <c r="I349" t="s">
        <v>2126</v>
      </c>
      <c r="J349" t="s">
        <v>2127</v>
      </c>
      <c r="K349" t="s">
        <v>2127</v>
      </c>
      <c r="L349" t="s">
        <v>2128</v>
      </c>
      <c r="N349" t="s">
        <v>2129</v>
      </c>
      <c r="O349" t="s">
        <v>118</v>
      </c>
      <c r="R349" t="s">
        <v>119</v>
      </c>
      <c r="S349" t="s">
        <v>120</v>
      </c>
      <c r="T349" t="s">
        <v>136</v>
      </c>
      <c r="U349" t="s">
        <v>148</v>
      </c>
      <c r="X349" t="s">
        <v>124</v>
      </c>
      <c r="Y349">
        <v>0</v>
      </c>
      <c r="AI349" t="s">
        <v>125</v>
      </c>
      <c r="AM349" t="s">
        <v>126</v>
      </c>
      <c r="AS349" t="s">
        <v>127</v>
      </c>
      <c r="BG349">
        <v>110</v>
      </c>
      <c r="BM349" t="s">
        <v>129</v>
      </c>
      <c r="BN349">
        <v>0</v>
      </c>
    </row>
    <row r="350" spans="1:110" x14ac:dyDescent="0.2">
      <c r="A350" t="s">
        <v>111</v>
      </c>
      <c r="B350" t="b">
        <v>1</v>
      </c>
      <c r="E350">
        <v>429</v>
      </c>
      <c r="F350" t="str">
        <f>HYPERLINK("https://portal.dnb.de/opac.htm?method=simpleSearch&amp;cqlMode=true&amp;query=idn%3D1066961506", "Portal")</f>
        <v>Portal</v>
      </c>
      <c r="G350" t="s">
        <v>112</v>
      </c>
      <c r="H350" t="s">
        <v>2130</v>
      </c>
      <c r="I350" t="s">
        <v>2131</v>
      </c>
      <c r="J350" t="s">
        <v>2132</v>
      </c>
      <c r="K350" t="s">
        <v>2132</v>
      </c>
      <c r="L350" t="s">
        <v>2133</v>
      </c>
      <c r="N350" t="s">
        <v>2134</v>
      </c>
      <c r="O350" t="s">
        <v>118</v>
      </c>
      <c r="R350" t="s">
        <v>467</v>
      </c>
      <c r="S350" t="s">
        <v>120</v>
      </c>
      <c r="T350" t="s">
        <v>121</v>
      </c>
      <c r="U350" t="s">
        <v>378</v>
      </c>
      <c r="W350" t="s">
        <v>67</v>
      </c>
      <c r="X350" t="s">
        <v>175</v>
      </c>
      <c r="Y350">
        <v>0</v>
      </c>
      <c r="AA350" t="s">
        <v>1068</v>
      </c>
      <c r="AI350" t="s">
        <v>469</v>
      </c>
      <c r="AL350" t="s">
        <v>128</v>
      </c>
      <c r="AM350" t="s">
        <v>191</v>
      </c>
      <c r="AS350" t="s">
        <v>127</v>
      </c>
      <c r="AX350" t="s">
        <v>470</v>
      </c>
      <c r="BE350">
        <v>0</v>
      </c>
      <c r="BF350" t="s">
        <v>128</v>
      </c>
      <c r="BG350">
        <v>110</v>
      </c>
      <c r="BI350" t="s">
        <v>2135</v>
      </c>
      <c r="BJ350" t="s">
        <v>2136</v>
      </c>
      <c r="BM350" t="s">
        <v>129</v>
      </c>
      <c r="BN350">
        <v>0</v>
      </c>
      <c r="BP350" t="s">
        <v>177</v>
      </c>
      <c r="BV350" t="s">
        <v>2137</v>
      </c>
    </row>
    <row r="351" spans="1:110" x14ac:dyDescent="0.2">
      <c r="A351" t="s">
        <v>111</v>
      </c>
      <c r="B351" t="b">
        <v>1</v>
      </c>
      <c r="F351" t="str">
        <f>HYPERLINK("https://portal.dnb.de/opac.htm?method=simpleSearch&amp;cqlMode=true&amp;query=idn%3D1137971126", "Portal")</f>
        <v>Portal</v>
      </c>
      <c r="G351" t="s">
        <v>157</v>
      </c>
      <c r="H351" t="s">
        <v>2138</v>
      </c>
      <c r="I351" t="s">
        <v>2139</v>
      </c>
      <c r="J351" t="s">
        <v>2140</v>
      </c>
      <c r="K351" t="s">
        <v>2140</v>
      </c>
      <c r="L351" t="s">
        <v>2140</v>
      </c>
      <c r="N351" t="s">
        <v>220</v>
      </c>
      <c r="O351" t="s">
        <v>118</v>
      </c>
      <c r="R351" t="s">
        <v>188</v>
      </c>
      <c r="S351" t="s">
        <v>120</v>
      </c>
      <c r="T351" t="s">
        <v>136</v>
      </c>
      <c r="U351" t="s">
        <v>897</v>
      </c>
      <c r="W351" t="s">
        <v>67</v>
      </c>
      <c r="X351" t="s">
        <v>175</v>
      </c>
      <c r="Y351">
        <v>3</v>
      </c>
      <c r="AI351" t="s">
        <v>190</v>
      </c>
      <c r="AL351" t="s">
        <v>128</v>
      </c>
      <c r="AM351" t="s">
        <v>191</v>
      </c>
      <c r="AS351" t="s">
        <v>127</v>
      </c>
      <c r="BG351">
        <v>60</v>
      </c>
      <c r="BM351" t="s">
        <v>129</v>
      </c>
      <c r="BN351">
        <v>0</v>
      </c>
      <c r="BP351" t="s">
        <v>177</v>
      </c>
      <c r="BV351" t="s">
        <v>600</v>
      </c>
    </row>
    <row r="352" spans="1:110" x14ac:dyDescent="0.2">
      <c r="A352" t="s">
        <v>111</v>
      </c>
      <c r="B352" t="b">
        <v>1</v>
      </c>
      <c r="E352">
        <v>432</v>
      </c>
      <c r="F352" t="str">
        <f>HYPERLINK("https://portal.dnb.de/opac.htm?method=simpleSearch&amp;cqlMode=true&amp;query=idn%3D1066963886", "Portal")</f>
        <v>Portal</v>
      </c>
      <c r="G352" t="s">
        <v>163</v>
      </c>
      <c r="H352" t="s">
        <v>2141</v>
      </c>
      <c r="I352" t="s">
        <v>2142</v>
      </c>
      <c r="J352" t="s">
        <v>2143</v>
      </c>
      <c r="K352" t="s">
        <v>2143</v>
      </c>
      <c r="L352" t="s">
        <v>2144</v>
      </c>
      <c r="N352" t="s">
        <v>2145</v>
      </c>
      <c r="O352" t="s">
        <v>118</v>
      </c>
      <c r="R352" t="s">
        <v>188</v>
      </c>
      <c r="S352" t="s">
        <v>120</v>
      </c>
      <c r="T352" t="s">
        <v>136</v>
      </c>
      <c r="U352" t="s">
        <v>599</v>
      </c>
      <c r="W352" t="s">
        <v>138</v>
      </c>
      <c r="X352" t="s">
        <v>203</v>
      </c>
      <c r="Y352">
        <v>0</v>
      </c>
      <c r="AI352" t="s">
        <v>190</v>
      </c>
      <c r="AM352" t="s">
        <v>191</v>
      </c>
      <c r="AS352" t="s">
        <v>127</v>
      </c>
      <c r="BE352">
        <v>2</v>
      </c>
      <c r="BG352">
        <v>110</v>
      </c>
      <c r="BM352" t="s">
        <v>129</v>
      </c>
      <c r="BN352">
        <v>0</v>
      </c>
      <c r="BT352" t="s">
        <v>140</v>
      </c>
      <c r="BU352" t="s">
        <v>128</v>
      </c>
      <c r="BY352" t="s">
        <v>141</v>
      </c>
    </row>
    <row r="353" spans="1:111" x14ac:dyDescent="0.2">
      <c r="A353" t="s">
        <v>111</v>
      </c>
      <c r="B353" t="b">
        <v>1</v>
      </c>
      <c r="E353">
        <v>433</v>
      </c>
      <c r="F353" t="str">
        <f>HYPERLINK("https://portal.dnb.de/opac.htm?method=simpleSearch&amp;cqlMode=true&amp;query=idn%3D1003929710", "Portal")</f>
        <v>Portal</v>
      </c>
      <c r="G353" t="s">
        <v>112</v>
      </c>
      <c r="H353" t="s">
        <v>2146</v>
      </c>
      <c r="I353" t="s">
        <v>2147</v>
      </c>
      <c r="J353" t="s">
        <v>2148</v>
      </c>
      <c r="K353" t="s">
        <v>2148</v>
      </c>
      <c r="L353" t="s">
        <v>2149</v>
      </c>
      <c r="N353" t="s">
        <v>2150</v>
      </c>
      <c r="O353" t="s">
        <v>118</v>
      </c>
      <c r="R353" t="s">
        <v>188</v>
      </c>
      <c r="S353" t="s">
        <v>120</v>
      </c>
      <c r="T353" t="s">
        <v>136</v>
      </c>
      <c r="U353" t="s">
        <v>364</v>
      </c>
      <c r="W353" t="s">
        <v>138</v>
      </c>
      <c r="X353" t="s">
        <v>203</v>
      </c>
      <c r="Y353">
        <v>0</v>
      </c>
      <c r="AI353" t="s">
        <v>190</v>
      </c>
      <c r="AM353" t="s">
        <v>204</v>
      </c>
      <c r="AS353" t="s">
        <v>127</v>
      </c>
      <c r="BE353">
        <v>2</v>
      </c>
      <c r="BG353">
        <v>110</v>
      </c>
      <c r="BM353" t="s">
        <v>129</v>
      </c>
      <c r="BN353">
        <v>0</v>
      </c>
      <c r="BT353" t="s">
        <v>140</v>
      </c>
      <c r="BU353" t="s">
        <v>128</v>
      </c>
      <c r="BY353" t="s">
        <v>2151</v>
      </c>
    </row>
    <row r="354" spans="1:111" x14ac:dyDescent="0.2">
      <c r="A354" t="s">
        <v>111</v>
      </c>
      <c r="B354" t="b">
        <v>1</v>
      </c>
      <c r="C354" t="s">
        <v>128</v>
      </c>
      <c r="E354">
        <v>434</v>
      </c>
      <c r="F354" t="str">
        <f>HYPERLINK("https://portal.dnb.de/opac.htm?method=simpleSearch&amp;cqlMode=true&amp;query=idn%3D1003867197", "Portal")</f>
        <v>Portal</v>
      </c>
      <c r="G354" t="s">
        <v>112</v>
      </c>
      <c r="H354" t="s">
        <v>2152</v>
      </c>
      <c r="I354" t="s">
        <v>2153</v>
      </c>
      <c r="J354" t="s">
        <v>2154</v>
      </c>
      <c r="K354" t="s">
        <v>2154</v>
      </c>
      <c r="L354" t="s">
        <v>2155</v>
      </c>
      <c r="N354" t="s">
        <v>2156</v>
      </c>
      <c r="O354" t="s">
        <v>118</v>
      </c>
      <c r="R354" t="s">
        <v>188</v>
      </c>
      <c r="S354" t="s">
        <v>120</v>
      </c>
      <c r="T354" t="s">
        <v>136</v>
      </c>
      <c r="U354" t="s">
        <v>189</v>
      </c>
      <c r="W354" t="s">
        <v>138</v>
      </c>
      <c r="X354" t="s">
        <v>203</v>
      </c>
      <c r="Y354">
        <v>0</v>
      </c>
      <c r="AI354" t="s">
        <v>190</v>
      </c>
      <c r="AM354" t="s">
        <v>204</v>
      </c>
      <c r="AS354" t="s">
        <v>127</v>
      </c>
      <c r="BE354">
        <v>2</v>
      </c>
      <c r="BF354" t="s">
        <v>128</v>
      </c>
      <c r="BG354" t="s">
        <v>2157</v>
      </c>
      <c r="BH354" t="s">
        <v>2158</v>
      </c>
      <c r="BM354" t="s">
        <v>206</v>
      </c>
      <c r="BN354">
        <v>1</v>
      </c>
      <c r="BT354" t="s">
        <v>140</v>
      </c>
      <c r="BU354" t="s">
        <v>128</v>
      </c>
      <c r="BY354" t="s">
        <v>2151</v>
      </c>
      <c r="CA354" t="s">
        <v>128</v>
      </c>
      <c r="CB354" t="s">
        <v>128</v>
      </c>
      <c r="CC354" t="s">
        <v>128</v>
      </c>
      <c r="CM354">
        <v>1</v>
      </c>
      <c r="CN354" t="s">
        <v>2159</v>
      </c>
    </row>
    <row r="355" spans="1:111" x14ac:dyDescent="0.2">
      <c r="A355" t="s">
        <v>111</v>
      </c>
      <c r="B355" t="b">
        <v>1</v>
      </c>
      <c r="C355" t="s">
        <v>128</v>
      </c>
      <c r="F355" t="str">
        <f>HYPERLINK("https://portal.dnb.de/opac.htm?method=simpleSearch&amp;cqlMode=true&amp;query=idn%3D1138239631", "Portal")</f>
        <v>Portal</v>
      </c>
      <c r="G355" t="s">
        <v>157</v>
      </c>
      <c r="H355" t="s">
        <v>2160</v>
      </c>
      <c r="I355" t="s">
        <v>2161</v>
      </c>
      <c r="J355" t="s">
        <v>2162</v>
      </c>
      <c r="K355" t="s">
        <v>2162</v>
      </c>
      <c r="L355" t="s">
        <v>2162</v>
      </c>
      <c r="N355" t="s">
        <v>2163</v>
      </c>
      <c r="O355" t="s">
        <v>118</v>
      </c>
      <c r="R355" t="s">
        <v>188</v>
      </c>
      <c r="S355" t="s">
        <v>120</v>
      </c>
      <c r="T355" t="s">
        <v>136</v>
      </c>
      <c r="U355" t="s">
        <v>148</v>
      </c>
      <c r="W355" t="s">
        <v>1014</v>
      </c>
      <c r="X355" t="s">
        <v>175</v>
      </c>
      <c r="AI355" t="s">
        <v>190</v>
      </c>
      <c r="AM355" t="s">
        <v>191</v>
      </c>
      <c r="AS355" t="s">
        <v>127</v>
      </c>
      <c r="BG355">
        <v>45</v>
      </c>
      <c r="BI355" t="s">
        <v>2135</v>
      </c>
      <c r="BJ355" t="s">
        <v>2136</v>
      </c>
      <c r="BM355" t="s">
        <v>206</v>
      </c>
      <c r="BN355">
        <v>3</v>
      </c>
      <c r="BP355" t="s">
        <v>788</v>
      </c>
      <c r="BV355" t="s">
        <v>1069</v>
      </c>
      <c r="CT355" t="s">
        <v>128</v>
      </c>
      <c r="CV355" t="s">
        <v>128</v>
      </c>
      <c r="DF355">
        <v>3</v>
      </c>
      <c r="DG355" t="s">
        <v>2164</v>
      </c>
    </row>
    <row r="356" spans="1:111" x14ac:dyDescent="0.2">
      <c r="A356" t="s">
        <v>111</v>
      </c>
      <c r="B356" t="b">
        <v>1</v>
      </c>
      <c r="C356" t="s">
        <v>128</v>
      </c>
      <c r="E356">
        <v>437</v>
      </c>
      <c r="F356" t="str">
        <f>HYPERLINK("https://portal.dnb.de/opac.htm?method=simpleSearch&amp;cqlMode=true&amp;query=idn%3D1003867146", "Portal")</f>
        <v>Portal</v>
      </c>
      <c r="G356" t="s">
        <v>112</v>
      </c>
      <c r="H356" t="s">
        <v>2165</v>
      </c>
      <c r="I356" t="s">
        <v>2166</v>
      </c>
      <c r="J356" t="s">
        <v>2167</v>
      </c>
      <c r="K356" t="s">
        <v>2167</v>
      </c>
      <c r="L356" t="s">
        <v>2168</v>
      </c>
      <c r="N356" t="s">
        <v>2169</v>
      </c>
      <c r="O356" t="s">
        <v>118</v>
      </c>
      <c r="R356" t="s">
        <v>188</v>
      </c>
      <c r="S356" t="s">
        <v>120</v>
      </c>
      <c r="T356" t="s">
        <v>136</v>
      </c>
      <c r="U356" t="s">
        <v>2170</v>
      </c>
      <c r="W356" t="s">
        <v>138</v>
      </c>
      <c r="X356" t="s">
        <v>139</v>
      </c>
      <c r="Y356">
        <v>0</v>
      </c>
      <c r="AH356" t="s">
        <v>128</v>
      </c>
      <c r="AI356" t="s">
        <v>190</v>
      </c>
      <c r="AM356" t="s">
        <v>204</v>
      </c>
      <c r="AS356" t="s">
        <v>127</v>
      </c>
      <c r="BE356">
        <v>4</v>
      </c>
      <c r="BG356">
        <v>110</v>
      </c>
      <c r="BM356" t="s">
        <v>206</v>
      </c>
      <c r="BN356">
        <v>1</v>
      </c>
      <c r="BT356" t="s">
        <v>140</v>
      </c>
      <c r="BU356" t="s">
        <v>128</v>
      </c>
      <c r="BY356" t="s">
        <v>1056</v>
      </c>
      <c r="CD356" t="s">
        <v>483</v>
      </c>
      <c r="CE356">
        <v>1</v>
      </c>
      <c r="CM356">
        <v>1</v>
      </c>
      <c r="CN356" t="s">
        <v>2171</v>
      </c>
    </row>
    <row r="357" spans="1:111" x14ac:dyDescent="0.2">
      <c r="A357" t="s">
        <v>111</v>
      </c>
      <c r="B357" t="b">
        <v>1</v>
      </c>
      <c r="E357">
        <v>439</v>
      </c>
      <c r="F357" t="str">
        <f>HYPERLINK("https://portal.dnb.de/opac.htm?method=simpleSearch&amp;cqlMode=true&amp;query=idn%3D1003988865", "Portal")</f>
        <v>Portal</v>
      </c>
      <c r="G357" t="s">
        <v>207</v>
      </c>
      <c r="H357" t="s">
        <v>2172</v>
      </c>
      <c r="I357" t="s">
        <v>2173</v>
      </c>
      <c r="J357" t="s">
        <v>2174</v>
      </c>
      <c r="K357" t="s">
        <v>2174</v>
      </c>
      <c r="L357" t="s">
        <v>2175</v>
      </c>
      <c r="N357" t="s">
        <v>2176</v>
      </c>
      <c r="O357" t="s">
        <v>2177</v>
      </c>
      <c r="R357" t="s">
        <v>188</v>
      </c>
      <c r="S357" t="s">
        <v>120</v>
      </c>
      <c r="AI357" t="s">
        <v>190</v>
      </c>
      <c r="AM357" t="s">
        <v>204</v>
      </c>
      <c r="AS357" t="s">
        <v>127</v>
      </c>
      <c r="BG357">
        <v>45</v>
      </c>
      <c r="BM357" t="s">
        <v>129</v>
      </c>
      <c r="BN357">
        <v>0</v>
      </c>
      <c r="BT357" t="s">
        <v>140</v>
      </c>
      <c r="BU357" t="s">
        <v>128</v>
      </c>
      <c r="BY357" t="s">
        <v>1056</v>
      </c>
    </row>
    <row r="358" spans="1:111" x14ac:dyDescent="0.2">
      <c r="A358" t="s">
        <v>111</v>
      </c>
      <c r="B358" t="b">
        <v>1</v>
      </c>
      <c r="F358" t="str">
        <f>HYPERLINK("https://portal.dnb.de/opac.htm?method=simpleSearch&amp;cqlMode=true&amp;query=idn%3D1003988873", "Portal")</f>
        <v>Portal</v>
      </c>
      <c r="H358" t="s">
        <v>2178</v>
      </c>
      <c r="I358" t="s">
        <v>2179</v>
      </c>
      <c r="K358" t="s">
        <v>2174</v>
      </c>
      <c r="L358" t="s">
        <v>2174</v>
      </c>
      <c r="N358" t="s">
        <v>2176</v>
      </c>
      <c r="O358" t="s">
        <v>2180</v>
      </c>
    </row>
    <row r="359" spans="1:111" x14ac:dyDescent="0.2">
      <c r="A359" t="s">
        <v>111</v>
      </c>
      <c r="B359" t="b">
        <v>1</v>
      </c>
      <c r="E359">
        <v>440</v>
      </c>
      <c r="F359" t="str">
        <f>HYPERLINK("https://portal.dnb.de/opac.htm?method=simpleSearch&amp;cqlMode=true&amp;query=idn%3D1003964869", "Portal")</f>
        <v>Portal</v>
      </c>
      <c r="G359" t="s">
        <v>112</v>
      </c>
      <c r="H359" t="s">
        <v>2181</v>
      </c>
      <c r="I359" t="s">
        <v>2182</v>
      </c>
      <c r="J359" t="s">
        <v>2183</v>
      </c>
      <c r="K359" t="s">
        <v>2183</v>
      </c>
      <c r="L359" t="s">
        <v>2184</v>
      </c>
      <c r="N359" t="s">
        <v>2185</v>
      </c>
      <c r="O359" t="s">
        <v>118</v>
      </c>
      <c r="R359" t="s">
        <v>119</v>
      </c>
      <c r="S359" t="s">
        <v>120</v>
      </c>
      <c r="T359" t="s">
        <v>136</v>
      </c>
      <c r="U359" t="s">
        <v>137</v>
      </c>
      <c r="W359" t="s">
        <v>138</v>
      </c>
      <c r="X359" t="s">
        <v>139</v>
      </c>
      <c r="Y359">
        <v>2</v>
      </c>
      <c r="AI359" t="s">
        <v>125</v>
      </c>
      <c r="AJ359" t="s">
        <v>413</v>
      </c>
      <c r="AM359" t="s">
        <v>126</v>
      </c>
      <c r="AS359" t="s">
        <v>127</v>
      </c>
      <c r="BG359">
        <v>80</v>
      </c>
      <c r="BM359" t="s">
        <v>129</v>
      </c>
      <c r="BN359">
        <v>0</v>
      </c>
      <c r="BT359" t="s">
        <v>140</v>
      </c>
      <c r="BU359" t="s">
        <v>128</v>
      </c>
    </row>
    <row r="360" spans="1:111" x14ac:dyDescent="0.2">
      <c r="A360" t="s">
        <v>111</v>
      </c>
      <c r="B360" t="b">
        <v>1</v>
      </c>
      <c r="E360">
        <v>441</v>
      </c>
      <c r="F360" t="str">
        <f>HYPERLINK("https://portal.dnb.de/opac.htm?method=simpleSearch&amp;cqlMode=true&amp;query=idn%3D1066848548", "Portal")</f>
        <v>Portal</v>
      </c>
      <c r="G360" t="s">
        <v>163</v>
      </c>
      <c r="H360" t="s">
        <v>2186</v>
      </c>
      <c r="I360" t="s">
        <v>2187</v>
      </c>
      <c r="J360" t="s">
        <v>2188</v>
      </c>
      <c r="K360" t="s">
        <v>2188</v>
      </c>
      <c r="L360" t="s">
        <v>2189</v>
      </c>
      <c r="N360" t="s">
        <v>2190</v>
      </c>
      <c r="O360" t="s">
        <v>118</v>
      </c>
      <c r="P360" t="s">
        <v>135</v>
      </c>
      <c r="R360" t="s">
        <v>147</v>
      </c>
      <c r="S360" t="s">
        <v>120</v>
      </c>
      <c r="T360" t="s">
        <v>156</v>
      </c>
      <c r="U360" t="s">
        <v>807</v>
      </c>
      <c r="X360" t="s">
        <v>124</v>
      </c>
      <c r="Y360">
        <v>1</v>
      </c>
      <c r="AI360" t="s">
        <v>127</v>
      </c>
      <c r="AM360" t="s">
        <v>150</v>
      </c>
      <c r="AS360" t="s">
        <v>127</v>
      </c>
      <c r="BG360">
        <v>180</v>
      </c>
      <c r="BM360" t="s">
        <v>129</v>
      </c>
      <c r="BN360">
        <v>0</v>
      </c>
    </row>
    <row r="361" spans="1:111" x14ac:dyDescent="0.2">
      <c r="A361" t="s">
        <v>111</v>
      </c>
      <c r="B361" t="b">
        <v>1</v>
      </c>
      <c r="E361">
        <v>442</v>
      </c>
      <c r="F361" t="str">
        <f>HYPERLINK("https://portal.dnb.de/opac.htm?method=simpleSearch&amp;cqlMode=true&amp;query=idn%3D1003855423", "Portal")</f>
        <v>Portal</v>
      </c>
      <c r="G361" t="s">
        <v>112</v>
      </c>
      <c r="H361" t="s">
        <v>2191</v>
      </c>
      <c r="I361" t="s">
        <v>2192</v>
      </c>
      <c r="J361" t="s">
        <v>2193</v>
      </c>
      <c r="K361" t="s">
        <v>2193</v>
      </c>
      <c r="L361" t="s">
        <v>2194</v>
      </c>
      <c r="N361" t="s">
        <v>2195</v>
      </c>
      <c r="O361" t="s">
        <v>118</v>
      </c>
      <c r="R361" t="s">
        <v>1590</v>
      </c>
      <c r="S361" t="s">
        <v>120</v>
      </c>
      <c r="T361" t="s">
        <v>156</v>
      </c>
      <c r="U361" t="s">
        <v>716</v>
      </c>
      <c r="W361" t="s">
        <v>138</v>
      </c>
      <c r="X361" t="s">
        <v>139</v>
      </c>
      <c r="Y361">
        <v>3</v>
      </c>
      <c r="AI361" t="s">
        <v>1591</v>
      </c>
      <c r="AM361" t="s">
        <v>191</v>
      </c>
      <c r="AS361" t="s">
        <v>127</v>
      </c>
      <c r="BG361">
        <v>180</v>
      </c>
      <c r="BM361" t="s">
        <v>129</v>
      </c>
      <c r="BN361">
        <v>0</v>
      </c>
      <c r="BT361" t="s">
        <v>140</v>
      </c>
      <c r="BU361" t="s">
        <v>128</v>
      </c>
      <c r="BV361" t="s">
        <v>2196</v>
      </c>
      <c r="BY361" t="s">
        <v>1594</v>
      </c>
    </row>
    <row r="362" spans="1:111" x14ac:dyDescent="0.2">
      <c r="A362" t="s">
        <v>111</v>
      </c>
      <c r="B362" t="b">
        <v>1</v>
      </c>
      <c r="E362">
        <v>443</v>
      </c>
      <c r="F362" t="str">
        <f>HYPERLINK("https://portal.dnb.de/opac.htm?method=simpleSearch&amp;cqlMode=true&amp;query=idn%3D1003825710", "Portal")</f>
        <v>Portal</v>
      </c>
      <c r="G362" t="s">
        <v>112</v>
      </c>
      <c r="H362" t="s">
        <v>2197</v>
      </c>
      <c r="I362" t="s">
        <v>2198</v>
      </c>
      <c r="J362" t="s">
        <v>2199</v>
      </c>
      <c r="K362" t="s">
        <v>2199</v>
      </c>
      <c r="L362" t="s">
        <v>2200</v>
      </c>
      <c r="N362" t="s">
        <v>2201</v>
      </c>
      <c r="O362" t="s">
        <v>118</v>
      </c>
      <c r="R362" t="s">
        <v>188</v>
      </c>
      <c r="S362" t="s">
        <v>120</v>
      </c>
      <c r="T362" t="s">
        <v>121</v>
      </c>
      <c r="U362" t="s">
        <v>2202</v>
      </c>
      <c r="W362" t="s">
        <v>138</v>
      </c>
      <c r="X362" t="s">
        <v>203</v>
      </c>
      <c r="Y362">
        <v>2</v>
      </c>
      <c r="AA362" t="s">
        <v>2203</v>
      </c>
      <c r="AI362" t="s">
        <v>190</v>
      </c>
      <c r="AM362" t="s">
        <v>191</v>
      </c>
      <c r="AS362" t="s">
        <v>127</v>
      </c>
      <c r="BE362">
        <v>4</v>
      </c>
      <c r="BG362">
        <v>110</v>
      </c>
      <c r="BM362" t="s">
        <v>129</v>
      </c>
      <c r="BN362">
        <v>0</v>
      </c>
      <c r="BT362" t="s">
        <v>140</v>
      </c>
      <c r="BU362" t="s">
        <v>128</v>
      </c>
      <c r="BY362" t="s">
        <v>2204</v>
      </c>
    </row>
    <row r="363" spans="1:111" x14ac:dyDescent="0.2">
      <c r="A363" t="s">
        <v>111</v>
      </c>
      <c r="B363" t="b">
        <v>1</v>
      </c>
      <c r="C363" t="s">
        <v>128</v>
      </c>
      <c r="F363" t="str">
        <f>HYPERLINK("https://portal.dnb.de/opac.htm?method=simpleSearch&amp;cqlMode=true&amp;query=idn%3D1139218913", "Portal")</f>
        <v>Portal</v>
      </c>
      <c r="G363" t="s">
        <v>157</v>
      </c>
      <c r="H363" t="s">
        <v>2205</v>
      </c>
      <c r="I363" t="s">
        <v>2206</v>
      </c>
      <c r="J363" t="s">
        <v>2207</v>
      </c>
      <c r="K363" t="s">
        <v>2207</v>
      </c>
      <c r="L363" t="s">
        <v>2207</v>
      </c>
      <c r="N363" t="s">
        <v>220</v>
      </c>
      <c r="O363" t="s">
        <v>118</v>
      </c>
      <c r="Q363" t="s">
        <v>466</v>
      </c>
      <c r="R363" t="s">
        <v>188</v>
      </c>
      <c r="S363" t="s">
        <v>120</v>
      </c>
      <c r="T363" t="s">
        <v>136</v>
      </c>
      <c r="U363" t="s">
        <v>2208</v>
      </c>
      <c r="W363" t="s">
        <v>138</v>
      </c>
      <c r="X363" t="s">
        <v>203</v>
      </c>
      <c r="Y363">
        <v>3</v>
      </c>
      <c r="AI363" t="s">
        <v>469</v>
      </c>
      <c r="AM363" t="s">
        <v>204</v>
      </c>
      <c r="AS363" t="s">
        <v>127</v>
      </c>
      <c r="AZ363" t="s">
        <v>128</v>
      </c>
      <c r="BA363" t="s">
        <v>2209</v>
      </c>
      <c r="BB363" t="s">
        <v>128</v>
      </c>
      <c r="BG363" t="s">
        <v>366</v>
      </c>
      <c r="BH363" t="s">
        <v>2210</v>
      </c>
      <c r="BM363" t="s">
        <v>206</v>
      </c>
      <c r="BN363">
        <v>8</v>
      </c>
      <c r="BT363" t="s">
        <v>140</v>
      </c>
      <c r="BU363" t="s">
        <v>128</v>
      </c>
      <c r="BV363" t="s">
        <v>2211</v>
      </c>
      <c r="BY363" t="s">
        <v>1056</v>
      </c>
      <c r="CS363" t="s">
        <v>128</v>
      </c>
      <c r="CW363" t="s">
        <v>128</v>
      </c>
      <c r="DA363" t="s">
        <v>128</v>
      </c>
      <c r="DF363">
        <v>8</v>
      </c>
      <c r="DG363" t="s">
        <v>2212</v>
      </c>
    </row>
    <row r="364" spans="1:111" x14ac:dyDescent="0.2">
      <c r="A364" t="s">
        <v>111</v>
      </c>
      <c r="B364" t="b">
        <v>1</v>
      </c>
      <c r="E364">
        <v>446</v>
      </c>
      <c r="F364" t="str">
        <f>HYPERLINK("https://portal.dnb.de/opac.htm?method=simpleSearch&amp;cqlMode=true&amp;query=idn%3D1003965261", "Portal")</f>
        <v>Portal</v>
      </c>
      <c r="G364" t="s">
        <v>112</v>
      </c>
      <c r="H364" t="s">
        <v>2213</v>
      </c>
      <c r="I364" t="s">
        <v>2214</v>
      </c>
      <c r="J364" t="s">
        <v>2215</v>
      </c>
      <c r="K364" t="s">
        <v>2215</v>
      </c>
      <c r="L364" t="s">
        <v>2216</v>
      </c>
      <c r="N364" t="s">
        <v>2217</v>
      </c>
      <c r="O364" t="s">
        <v>118</v>
      </c>
      <c r="R364" t="s">
        <v>188</v>
      </c>
      <c r="S364" t="s">
        <v>120</v>
      </c>
      <c r="T364" t="s">
        <v>121</v>
      </c>
      <c r="U364" t="s">
        <v>423</v>
      </c>
      <c r="W364" t="s">
        <v>138</v>
      </c>
      <c r="X364" t="s">
        <v>203</v>
      </c>
      <c r="Y364">
        <v>2</v>
      </c>
      <c r="AI364" t="s">
        <v>190</v>
      </c>
      <c r="AM364" t="s">
        <v>204</v>
      </c>
      <c r="AS364" t="s">
        <v>127</v>
      </c>
      <c r="AZ364" t="s">
        <v>128</v>
      </c>
      <c r="BG364">
        <v>45</v>
      </c>
      <c r="BM364" t="s">
        <v>129</v>
      </c>
      <c r="BN364">
        <v>0</v>
      </c>
      <c r="BT364" t="s">
        <v>140</v>
      </c>
      <c r="BU364" t="s">
        <v>128</v>
      </c>
      <c r="BY364" t="s">
        <v>2003</v>
      </c>
    </row>
    <row r="365" spans="1:111" x14ac:dyDescent="0.2">
      <c r="A365" t="s">
        <v>111</v>
      </c>
      <c r="B365" t="b">
        <v>1</v>
      </c>
      <c r="E365">
        <v>447</v>
      </c>
      <c r="F365" t="str">
        <f>HYPERLINK("https://portal.dnb.de/opac.htm?method=simpleSearch&amp;cqlMode=true&amp;query=idn%3D1003895042", "Portal")</f>
        <v>Portal</v>
      </c>
      <c r="G365" t="s">
        <v>112</v>
      </c>
      <c r="H365" t="s">
        <v>2218</v>
      </c>
      <c r="I365" t="s">
        <v>2219</v>
      </c>
      <c r="J365" t="s">
        <v>2220</v>
      </c>
      <c r="K365" t="s">
        <v>2220</v>
      </c>
      <c r="L365" t="s">
        <v>2221</v>
      </c>
      <c r="N365" t="s">
        <v>2222</v>
      </c>
      <c r="O365" t="s">
        <v>118</v>
      </c>
      <c r="R365" t="s">
        <v>188</v>
      </c>
      <c r="S365" t="s">
        <v>120</v>
      </c>
      <c r="T365" t="s">
        <v>136</v>
      </c>
      <c r="U365" t="s">
        <v>364</v>
      </c>
      <c r="W365" t="s">
        <v>138</v>
      </c>
      <c r="X365" t="s">
        <v>203</v>
      </c>
      <c r="Y365">
        <v>1</v>
      </c>
      <c r="AI365" t="s">
        <v>190</v>
      </c>
      <c r="AM365" t="s">
        <v>204</v>
      </c>
      <c r="AS365" t="s">
        <v>127</v>
      </c>
      <c r="BE365">
        <v>2</v>
      </c>
      <c r="BF365" t="s">
        <v>128</v>
      </c>
      <c r="BG365">
        <v>60</v>
      </c>
      <c r="BM365" t="s">
        <v>129</v>
      </c>
      <c r="BN365">
        <v>0</v>
      </c>
      <c r="BT365" t="s">
        <v>140</v>
      </c>
      <c r="BU365" t="s">
        <v>128</v>
      </c>
      <c r="BY365" t="s">
        <v>1056</v>
      </c>
    </row>
    <row r="366" spans="1:111" x14ac:dyDescent="0.2">
      <c r="A366" t="s">
        <v>111</v>
      </c>
      <c r="B366" t="b">
        <v>1</v>
      </c>
      <c r="E366">
        <v>448</v>
      </c>
      <c r="F366" t="str">
        <f>HYPERLINK("https://portal.dnb.de/opac.htm?method=simpleSearch&amp;cqlMode=true&amp;query=idn%3D1066959161", "Portal")</f>
        <v>Portal</v>
      </c>
      <c r="G366" t="s">
        <v>163</v>
      </c>
      <c r="H366" t="s">
        <v>2223</v>
      </c>
      <c r="I366" t="s">
        <v>2224</v>
      </c>
      <c r="J366" t="s">
        <v>2225</v>
      </c>
      <c r="K366" t="s">
        <v>2225</v>
      </c>
      <c r="L366" t="s">
        <v>2226</v>
      </c>
      <c r="N366" t="s">
        <v>2227</v>
      </c>
      <c r="O366" t="s">
        <v>118</v>
      </c>
      <c r="R366" t="s">
        <v>188</v>
      </c>
      <c r="S366" t="s">
        <v>120</v>
      </c>
      <c r="T366" t="s">
        <v>136</v>
      </c>
      <c r="U366" t="s">
        <v>423</v>
      </c>
      <c r="W366" t="s">
        <v>138</v>
      </c>
      <c r="X366" t="s">
        <v>175</v>
      </c>
      <c r="Y366">
        <v>1</v>
      </c>
      <c r="AI366" t="s">
        <v>190</v>
      </c>
      <c r="AM366" t="s">
        <v>204</v>
      </c>
      <c r="AS366" t="s">
        <v>127</v>
      </c>
      <c r="BG366" t="s">
        <v>176</v>
      </c>
      <c r="BM366" t="s">
        <v>129</v>
      </c>
      <c r="BN366">
        <v>0</v>
      </c>
      <c r="BT366" t="s">
        <v>194</v>
      </c>
    </row>
    <row r="367" spans="1:111" x14ac:dyDescent="0.2">
      <c r="A367" t="s">
        <v>111</v>
      </c>
      <c r="B367" t="b">
        <v>1</v>
      </c>
      <c r="E367">
        <v>449</v>
      </c>
      <c r="F367" t="str">
        <f>HYPERLINK("https://portal.dnb.de/opac.htm?method=simpleSearch&amp;cqlMode=true&amp;query=idn%3D1066964173", "Portal")</f>
        <v>Portal</v>
      </c>
      <c r="G367" t="s">
        <v>163</v>
      </c>
      <c r="H367" t="s">
        <v>2228</v>
      </c>
      <c r="I367" t="s">
        <v>2229</v>
      </c>
      <c r="J367" t="s">
        <v>2230</v>
      </c>
      <c r="K367" t="s">
        <v>2230</v>
      </c>
      <c r="L367" t="s">
        <v>2231</v>
      </c>
      <c r="N367" t="s">
        <v>2232</v>
      </c>
      <c r="O367" t="s">
        <v>118</v>
      </c>
      <c r="R367" t="s">
        <v>467</v>
      </c>
      <c r="S367" t="s">
        <v>120</v>
      </c>
      <c r="T367" t="s">
        <v>136</v>
      </c>
      <c r="U367" t="s">
        <v>189</v>
      </c>
      <c r="W367" t="s">
        <v>138</v>
      </c>
      <c r="X367" t="s">
        <v>203</v>
      </c>
      <c r="Y367">
        <v>1</v>
      </c>
      <c r="AA367" t="s">
        <v>910</v>
      </c>
      <c r="AI367" t="s">
        <v>469</v>
      </c>
      <c r="AM367" t="s">
        <v>191</v>
      </c>
      <c r="AS367" t="s">
        <v>127</v>
      </c>
      <c r="BG367" t="s">
        <v>176</v>
      </c>
      <c r="BM367" t="s">
        <v>129</v>
      </c>
      <c r="BN367">
        <v>0</v>
      </c>
      <c r="BT367" t="s">
        <v>140</v>
      </c>
      <c r="BU367" t="s">
        <v>128</v>
      </c>
    </row>
    <row r="368" spans="1:111" x14ac:dyDescent="0.2">
      <c r="A368" t="s">
        <v>111</v>
      </c>
      <c r="B368" t="b">
        <v>1</v>
      </c>
      <c r="E368">
        <v>450</v>
      </c>
      <c r="F368" t="str">
        <f>HYPERLINK("https://portal.dnb.de/opac.htm?method=simpleSearch&amp;cqlMode=true&amp;query=idn%3D1066866198", "Portal")</f>
        <v>Portal</v>
      </c>
      <c r="G368" t="s">
        <v>163</v>
      </c>
      <c r="H368" t="s">
        <v>2233</v>
      </c>
      <c r="I368" t="s">
        <v>2234</v>
      </c>
      <c r="J368" t="s">
        <v>2235</v>
      </c>
      <c r="K368" t="s">
        <v>2235</v>
      </c>
      <c r="L368" t="s">
        <v>2236</v>
      </c>
      <c r="N368" t="s">
        <v>2237</v>
      </c>
      <c r="O368" t="s">
        <v>118</v>
      </c>
      <c r="R368" t="s">
        <v>467</v>
      </c>
      <c r="S368" t="s">
        <v>120</v>
      </c>
      <c r="T368" t="s">
        <v>136</v>
      </c>
      <c r="U368" t="s">
        <v>378</v>
      </c>
      <c r="W368" t="s">
        <v>67</v>
      </c>
      <c r="X368" t="s">
        <v>175</v>
      </c>
      <c r="Y368">
        <v>0</v>
      </c>
      <c r="AI368" t="s">
        <v>190</v>
      </c>
      <c r="AL368" t="s">
        <v>128</v>
      </c>
      <c r="AM368" t="s">
        <v>191</v>
      </c>
      <c r="AS368" t="s">
        <v>127</v>
      </c>
      <c r="BG368">
        <v>80</v>
      </c>
      <c r="BM368" t="s">
        <v>129</v>
      </c>
      <c r="BN368">
        <v>0</v>
      </c>
      <c r="BS368" t="s">
        <v>128</v>
      </c>
    </row>
    <row r="369" spans="1:110" x14ac:dyDescent="0.2">
      <c r="A369" t="s">
        <v>111</v>
      </c>
      <c r="B369" t="b">
        <v>1</v>
      </c>
      <c r="E369">
        <v>451</v>
      </c>
      <c r="F369" t="str">
        <f>HYPERLINK("https://portal.dnb.de/opac.htm?method=simpleSearch&amp;cqlMode=true&amp;query=idn%3D1003963242", "Portal")</f>
        <v>Portal</v>
      </c>
      <c r="G369" t="s">
        <v>112</v>
      </c>
      <c r="H369" t="s">
        <v>2238</v>
      </c>
      <c r="I369" t="s">
        <v>2239</v>
      </c>
      <c r="J369" t="s">
        <v>2240</v>
      </c>
      <c r="K369" t="s">
        <v>2240</v>
      </c>
      <c r="L369" t="s">
        <v>2241</v>
      </c>
      <c r="N369" t="s">
        <v>2242</v>
      </c>
      <c r="O369" t="s">
        <v>118</v>
      </c>
      <c r="R369" t="s">
        <v>188</v>
      </c>
      <c r="S369" t="s">
        <v>120</v>
      </c>
      <c r="T369" t="s">
        <v>121</v>
      </c>
      <c r="U369" t="s">
        <v>423</v>
      </c>
      <c r="W369" t="s">
        <v>67</v>
      </c>
      <c r="X369" t="s">
        <v>175</v>
      </c>
      <c r="Y369">
        <v>1</v>
      </c>
      <c r="AI369" t="s">
        <v>190</v>
      </c>
      <c r="AM369" t="s">
        <v>204</v>
      </c>
      <c r="AS369" t="s">
        <v>127</v>
      </c>
      <c r="AX369" t="s">
        <v>128</v>
      </c>
      <c r="BG369">
        <v>45</v>
      </c>
      <c r="BM369" t="s">
        <v>129</v>
      </c>
      <c r="BN369">
        <v>0</v>
      </c>
      <c r="BP369" t="s">
        <v>177</v>
      </c>
      <c r="BV369" t="s">
        <v>2243</v>
      </c>
    </row>
    <row r="370" spans="1:110" x14ac:dyDescent="0.2">
      <c r="A370" t="s">
        <v>111</v>
      </c>
      <c r="B370" t="b">
        <v>1</v>
      </c>
      <c r="E370">
        <v>452</v>
      </c>
      <c r="F370" t="str">
        <f>HYPERLINK("https://portal.dnb.de/opac.htm?method=simpleSearch&amp;cqlMode=true&amp;query=idn%3D1003868509", "Portal")</f>
        <v>Portal</v>
      </c>
      <c r="G370" t="s">
        <v>112</v>
      </c>
      <c r="H370" t="s">
        <v>2244</v>
      </c>
      <c r="I370" t="s">
        <v>2245</v>
      </c>
      <c r="J370" t="s">
        <v>2246</v>
      </c>
      <c r="K370" t="s">
        <v>2246</v>
      </c>
      <c r="L370" t="s">
        <v>2247</v>
      </c>
      <c r="N370" t="s">
        <v>2248</v>
      </c>
      <c r="O370" t="s">
        <v>118</v>
      </c>
      <c r="P370" t="s">
        <v>135</v>
      </c>
      <c r="R370" t="s">
        <v>188</v>
      </c>
      <c r="S370" t="s">
        <v>120</v>
      </c>
      <c r="T370" t="s">
        <v>136</v>
      </c>
      <c r="U370" t="s">
        <v>189</v>
      </c>
      <c r="W370" t="s">
        <v>67</v>
      </c>
      <c r="X370" t="s">
        <v>175</v>
      </c>
      <c r="Y370">
        <v>0</v>
      </c>
      <c r="AI370" t="s">
        <v>190</v>
      </c>
      <c r="AM370" t="s">
        <v>204</v>
      </c>
      <c r="AS370" t="s">
        <v>127</v>
      </c>
      <c r="BG370" t="s">
        <v>176</v>
      </c>
      <c r="BM370" t="s">
        <v>129</v>
      </c>
      <c r="BN370">
        <v>0</v>
      </c>
      <c r="BP370" t="s">
        <v>177</v>
      </c>
    </row>
    <row r="371" spans="1:110" x14ac:dyDescent="0.2">
      <c r="A371" t="s">
        <v>111</v>
      </c>
      <c r="B371" t="b">
        <v>1</v>
      </c>
      <c r="C371" t="s">
        <v>128</v>
      </c>
      <c r="E371">
        <v>453</v>
      </c>
      <c r="F371" t="str">
        <f>HYPERLINK("https://portal.dnb.de/opac.htm?method=simpleSearch&amp;cqlMode=true&amp;query=idn%3D1003801404", "Portal")</f>
        <v>Portal</v>
      </c>
      <c r="G371" t="s">
        <v>112</v>
      </c>
      <c r="H371" t="s">
        <v>2249</v>
      </c>
      <c r="I371" t="s">
        <v>2250</v>
      </c>
      <c r="J371" t="s">
        <v>2251</v>
      </c>
      <c r="K371" t="s">
        <v>2251</v>
      </c>
      <c r="L371" t="s">
        <v>2252</v>
      </c>
      <c r="N371" t="s">
        <v>2253</v>
      </c>
      <c r="O371" t="s">
        <v>118</v>
      </c>
      <c r="R371" t="s">
        <v>467</v>
      </c>
      <c r="S371" t="s">
        <v>120</v>
      </c>
      <c r="T371" t="s">
        <v>136</v>
      </c>
      <c r="U371" t="s">
        <v>997</v>
      </c>
      <c r="V371" t="s">
        <v>123</v>
      </c>
      <c r="W371" t="s">
        <v>67</v>
      </c>
      <c r="X371" t="s">
        <v>175</v>
      </c>
      <c r="Y371">
        <v>2</v>
      </c>
      <c r="AI371" t="s">
        <v>190</v>
      </c>
      <c r="AL371" t="s">
        <v>128</v>
      </c>
      <c r="AM371" t="s">
        <v>191</v>
      </c>
      <c r="AS371" t="s">
        <v>127</v>
      </c>
      <c r="BG371">
        <v>45</v>
      </c>
      <c r="BM371" t="s">
        <v>206</v>
      </c>
      <c r="BN371">
        <v>1</v>
      </c>
      <c r="BP371" t="s">
        <v>177</v>
      </c>
      <c r="BV371" t="s">
        <v>2254</v>
      </c>
      <c r="CA371" t="s">
        <v>128</v>
      </c>
      <c r="CB371" t="s">
        <v>128</v>
      </c>
      <c r="CM371">
        <v>1</v>
      </c>
      <c r="CN371" t="s">
        <v>2255</v>
      </c>
    </row>
    <row r="372" spans="1:110" x14ac:dyDescent="0.2">
      <c r="A372" t="s">
        <v>111</v>
      </c>
      <c r="B372" t="b">
        <v>1</v>
      </c>
      <c r="C372" t="s">
        <v>128</v>
      </c>
      <c r="E372">
        <v>454</v>
      </c>
      <c r="F372" t="str">
        <f>HYPERLINK("https://portal.dnb.de/opac.htm?method=simpleSearch&amp;cqlMode=true&amp;query=idn%3D1003824404", "Portal")</f>
        <v>Portal</v>
      </c>
      <c r="G372" t="s">
        <v>112</v>
      </c>
      <c r="H372" t="s">
        <v>2256</v>
      </c>
      <c r="I372" t="s">
        <v>2257</v>
      </c>
      <c r="J372" t="s">
        <v>2258</v>
      </c>
      <c r="K372" t="s">
        <v>2258</v>
      </c>
      <c r="L372" t="s">
        <v>2259</v>
      </c>
      <c r="N372" t="s">
        <v>2260</v>
      </c>
      <c r="O372" t="s">
        <v>118</v>
      </c>
      <c r="R372" t="s">
        <v>188</v>
      </c>
      <c r="S372" t="s">
        <v>120</v>
      </c>
      <c r="T372" t="s">
        <v>156</v>
      </c>
      <c r="U372" t="s">
        <v>137</v>
      </c>
      <c r="W372" t="s">
        <v>67</v>
      </c>
      <c r="X372" t="s">
        <v>175</v>
      </c>
      <c r="Y372">
        <v>2</v>
      </c>
      <c r="AI372" t="s">
        <v>190</v>
      </c>
      <c r="AM372" t="s">
        <v>191</v>
      </c>
      <c r="AS372" t="s">
        <v>127</v>
      </c>
      <c r="BG372">
        <v>110</v>
      </c>
      <c r="BM372" t="s">
        <v>206</v>
      </c>
      <c r="BN372">
        <v>3.5</v>
      </c>
      <c r="BP372" t="s">
        <v>177</v>
      </c>
      <c r="CA372" t="s">
        <v>128</v>
      </c>
      <c r="CB372" t="s">
        <v>128</v>
      </c>
      <c r="CI372" t="s">
        <v>2261</v>
      </c>
      <c r="CM372">
        <v>3.5</v>
      </c>
      <c r="CN372" t="s">
        <v>2262</v>
      </c>
    </row>
    <row r="373" spans="1:110" x14ac:dyDescent="0.2">
      <c r="A373" t="s">
        <v>111</v>
      </c>
      <c r="B373" t="b">
        <v>1</v>
      </c>
      <c r="C373" t="s">
        <v>128</v>
      </c>
      <c r="E373">
        <v>455</v>
      </c>
      <c r="F373" t="str">
        <f>HYPERLINK("https://portal.dnb.de/opac.htm?method=simpleSearch&amp;cqlMode=true&amp;query=idn%3D1003965865", "Portal")</f>
        <v>Portal</v>
      </c>
      <c r="G373" t="s">
        <v>112</v>
      </c>
      <c r="H373" t="s">
        <v>2263</v>
      </c>
      <c r="I373" t="s">
        <v>2264</v>
      </c>
      <c r="J373" t="s">
        <v>2265</v>
      </c>
      <c r="K373" t="s">
        <v>2265</v>
      </c>
      <c r="L373" t="s">
        <v>2266</v>
      </c>
      <c r="N373" t="s">
        <v>2267</v>
      </c>
      <c r="O373" t="s">
        <v>118</v>
      </c>
      <c r="R373" t="s">
        <v>188</v>
      </c>
      <c r="S373" t="s">
        <v>120</v>
      </c>
      <c r="T373" t="s">
        <v>156</v>
      </c>
      <c r="U373" t="s">
        <v>716</v>
      </c>
      <c r="W373" t="s">
        <v>67</v>
      </c>
      <c r="X373" t="s">
        <v>175</v>
      </c>
      <c r="Y373">
        <v>3</v>
      </c>
      <c r="AI373" t="s">
        <v>190</v>
      </c>
      <c r="AM373" t="s">
        <v>191</v>
      </c>
      <c r="AS373" t="s">
        <v>127</v>
      </c>
      <c r="BG373">
        <v>45</v>
      </c>
      <c r="BM373" t="s">
        <v>206</v>
      </c>
      <c r="BN373">
        <v>6</v>
      </c>
      <c r="BP373" t="s">
        <v>177</v>
      </c>
      <c r="CA373" t="s">
        <v>128</v>
      </c>
      <c r="CB373" t="s">
        <v>128</v>
      </c>
      <c r="CI373" t="s">
        <v>2261</v>
      </c>
      <c r="CM373">
        <v>6</v>
      </c>
      <c r="CN373" t="s">
        <v>2268</v>
      </c>
    </row>
    <row r="374" spans="1:110" x14ac:dyDescent="0.2">
      <c r="A374" t="s">
        <v>111</v>
      </c>
      <c r="B374" t="b">
        <v>1</v>
      </c>
      <c r="E374">
        <v>456</v>
      </c>
      <c r="F374" t="str">
        <f>HYPERLINK("https://portal.dnb.de/opac.htm?method=simpleSearch&amp;cqlMode=true&amp;query=idn%3D1066787298", "Portal")</f>
        <v>Portal</v>
      </c>
      <c r="G374" t="s">
        <v>163</v>
      </c>
      <c r="H374" t="s">
        <v>2269</v>
      </c>
      <c r="I374" t="s">
        <v>2270</v>
      </c>
      <c r="J374" t="s">
        <v>2271</v>
      </c>
      <c r="K374" t="s">
        <v>2271</v>
      </c>
      <c r="L374" t="s">
        <v>2272</v>
      </c>
      <c r="N374" t="s">
        <v>2273</v>
      </c>
      <c r="O374" t="s">
        <v>118</v>
      </c>
      <c r="R374" t="s">
        <v>147</v>
      </c>
      <c r="S374" t="s">
        <v>120</v>
      </c>
      <c r="T374" t="s">
        <v>156</v>
      </c>
      <c r="U374" t="s">
        <v>412</v>
      </c>
      <c r="Y374">
        <v>0</v>
      </c>
      <c r="AI374" t="s">
        <v>127</v>
      </c>
      <c r="AM374" t="s">
        <v>150</v>
      </c>
      <c r="AS374" t="s">
        <v>127</v>
      </c>
      <c r="BG374">
        <v>110</v>
      </c>
      <c r="BM374" t="s">
        <v>129</v>
      </c>
      <c r="BN374">
        <v>0</v>
      </c>
    </row>
    <row r="375" spans="1:110" x14ac:dyDescent="0.2">
      <c r="A375" t="s">
        <v>111</v>
      </c>
      <c r="B375" t="b">
        <v>1</v>
      </c>
      <c r="E375">
        <v>457</v>
      </c>
      <c r="F375" t="str">
        <f>HYPERLINK("https://portal.dnb.de/opac.htm?method=simpleSearch&amp;cqlMode=true&amp;query=idn%3D1066963762", "Portal")</f>
        <v>Portal</v>
      </c>
      <c r="G375" t="s">
        <v>163</v>
      </c>
      <c r="H375" t="s">
        <v>2274</v>
      </c>
      <c r="I375" t="s">
        <v>2275</v>
      </c>
      <c r="J375" t="s">
        <v>2276</v>
      </c>
      <c r="K375" t="s">
        <v>2276</v>
      </c>
      <c r="L375" t="s">
        <v>2277</v>
      </c>
      <c r="N375" t="s">
        <v>2278</v>
      </c>
      <c r="O375" t="s">
        <v>118</v>
      </c>
      <c r="R375" t="s">
        <v>467</v>
      </c>
      <c r="S375" t="s">
        <v>120</v>
      </c>
      <c r="T375" t="s">
        <v>121</v>
      </c>
      <c r="U375" t="s">
        <v>599</v>
      </c>
      <c r="W375" t="s">
        <v>138</v>
      </c>
      <c r="X375" t="s">
        <v>203</v>
      </c>
      <c r="Y375">
        <v>1</v>
      </c>
      <c r="AI375" t="s">
        <v>469</v>
      </c>
      <c r="AM375" t="s">
        <v>191</v>
      </c>
      <c r="AS375" t="s">
        <v>127</v>
      </c>
      <c r="BE375">
        <v>2</v>
      </c>
      <c r="BF375" t="s">
        <v>128</v>
      </c>
      <c r="BG375">
        <v>45</v>
      </c>
      <c r="BM375" t="s">
        <v>129</v>
      </c>
      <c r="BN375">
        <v>0</v>
      </c>
      <c r="BT375" t="s">
        <v>140</v>
      </c>
      <c r="BU375" t="s">
        <v>128</v>
      </c>
    </row>
    <row r="376" spans="1:110" x14ac:dyDescent="0.2">
      <c r="A376" t="s">
        <v>111</v>
      </c>
      <c r="B376" t="b">
        <v>1</v>
      </c>
      <c r="C376" t="s">
        <v>128</v>
      </c>
      <c r="E376">
        <v>458</v>
      </c>
      <c r="F376" t="str">
        <f>HYPERLINK("https://portal.dnb.de/opac.htm?method=simpleSearch&amp;cqlMode=true&amp;query=idn%3D1066963606", "Portal")</f>
        <v>Portal</v>
      </c>
      <c r="G376" t="s">
        <v>163</v>
      </c>
      <c r="H376" t="s">
        <v>2279</v>
      </c>
      <c r="I376" t="s">
        <v>2280</v>
      </c>
      <c r="J376" t="s">
        <v>2281</v>
      </c>
      <c r="K376" t="s">
        <v>2281</v>
      </c>
      <c r="L376" t="s">
        <v>2282</v>
      </c>
      <c r="N376" t="s">
        <v>2283</v>
      </c>
      <c r="O376" t="s">
        <v>118</v>
      </c>
      <c r="R376" t="s">
        <v>188</v>
      </c>
      <c r="S376" t="s">
        <v>120</v>
      </c>
      <c r="T376" t="s">
        <v>121</v>
      </c>
      <c r="U376" t="s">
        <v>2284</v>
      </c>
      <c r="V376" t="s">
        <v>123</v>
      </c>
      <c r="W376" t="s">
        <v>138</v>
      </c>
      <c r="X376" t="s">
        <v>203</v>
      </c>
      <c r="Y376">
        <v>3</v>
      </c>
      <c r="AI376" t="s">
        <v>190</v>
      </c>
      <c r="AM376" t="s">
        <v>191</v>
      </c>
      <c r="AS376" t="s">
        <v>127</v>
      </c>
      <c r="BE376">
        <v>0</v>
      </c>
      <c r="BF376" t="s">
        <v>128</v>
      </c>
      <c r="BG376">
        <v>60</v>
      </c>
      <c r="BM376" t="s">
        <v>206</v>
      </c>
      <c r="BN376">
        <v>3</v>
      </c>
      <c r="BT376" t="s">
        <v>140</v>
      </c>
      <c r="BU376" t="s">
        <v>128</v>
      </c>
      <c r="BY376" t="s">
        <v>352</v>
      </c>
      <c r="CA376" t="s">
        <v>128</v>
      </c>
      <c r="CB376" t="s">
        <v>128</v>
      </c>
      <c r="CI376" t="s">
        <v>2261</v>
      </c>
      <c r="CM376">
        <v>2.5</v>
      </c>
      <c r="CN376" t="s">
        <v>2285</v>
      </c>
      <c r="DA376" t="s">
        <v>128</v>
      </c>
      <c r="DF376">
        <v>0.5</v>
      </c>
    </row>
    <row r="377" spans="1:110" x14ac:dyDescent="0.2">
      <c r="A377" t="s">
        <v>111</v>
      </c>
      <c r="B377" t="b">
        <v>1</v>
      </c>
      <c r="E377">
        <v>459</v>
      </c>
      <c r="F377" t="str">
        <f>HYPERLINK("https://portal.dnb.de/opac.htm?method=simpleSearch&amp;cqlMode=true&amp;query=idn%3D1003826288", "Portal")</f>
        <v>Portal</v>
      </c>
      <c r="G377" t="s">
        <v>112</v>
      </c>
      <c r="H377" t="s">
        <v>2286</v>
      </c>
      <c r="I377" t="s">
        <v>2287</v>
      </c>
      <c r="J377" t="s">
        <v>2288</v>
      </c>
      <c r="K377" t="s">
        <v>2288</v>
      </c>
      <c r="L377" t="s">
        <v>2289</v>
      </c>
      <c r="N377" t="s">
        <v>2290</v>
      </c>
      <c r="O377" t="s">
        <v>118</v>
      </c>
      <c r="R377" t="s">
        <v>188</v>
      </c>
      <c r="S377" t="s">
        <v>120</v>
      </c>
      <c r="T377" t="s">
        <v>121</v>
      </c>
      <c r="U377" t="s">
        <v>1114</v>
      </c>
      <c r="W377" t="s">
        <v>138</v>
      </c>
      <c r="X377" t="s">
        <v>203</v>
      </c>
      <c r="Y377">
        <v>3</v>
      </c>
      <c r="AI377" t="s">
        <v>190</v>
      </c>
      <c r="AM377" t="s">
        <v>191</v>
      </c>
      <c r="AS377" t="s">
        <v>127</v>
      </c>
      <c r="BE377">
        <v>4</v>
      </c>
      <c r="BF377" t="s">
        <v>128</v>
      </c>
      <c r="BG377">
        <v>45</v>
      </c>
      <c r="BM377" t="s">
        <v>129</v>
      </c>
      <c r="BN377">
        <v>0</v>
      </c>
      <c r="BT377" t="s">
        <v>140</v>
      </c>
      <c r="BU377" t="s">
        <v>128</v>
      </c>
      <c r="BV377" t="s">
        <v>2291</v>
      </c>
      <c r="BY377" t="s">
        <v>352</v>
      </c>
    </row>
    <row r="378" spans="1:110" x14ac:dyDescent="0.2">
      <c r="A378" t="s">
        <v>111</v>
      </c>
      <c r="B378" t="b">
        <v>1</v>
      </c>
      <c r="E378">
        <v>460</v>
      </c>
      <c r="F378" t="str">
        <f>HYPERLINK("https://portal.dnb.de/opac.htm?method=simpleSearch&amp;cqlMode=true&amp;query=idn%3D1003965326", "Portal")</f>
        <v>Portal</v>
      </c>
      <c r="G378" t="s">
        <v>112</v>
      </c>
      <c r="H378" t="s">
        <v>2292</v>
      </c>
      <c r="I378" t="s">
        <v>2293</v>
      </c>
      <c r="J378" t="s">
        <v>2294</v>
      </c>
      <c r="K378" t="s">
        <v>2294</v>
      </c>
      <c r="L378" t="s">
        <v>2295</v>
      </c>
      <c r="N378" t="s">
        <v>2296</v>
      </c>
      <c r="O378" t="s">
        <v>118</v>
      </c>
      <c r="R378" t="s">
        <v>119</v>
      </c>
      <c r="S378" t="s">
        <v>120</v>
      </c>
      <c r="T378" t="s">
        <v>136</v>
      </c>
      <c r="U378" t="s">
        <v>2297</v>
      </c>
      <c r="W378" t="s">
        <v>138</v>
      </c>
      <c r="X378" t="s">
        <v>203</v>
      </c>
      <c r="Y378">
        <v>1</v>
      </c>
      <c r="AI378" t="s">
        <v>125</v>
      </c>
      <c r="AJ378" t="s">
        <v>1798</v>
      </c>
      <c r="AM378" t="s">
        <v>126</v>
      </c>
      <c r="AN378" t="s">
        <v>128</v>
      </c>
      <c r="AS378" t="s">
        <v>127</v>
      </c>
      <c r="BG378">
        <v>110</v>
      </c>
      <c r="BM378" t="s">
        <v>129</v>
      </c>
      <c r="BN378">
        <v>0</v>
      </c>
      <c r="BT378" t="s">
        <v>140</v>
      </c>
      <c r="BU378" t="s">
        <v>128</v>
      </c>
      <c r="BY378" t="s">
        <v>414</v>
      </c>
    </row>
    <row r="379" spans="1:110" x14ac:dyDescent="0.2">
      <c r="A379" t="s">
        <v>111</v>
      </c>
      <c r="B379" t="b">
        <v>1</v>
      </c>
      <c r="F379" t="str">
        <f>HYPERLINK("https://portal.dnb.de/opac.htm?method=simpleSearch&amp;cqlMode=true&amp;query=idn%3D1140145185", "Portal")</f>
        <v>Portal</v>
      </c>
      <c r="G379" t="s">
        <v>157</v>
      </c>
      <c r="H379" t="s">
        <v>2298</v>
      </c>
      <c r="I379" t="s">
        <v>2299</v>
      </c>
      <c r="J379" t="s">
        <v>2300</v>
      </c>
      <c r="K379" t="s">
        <v>2300</v>
      </c>
      <c r="L379" t="s">
        <v>2300</v>
      </c>
      <c r="N379" t="s">
        <v>2301</v>
      </c>
      <c r="O379" t="s">
        <v>118</v>
      </c>
      <c r="R379" t="s">
        <v>188</v>
      </c>
      <c r="S379" t="s">
        <v>120</v>
      </c>
      <c r="T379" t="s">
        <v>136</v>
      </c>
      <c r="U379" t="s">
        <v>2302</v>
      </c>
      <c r="W379" t="s">
        <v>67</v>
      </c>
      <c r="X379" t="s">
        <v>175</v>
      </c>
      <c r="Y379">
        <v>1</v>
      </c>
      <c r="AI379" t="s">
        <v>190</v>
      </c>
      <c r="AM379" t="s">
        <v>204</v>
      </c>
      <c r="AS379" t="s">
        <v>127</v>
      </c>
      <c r="BE379">
        <v>2</v>
      </c>
      <c r="BF379" t="s">
        <v>128</v>
      </c>
      <c r="BG379">
        <v>45</v>
      </c>
      <c r="BM379" t="s">
        <v>129</v>
      </c>
      <c r="BN379">
        <v>0</v>
      </c>
      <c r="BP379" t="s">
        <v>177</v>
      </c>
    </row>
    <row r="380" spans="1:110" x14ac:dyDescent="0.2">
      <c r="A380" t="s">
        <v>111</v>
      </c>
      <c r="B380" t="b">
        <v>1</v>
      </c>
      <c r="C380" t="s">
        <v>128</v>
      </c>
      <c r="F380" t="str">
        <f>HYPERLINK("https://portal.dnb.de/opac.htm?method=simpleSearch&amp;cqlMode=true&amp;query=idn%3D1138379638", "Portal")</f>
        <v>Portal</v>
      </c>
      <c r="G380" t="s">
        <v>157</v>
      </c>
      <c r="H380" t="s">
        <v>2303</v>
      </c>
      <c r="I380" t="s">
        <v>2304</v>
      </c>
      <c r="J380" t="s">
        <v>2305</v>
      </c>
      <c r="K380" t="s">
        <v>2305</v>
      </c>
      <c r="L380" t="s">
        <v>2305</v>
      </c>
      <c r="N380" t="s">
        <v>2306</v>
      </c>
      <c r="O380" t="s">
        <v>118</v>
      </c>
      <c r="Q380" t="s">
        <v>1154</v>
      </c>
      <c r="R380" t="s">
        <v>467</v>
      </c>
      <c r="S380" t="s">
        <v>120</v>
      </c>
      <c r="T380" t="s">
        <v>136</v>
      </c>
      <c r="U380" t="s">
        <v>1754</v>
      </c>
      <c r="W380" t="s">
        <v>138</v>
      </c>
      <c r="X380" t="s">
        <v>203</v>
      </c>
      <c r="Y380">
        <v>2</v>
      </c>
      <c r="AI380" t="s">
        <v>469</v>
      </c>
      <c r="AM380" t="s">
        <v>191</v>
      </c>
      <c r="AS380" t="s">
        <v>127</v>
      </c>
      <c r="BE380">
        <v>4</v>
      </c>
      <c r="BG380" t="s">
        <v>176</v>
      </c>
      <c r="BM380" t="s">
        <v>206</v>
      </c>
      <c r="BN380">
        <v>1.5</v>
      </c>
      <c r="BT380" t="s">
        <v>140</v>
      </c>
      <c r="BU380" t="s">
        <v>128</v>
      </c>
      <c r="BY380" t="s">
        <v>1142</v>
      </c>
      <c r="CA380" t="s">
        <v>128</v>
      </c>
      <c r="CB380" t="s">
        <v>128</v>
      </c>
      <c r="CM380">
        <v>1.5</v>
      </c>
      <c r="CN380" t="s">
        <v>2307</v>
      </c>
    </row>
    <row r="381" spans="1:110" x14ac:dyDescent="0.2">
      <c r="A381" t="s">
        <v>111</v>
      </c>
      <c r="B381" t="b">
        <v>1</v>
      </c>
      <c r="E381">
        <v>465</v>
      </c>
      <c r="F381" t="str">
        <f>HYPERLINK("https://portal.dnb.de/opac.htm?method=simpleSearch&amp;cqlMode=true&amp;query=idn%3D106696162X", "Portal")</f>
        <v>Portal</v>
      </c>
      <c r="G381" t="s">
        <v>163</v>
      </c>
      <c r="H381" t="s">
        <v>2308</v>
      </c>
      <c r="I381" t="s">
        <v>2309</v>
      </c>
      <c r="J381" t="s">
        <v>2310</v>
      </c>
      <c r="K381" t="s">
        <v>2310</v>
      </c>
      <c r="L381" t="s">
        <v>2311</v>
      </c>
      <c r="N381" t="s">
        <v>2312</v>
      </c>
      <c r="O381" t="s">
        <v>118</v>
      </c>
      <c r="R381" t="s">
        <v>188</v>
      </c>
      <c r="S381" t="s">
        <v>120</v>
      </c>
      <c r="T381" t="s">
        <v>136</v>
      </c>
      <c r="U381" t="s">
        <v>716</v>
      </c>
      <c r="W381" t="s">
        <v>138</v>
      </c>
      <c r="X381" t="s">
        <v>203</v>
      </c>
      <c r="Y381">
        <v>3</v>
      </c>
      <c r="AH381" t="s">
        <v>128</v>
      </c>
      <c r="AI381" t="s">
        <v>190</v>
      </c>
      <c r="AM381" t="s">
        <v>204</v>
      </c>
      <c r="AS381" t="s">
        <v>127</v>
      </c>
      <c r="BE381">
        <v>4</v>
      </c>
      <c r="BG381">
        <v>80</v>
      </c>
      <c r="BM381" t="s">
        <v>129</v>
      </c>
      <c r="BN381">
        <v>0</v>
      </c>
      <c r="BT381" t="s">
        <v>140</v>
      </c>
      <c r="BU381" t="s">
        <v>128</v>
      </c>
      <c r="BY381" t="s">
        <v>1056</v>
      </c>
    </row>
    <row r="382" spans="1:110" x14ac:dyDescent="0.2">
      <c r="A382" t="s">
        <v>111</v>
      </c>
      <c r="B382" t="b">
        <v>1</v>
      </c>
      <c r="C382" t="s">
        <v>128</v>
      </c>
      <c r="F382" t="str">
        <f>HYPERLINK("https://portal.dnb.de/opac.htm?method=simpleSearch&amp;cqlMode=true&amp;query=idn%3D1149377879", "Portal")</f>
        <v>Portal</v>
      </c>
      <c r="G382" t="s">
        <v>157</v>
      </c>
      <c r="H382" t="s">
        <v>2313</v>
      </c>
      <c r="I382" t="s">
        <v>2314</v>
      </c>
      <c r="J382" t="s">
        <v>2315</v>
      </c>
      <c r="K382" t="s">
        <v>2315</v>
      </c>
      <c r="L382" t="s">
        <v>2315</v>
      </c>
      <c r="N382" t="s">
        <v>220</v>
      </c>
      <c r="O382" t="s">
        <v>118</v>
      </c>
      <c r="P382" t="s">
        <v>135</v>
      </c>
      <c r="Q382" t="s">
        <v>2316</v>
      </c>
      <c r="R382" t="s">
        <v>467</v>
      </c>
      <c r="S382" t="s">
        <v>120</v>
      </c>
      <c r="T382" t="s">
        <v>136</v>
      </c>
      <c r="W382" t="s">
        <v>67</v>
      </c>
      <c r="X382" t="s">
        <v>175</v>
      </c>
      <c r="Y382">
        <v>1</v>
      </c>
      <c r="AI382" t="s">
        <v>190</v>
      </c>
      <c r="AM382" t="s">
        <v>191</v>
      </c>
      <c r="AS382" t="s">
        <v>127</v>
      </c>
      <c r="BG382" t="s">
        <v>249</v>
      </c>
      <c r="BH382" t="s">
        <v>1687</v>
      </c>
      <c r="BI382" t="s">
        <v>128</v>
      </c>
      <c r="BM382" t="s">
        <v>900</v>
      </c>
      <c r="BN382">
        <v>6</v>
      </c>
      <c r="BP382" t="s">
        <v>177</v>
      </c>
      <c r="BV382" t="s">
        <v>2317</v>
      </c>
      <c r="CD382" t="s">
        <v>296</v>
      </c>
      <c r="CL382" t="s">
        <v>128</v>
      </c>
      <c r="CM382">
        <v>6</v>
      </c>
      <c r="CN382" t="s">
        <v>2318</v>
      </c>
    </row>
    <row r="383" spans="1:110" x14ac:dyDescent="0.2">
      <c r="A383" t="s">
        <v>111</v>
      </c>
      <c r="B383" t="b">
        <v>1</v>
      </c>
      <c r="E383">
        <v>468</v>
      </c>
      <c r="F383" t="str">
        <f>HYPERLINK("https://portal.dnb.de/opac.htm?method=simpleSearch&amp;cqlMode=true&amp;query=idn%3D1003866298", "Portal")</f>
        <v>Portal</v>
      </c>
      <c r="G383" t="s">
        <v>112</v>
      </c>
      <c r="H383" t="s">
        <v>2319</v>
      </c>
      <c r="I383" t="s">
        <v>2320</v>
      </c>
      <c r="J383" t="s">
        <v>2321</v>
      </c>
      <c r="K383" t="s">
        <v>2321</v>
      </c>
      <c r="L383" t="s">
        <v>2322</v>
      </c>
      <c r="N383" t="s">
        <v>2323</v>
      </c>
      <c r="O383" t="s">
        <v>118</v>
      </c>
      <c r="R383" t="s">
        <v>188</v>
      </c>
      <c r="S383" t="s">
        <v>120</v>
      </c>
      <c r="T383" t="s">
        <v>136</v>
      </c>
      <c r="U383" t="s">
        <v>2170</v>
      </c>
      <c r="W383" t="s">
        <v>67</v>
      </c>
      <c r="X383" t="s">
        <v>175</v>
      </c>
      <c r="Y383">
        <v>0</v>
      </c>
      <c r="AH383" t="s">
        <v>128</v>
      </c>
      <c r="AI383" t="s">
        <v>190</v>
      </c>
      <c r="AL383" t="s">
        <v>128</v>
      </c>
      <c r="AM383" t="s">
        <v>204</v>
      </c>
      <c r="AS383" t="s">
        <v>127</v>
      </c>
      <c r="AX383" t="s">
        <v>128</v>
      </c>
      <c r="BE383">
        <v>0</v>
      </c>
      <c r="BF383" t="s">
        <v>128</v>
      </c>
      <c r="BG383">
        <v>110</v>
      </c>
      <c r="BM383" t="s">
        <v>129</v>
      </c>
      <c r="BN383">
        <v>0</v>
      </c>
      <c r="BP383" t="s">
        <v>177</v>
      </c>
    </row>
    <row r="384" spans="1:110" x14ac:dyDescent="0.2">
      <c r="A384" t="s">
        <v>111</v>
      </c>
      <c r="B384" t="b">
        <v>1</v>
      </c>
      <c r="E384">
        <v>469</v>
      </c>
      <c r="F384" t="str">
        <f>HYPERLINK("https://portal.dnb.de/opac.htm?method=simpleSearch&amp;cqlMode=true&amp;query=idn%3D1003854648", "Portal")</f>
        <v>Portal</v>
      </c>
      <c r="G384" t="s">
        <v>207</v>
      </c>
      <c r="H384" t="s">
        <v>2324</v>
      </c>
      <c r="I384" t="s">
        <v>2325</v>
      </c>
      <c r="J384" t="s">
        <v>2326</v>
      </c>
      <c r="K384" t="s">
        <v>2326</v>
      </c>
      <c r="L384" t="s">
        <v>2327</v>
      </c>
      <c r="N384" t="s">
        <v>2328</v>
      </c>
      <c r="O384" t="s">
        <v>1149</v>
      </c>
      <c r="R384" t="s">
        <v>188</v>
      </c>
      <c r="S384" t="s">
        <v>120</v>
      </c>
      <c r="T384" t="s">
        <v>136</v>
      </c>
      <c r="U384" t="s">
        <v>423</v>
      </c>
      <c r="W384" t="s">
        <v>138</v>
      </c>
      <c r="X384" t="s">
        <v>203</v>
      </c>
      <c r="Y384">
        <v>0</v>
      </c>
      <c r="AI384" t="s">
        <v>190</v>
      </c>
      <c r="AM384" t="s">
        <v>204</v>
      </c>
      <c r="AS384" t="s">
        <v>127</v>
      </c>
      <c r="BG384" t="s">
        <v>176</v>
      </c>
      <c r="BM384" t="s">
        <v>129</v>
      </c>
      <c r="BN384">
        <v>0</v>
      </c>
      <c r="BT384" t="s">
        <v>140</v>
      </c>
      <c r="BU384" t="s">
        <v>128</v>
      </c>
      <c r="BY384" t="s">
        <v>2151</v>
      </c>
    </row>
    <row r="385" spans="1:77" x14ac:dyDescent="0.2">
      <c r="A385" t="s">
        <v>111</v>
      </c>
      <c r="B385" t="b">
        <v>1</v>
      </c>
      <c r="E385">
        <v>470</v>
      </c>
      <c r="F385" t="str">
        <f>HYPERLINK("https://portal.dnb.de/opac.htm?method=simpleSearch&amp;cqlMode=true&amp;query=idn%3D1003937853", "Portal")</f>
        <v>Portal</v>
      </c>
      <c r="G385" t="s">
        <v>112</v>
      </c>
      <c r="H385" t="s">
        <v>2329</v>
      </c>
      <c r="I385" t="s">
        <v>2330</v>
      </c>
      <c r="J385" t="s">
        <v>2331</v>
      </c>
      <c r="K385" t="s">
        <v>2331</v>
      </c>
      <c r="L385" t="s">
        <v>2332</v>
      </c>
      <c r="N385" t="s">
        <v>2333</v>
      </c>
      <c r="O385" t="s">
        <v>118</v>
      </c>
      <c r="P385" t="s">
        <v>135</v>
      </c>
      <c r="R385" t="s">
        <v>188</v>
      </c>
      <c r="S385" t="s">
        <v>120</v>
      </c>
      <c r="T385" t="s">
        <v>136</v>
      </c>
      <c r="W385" t="s">
        <v>138</v>
      </c>
      <c r="X385" t="s">
        <v>203</v>
      </c>
      <c r="Y385">
        <v>2</v>
      </c>
      <c r="AI385" t="s">
        <v>469</v>
      </c>
      <c r="AM385" t="s">
        <v>191</v>
      </c>
      <c r="AS385" t="s">
        <v>127</v>
      </c>
      <c r="BG385" t="s">
        <v>249</v>
      </c>
      <c r="BM385" t="s">
        <v>129</v>
      </c>
      <c r="BN385">
        <v>0</v>
      </c>
      <c r="BT385" t="s">
        <v>140</v>
      </c>
      <c r="BU385" t="s">
        <v>128</v>
      </c>
      <c r="BV385" t="s">
        <v>2291</v>
      </c>
      <c r="BY385" t="s">
        <v>2334</v>
      </c>
    </row>
    <row r="386" spans="1:77" x14ac:dyDescent="0.2">
      <c r="A386" t="s">
        <v>111</v>
      </c>
      <c r="B386" t="b">
        <v>1</v>
      </c>
      <c r="E386">
        <v>471</v>
      </c>
      <c r="F386" t="str">
        <f>HYPERLINK("https://portal.dnb.de/opac.htm?method=simpleSearch&amp;cqlMode=true&amp;query=idn%3D1003929516", "Portal")</f>
        <v>Portal</v>
      </c>
      <c r="G386" t="s">
        <v>112</v>
      </c>
      <c r="H386" t="s">
        <v>2335</v>
      </c>
      <c r="I386" t="s">
        <v>2336</v>
      </c>
      <c r="J386" t="s">
        <v>2337</v>
      </c>
      <c r="K386" t="s">
        <v>2337</v>
      </c>
      <c r="L386" t="s">
        <v>2338</v>
      </c>
      <c r="N386" t="s">
        <v>2339</v>
      </c>
      <c r="O386" t="s">
        <v>118</v>
      </c>
      <c r="R386" t="s">
        <v>1590</v>
      </c>
      <c r="S386" t="s">
        <v>120</v>
      </c>
      <c r="T386" t="s">
        <v>156</v>
      </c>
      <c r="W386" t="s">
        <v>138</v>
      </c>
      <c r="X386" t="s">
        <v>2340</v>
      </c>
      <c r="Y386">
        <v>1</v>
      </c>
      <c r="AI386" t="s">
        <v>390</v>
      </c>
      <c r="AS386" t="s">
        <v>127</v>
      </c>
      <c r="BG386" t="s">
        <v>249</v>
      </c>
      <c r="BM386" t="s">
        <v>129</v>
      </c>
      <c r="BN386">
        <v>0</v>
      </c>
      <c r="BT386" t="s">
        <v>128</v>
      </c>
      <c r="BY386" t="s">
        <v>1594</v>
      </c>
    </row>
    <row r="387" spans="1:77" x14ac:dyDescent="0.2">
      <c r="A387" t="s">
        <v>111</v>
      </c>
      <c r="B387" t="b">
        <v>1</v>
      </c>
      <c r="E387">
        <v>472</v>
      </c>
      <c r="F387" t="str">
        <f>HYPERLINK("https://portal.dnb.de/opac.htm?method=simpleSearch&amp;cqlMode=true&amp;query=idn%3D1066835551", "Portal")</f>
        <v>Portal</v>
      </c>
      <c r="G387" t="s">
        <v>163</v>
      </c>
      <c r="H387" t="s">
        <v>2341</v>
      </c>
      <c r="I387" t="s">
        <v>2342</v>
      </c>
      <c r="J387" t="s">
        <v>2343</v>
      </c>
      <c r="K387" t="s">
        <v>2343</v>
      </c>
      <c r="L387" t="s">
        <v>2344</v>
      </c>
      <c r="N387" t="s">
        <v>2345</v>
      </c>
      <c r="O387" t="s">
        <v>118</v>
      </c>
      <c r="P387" t="s">
        <v>135</v>
      </c>
      <c r="R387" t="s">
        <v>119</v>
      </c>
      <c r="S387" t="s">
        <v>120</v>
      </c>
      <c r="T387" t="s">
        <v>136</v>
      </c>
      <c r="U387" t="s">
        <v>519</v>
      </c>
      <c r="W387" t="s">
        <v>67</v>
      </c>
      <c r="X387" t="s">
        <v>175</v>
      </c>
      <c r="Y387">
        <v>0</v>
      </c>
      <c r="AI387" t="s">
        <v>125</v>
      </c>
      <c r="AJ387" t="s">
        <v>1798</v>
      </c>
      <c r="AM387" t="s">
        <v>126</v>
      </c>
      <c r="AN387" t="s">
        <v>128</v>
      </c>
      <c r="AS387" t="s">
        <v>127</v>
      </c>
      <c r="BG387">
        <v>80</v>
      </c>
      <c r="BM387" t="s">
        <v>129</v>
      </c>
      <c r="BN387">
        <v>0</v>
      </c>
      <c r="BP387" t="s">
        <v>177</v>
      </c>
    </row>
    <row r="388" spans="1:77" x14ac:dyDescent="0.2">
      <c r="A388" t="s">
        <v>111</v>
      </c>
      <c r="B388" t="b">
        <v>1</v>
      </c>
      <c r="E388">
        <v>473</v>
      </c>
      <c r="F388" t="str">
        <f>HYPERLINK("https://portal.dnb.de/opac.htm?method=simpleSearch&amp;cqlMode=true&amp;query=idn%3D1003866638", "Portal")</f>
        <v>Portal</v>
      </c>
      <c r="G388" t="s">
        <v>112</v>
      </c>
      <c r="H388" t="s">
        <v>2346</v>
      </c>
      <c r="I388" t="s">
        <v>2347</v>
      </c>
      <c r="J388" t="s">
        <v>2348</v>
      </c>
      <c r="K388" t="s">
        <v>2348</v>
      </c>
      <c r="L388" t="s">
        <v>2349</v>
      </c>
      <c r="N388" t="s">
        <v>2350</v>
      </c>
      <c r="O388" t="s">
        <v>118</v>
      </c>
      <c r="P388" t="s">
        <v>135</v>
      </c>
      <c r="R388" t="s">
        <v>188</v>
      </c>
      <c r="S388" t="s">
        <v>120</v>
      </c>
      <c r="T388" t="s">
        <v>121</v>
      </c>
      <c r="U388" t="s">
        <v>423</v>
      </c>
      <c r="W388" t="s">
        <v>67</v>
      </c>
      <c r="X388" t="s">
        <v>175</v>
      </c>
      <c r="Y388">
        <v>0</v>
      </c>
      <c r="AH388" t="s">
        <v>128</v>
      </c>
      <c r="AI388" t="s">
        <v>190</v>
      </c>
      <c r="AM388" t="s">
        <v>204</v>
      </c>
      <c r="AS388" t="s">
        <v>127</v>
      </c>
      <c r="BE388">
        <v>4</v>
      </c>
      <c r="BF388" t="s">
        <v>128</v>
      </c>
      <c r="BG388">
        <v>0</v>
      </c>
      <c r="BH388" t="s">
        <v>2351</v>
      </c>
      <c r="BM388" t="s">
        <v>129</v>
      </c>
      <c r="BN388">
        <v>0</v>
      </c>
      <c r="BP388" t="s">
        <v>177</v>
      </c>
    </row>
    <row r="389" spans="1:77" x14ac:dyDescent="0.2">
      <c r="A389" t="s">
        <v>111</v>
      </c>
      <c r="B389" t="b">
        <v>1</v>
      </c>
      <c r="E389">
        <v>474</v>
      </c>
      <c r="F389" t="str">
        <f>HYPERLINK("https://portal.dnb.de/opac.htm?method=simpleSearch&amp;cqlMode=true&amp;query=idn%3D1003938426", "Portal")</f>
        <v>Portal</v>
      </c>
      <c r="G389" t="s">
        <v>112</v>
      </c>
      <c r="H389" t="s">
        <v>2352</v>
      </c>
      <c r="I389" t="s">
        <v>2353</v>
      </c>
      <c r="J389" t="s">
        <v>2354</v>
      </c>
      <c r="K389" t="s">
        <v>2354</v>
      </c>
      <c r="L389" t="s">
        <v>2355</v>
      </c>
      <c r="N389" t="s">
        <v>2356</v>
      </c>
      <c r="O389" t="s">
        <v>118</v>
      </c>
      <c r="R389" t="s">
        <v>618</v>
      </c>
      <c r="S389" t="s">
        <v>120</v>
      </c>
      <c r="T389" t="s">
        <v>156</v>
      </c>
      <c r="X389" t="s">
        <v>124</v>
      </c>
      <c r="Y389">
        <v>0</v>
      </c>
      <c r="AI389" t="s">
        <v>621</v>
      </c>
      <c r="AM389" t="s">
        <v>191</v>
      </c>
      <c r="AS389" t="s">
        <v>127</v>
      </c>
      <c r="BG389">
        <v>110</v>
      </c>
      <c r="BM389" t="s">
        <v>129</v>
      </c>
      <c r="BN389">
        <v>0</v>
      </c>
    </row>
    <row r="390" spans="1:77" x14ac:dyDescent="0.2">
      <c r="A390" t="s">
        <v>111</v>
      </c>
      <c r="B390" t="b">
        <v>1</v>
      </c>
      <c r="E390">
        <v>475</v>
      </c>
      <c r="F390" t="str">
        <f>HYPERLINK("https://portal.dnb.de/opac.htm?method=simpleSearch&amp;cqlMode=true&amp;query=idn%3D1003972322", "Portal")</f>
        <v>Portal</v>
      </c>
      <c r="G390" t="s">
        <v>112</v>
      </c>
      <c r="H390" t="s">
        <v>2357</v>
      </c>
      <c r="I390" t="s">
        <v>2358</v>
      </c>
      <c r="J390" t="s">
        <v>2359</v>
      </c>
      <c r="K390" t="s">
        <v>2359</v>
      </c>
      <c r="L390" t="s">
        <v>2360</v>
      </c>
      <c r="N390" t="s">
        <v>2361</v>
      </c>
      <c r="O390" t="s">
        <v>118</v>
      </c>
      <c r="P390" t="s">
        <v>135</v>
      </c>
      <c r="R390" t="s">
        <v>147</v>
      </c>
      <c r="S390" t="s">
        <v>120</v>
      </c>
      <c r="T390" t="s">
        <v>156</v>
      </c>
      <c r="U390" t="s">
        <v>148</v>
      </c>
      <c r="X390" t="s">
        <v>124</v>
      </c>
      <c r="Y390">
        <v>0</v>
      </c>
      <c r="AI390" t="s">
        <v>127</v>
      </c>
      <c r="AM390" t="s">
        <v>150</v>
      </c>
      <c r="AS390" t="s">
        <v>127</v>
      </c>
      <c r="BG390">
        <v>180</v>
      </c>
      <c r="BM390" t="s">
        <v>129</v>
      </c>
      <c r="BN390">
        <v>0</v>
      </c>
    </row>
    <row r="391" spans="1:77" x14ac:dyDescent="0.2">
      <c r="A391" t="s">
        <v>111</v>
      </c>
      <c r="B391" t="b">
        <v>1</v>
      </c>
      <c r="E391">
        <v>476</v>
      </c>
      <c r="F391" t="str">
        <f>HYPERLINK("https://portal.dnb.de/opac.htm?method=simpleSearch&amp;cqlMode=true&amp;query=idn%3D1066694478", "Portal")</f>
        <v>Portal</v>
      </c>
      <c r="G391" t="s">
        <v>163</v>
      </c>
      <c r="H391" t="s">
        <v>2362</v>
      </c>
      <c r="I391" t="s">
        <v>2363</v>
      </c>
      <c r="J391" t="s">
        <v>2364</v>
      </c>
      <c r="K391" t="s">
        <v>2364</v>
      </c>
      <c r="L391" t="s">
        <v>2365</v>
      </c>
      <c r="N391" t="s">
        <v>2366</v>
      </c>
      <c r="O391" t="s">
        <v>118</v>
      </c>
      <c r="P391" t="s">
        <v>135</v>
      </c>
      <c r="R391" t="s">
        <v>1590</v>
      </c>
      <c r="S391" t="s">
        <v>120</v>
      </c>
      <c r="T391" t="s">
        <v>121</v>
      </c>
      <c r="U391" t="s">
        <v>2367</v>
      </c>
      <c r="W391" t="s">
        <v>68</v>
      </c>
      <c r="X391" t="s">
        <v>606</v>
      </c>
      <c r="Y391">
        <v>0</v>
      </c>
      <c r="AI391" t="s">
        <v>390</v>
      </c>
      <c r="AS391" t="s">
        <v>127</v>
      </c>
      <c r="AV391" t="s">
        <v>128</v>
      </c>
      <c r="AY391" t="s">
        <v>128</v>
      </c>
      <c r="BG391">
        <v>0</v>
      </c>
      <c r="BH391" t="s">
        <v>2368</v>
      </c>
      <c r="BM391" t="s">
        <v>129</v>
      </c>
      <c r="BN391">
        <v>0</v>
      </c>
      <c r="BQ391" t="s">
        <v>128</v>
      </c>
      <c r="BT391" t="s">
        <v>2369</v>
      </c>
    </row>
    <row r="392" spans="1:77" x14ac:dyDescent="0.2">
      <c r="A392" t="s">
        <v>111</v>
      </c>
      <c r="B392" t="b">
        <v>1</v>
      </c>
      <c r="E392">
        <v>477</v>
      </c>
      <c r="F392" t="str">
        <f>HYPERLINK("https://portal.dnb.de/opac.htm?method=simpleSearch&amp;cqlMode=true&amp;query=idn%3D999175041", "Portal")</f>
        <v>Portal</v>
      </c>
      <c r="G392" t="s">
        <v>112</v>
      </c>
      <c r="H392" t="s">
        <v>2370</v>
      </c>
      <c r="I392" t="s">
        <v>2371</v>
      </c>
      <c r="J392" t="s">
        <v>2372</v>
      </c>
      <c r="K392" t="s">
        <v>2372</v>
      </c>
      <c r="L392" t="s">
        <v>2373</v>
      </c>
      <c r="N392" t="s">
        <v>2374</v>
      </c>
      <c r="O392" t="s">
        <v>118</v>
      </c>
      <c r="P392" t="s">
        <v>135</v>
      </c>
      <c r="R392" t="s">
        <v>162</v>
      </c>
      <c r="S392" t="s">
        <v>120</v>
      </c>
      <c r="T392" t="s">
        <v>156</v>
      </c>
      <c r="U392" t="s">
        <v>148</v>
      </c>
      <c r="X392" t="s">
        <v>124</v>
      </c>
      <c r="Y392">
        <v>0</v>
      </c>
      <c r="AI392" t="s">
        <v>149</v>
      </c>
      <c r="AM392" t="s">
        <v>150</v>
      </c>
      <c r="AS392" t="s">
        <v>127</v>
      </c>
      <c r="BG392">
        <v>110</v>
      </c>
      <c r="BM392" t="s">
        <v>129</v>
      </c>
      <c r="BN392">
        <v>0</v>
      </c>
    </row>
    <row r="393" spans="1:77" x14ac:dyDescent="0.2">
      <c r="A393" t="s">
        <v>111</v>
      </c>
      <c r="B393" t="b">
        <v>1</v>
      </c>
      <c r="E393">
        <v>478</v>
      </c>
      <c r="F393" t="str">
        <f>HYPERLINK("https://portal.dnb.de/opac.htm?method=simpleSearch&amp;cqlMode=true&amp;query=idn%3D1003866751", "Portal")</f>
        <v>Portal</v>
      </c>
      <c r="G393" t="s">
        <v>112</v>
      </c>
      <c r="H393" t="s">
        <v>2375</v>
      </c>
      <c r="I393" t="s">
        <v>2376</v>
      </c>
      <c r="J393" t="s">
        <v>2377</v>
      </c>
      <c r="K393" t="s">
        <v>2378</v>
      </c>
      <c r="L393" t="s">
        <v>2379</v>
      </c>
      <c r="N393" t="s">
        <v>2380</v>
      </c>
      <c r="O393" t="s">
        <v>118</v>
      </c>
      <c r="P393" t="s">
        <v>135</v>
      </c>
      <c r="R393" t="s">
        <v>188</v>
      </c>
      <c r="S393" t="s">
        <v>120</v>
      </c>
      <c r="T393" t="s">
        <v>136</v>
      </c>
      <c r="U393" t="s">
        <v>364</v>
      </c>
      <c r="W393" t="s">
        <v>365</v>
      </c>
      <c r="X393" t="s">
        <v>175</v>
      </c>
      <c r="Y393">
        <v>0</v>
      </c>
      <c r="AH393" t="s">
        <v>128</v>
      </c>
      <c r="AI393" t="s">
        <v>190</v>
      </c>
      <c r="AM393" t="s">
        <v>204</v>
      </c>
      <c r="AS393" t="s">
        <v>127</v>
      </c>
      <c r="BE393">
        <v>2</v>
      </c>
      <c r="BF393" t="s">
        <v>128</v>
      </c>
      <c r="BG393">
        <v>80</v>
      </c>
      <c r="BM393" t="s">
        <v>129</v>
      </c>
      <c r="BN393">
        <v>0</v>
      </c>
      <c r="BS393" t="s">
        <v>140</v>
      </c>
      <c r="BU393" t="s">
        <v>128</v>
      </c>
      <c r="BY393" t="s">
        <v>1056</v>
      </c>
    </row>
    <row r="394" spans="1:77" x14ac:dyDescent="0.2">
      <c r="A394" t="s">
        <v>111</v>
      </c>
      <c r="B394" t="b">
        <v>1</v>
      </c>
      <c r="F394" t="str">
        <f>HYPERLINK("https://portal.dnb.de/opac.htm?method=simpleSearch&amp;cqlMode=true&amp;query=idn%3D1140935909", "Portal")</f>
        <v>Portal</v>
      </c>
      <c r="G394" t="s">
        <v>157</v>
      </c>
      <c r="H394" t="s">
        <v>2381</v>
      </c>
      <c r="I394" t="s">
        <v>2382</v>
      </c>
      <c r="J394" t="s">
        <v>2383</v>
      </c>
      <c r="K394" t="s">
        <v>2383</v>
      </c>
      <c r="L394" t="s">
        <v>2383</v>
      </c>
      <c r="N394" t="s">
        <v>2384</v>
      </c>
      <c r="O394" t="s">
        <v>118</v>
      </c>
      <c r="R394" t="s">
        <v>119</v>
      </c>
      <c r="S394" t="s">
        <v>120</v>
      </c>
      <c r="T394" t="s">
        <v>136</v>
      </c>
      <c r="U394" t="s">
        <v>378</v>
      </c>
      <c r="W394" t="s">
        <v>67</v>
      </c>
      <c r="X394" t="s">
        <v>175</v>
      </c>
      <c r="Y394">
        <v>0</v>
      </c>
      <c r="AH394" t="s">
        <v>128</v>
      </c>
      <c r="AI394" t="s">
        <v>190</v>
      </c>
      <c r="AM394" t="s">
        <v>191</v>
      </c>
      <c r="AS394" t="s">
        <v>127</v>
      </c>
      <c r="BE394">
        <v>2</v>
      </c>
      <c r="BG394" t="s">
        <v>176</v>
      </c>
      <c r="BM394" t="s">
        <v>129</v>
      </c>
      <c r="BN394">
        <v>0</v>
      </c>
      <c r="BP394" t="s">
        <v>177</v>
      </c>
    </row>
    <row r="395" spans="1:77" x14ac:dyDescent="0.2">
      <c r="A395" t="s">
        <v>111</v>
      </c>
      <c r="B395" t="b">
        <v>1</v>
      </c>
      <c r="E395">
        <v>481</v>
      </c>
      <c r="F395" t="str">
        <f>HYPERLINK("https://portal.dnb.de/opac.htm?method=simpleSearch&amp;cqlMode=true&amp;query=idn%3D1003867243", "Portal")</f>
        <v>Portal</v>
      </c>
      <c r="G395" t="s">
        <v>112</v>
      </c>
      <c r="H395" t="s">
        <v>2385</v>
      </c>
      <c r="I395" t="s">
        <v>2386</v>
      </c>
      <c r="J395" t="s">
        <v>2387</v>
      </c>
      <c r="K395" t="s">
        <v>2387</v>
      </c>
      <c r="L395" t="s">
        <v>2388</v>
      </c>
      <c r="N395" t="s">
        <v>2389</v>
      </c>
      <c r="O395" t="s">
        <v>118</v>
      </c>
      <c r="R395" t="s">
        <v>1590</v>
      </c>
      <c r="S395" t="s">
        <v>120</v>
      </c>
      <c r="T395" t="s">
        <v>156</v>
      </c>
      <c r="U395" t="s">
        <v>378</v>
      </c>
      <c r="W395" t="s">
        <v>138</v>
      </c>
      <c r="X395" t="s">
        <v>203</v>
      </c>
      <c r="Y395">
        <v>1</v>
      </c>
      <c r="AH395" t="s">
        <v>128</v>
      </c>
      <c r="AI395" t="s">
        <v>1591</v>
      </c>
      <c r="AM395" t="s">
        <v>126</v>
      </c>
      <c r="AS395" t="s">
        <v>127</v>
      </c>
      <c r="AV395" t="s">
        <v>128</v>
      </c>
      <c r="BE395">
        <v>0</v>
      </c>
      <c r="BG395" t="s">
        <v>249</v>
      </c>
      <c r="BM395" t="s">
        <v>129</v>
      </c>
      <c r="BN395">
        <v>0</v>
      </c>
      <c r="BS395" t="s">
        <v>140</v>
      </c>
      <c r="BU395" t="s">
        <v>128</v>
      </c>
      <c r="BY395" t="s">
        <v>1594</v>
      </c>
    </row>
    <row r="396" spans="1:77" x14ac:dyDescent="0.2">
      <c r="A396" t="s">
        <v>111</v>
      </c>
      <c r="B396" t="b">
        <v>1</v>
      </c>
      <c r="E396">
        <v>482</v>
      </c>
      <c r="F396" t="str">
        <f>HYPERLINK("https://portal.dnb.de/opac.htm?method=simpleSearch&amp;cqlMode=true&amp;query=idn%3D1066936625", "Portal")</f>
        <v>Portal</v>
      </c>
      <c r="G396" t="s">
        <v>163</v>
      </c>
      <c r="H396" t="s">
        <v>2390</v>
      </c>
      <c r="I396" t="s">
        <v>2391</v>
      </c>
      <c r="J396" t="s">
        <v>2392</v>
      </c>
      <c r="K396" t="s">
        <v>2392</v>
      </c>
      <c r="L396" t="s">
        <v>2393</v>
      </c>
      <c r="N396" t="s">
        <v>2394</v>
      </c>
      <c r="O396" t="s">
        <v>118</v>
      </c>
      <c r="R396" t="s">
        <v>467</v>
      </c>
      <c r="S396" t="s">
        <v>120</v>
      </c>
      <c r="T396" t="s">
        <v>136</v>
      </c>
      <c r="U396" t="s">
        <v>378</v>
      </c>
      <c r="W396" t="s">
        <v>67</v>
      </c>
      <c r="X396" t="s">
        <v>175</v>
      </c>
      <c r="Y396">
        <v>0</v>
      </c>
      <c r="AH396" t="s">
        <v>128</v>
      </c>
      <c r="AI396" t="s">
        <v>190</v>
      </c>
      <c r="AL396" t="s">
        <v>128</v>
      </c>
      <c r="AM396" t="s">
        <v>191</v>
      </c>
      <c r="AS396" t="s">
        <v>127</v>
      </c>
      <c r="AX396" t="s">
        <v>128</v>
      </c>
      <c r="BE396">
        <v>2</v>
      </c>
      <c r="BG396">
        <v>110</v>
      </c>
      <c r="BM396" t="s">
        <v>129</v>
      </c>
      <c r="BN396">
        <v>0</v>
      </c>
      <c r="BP396" t="s">
        <v>177</v>
      </c>
      <c r="BU396" t="s">
        <v>128</v>
      </c>
      <c r="BY396" t="s">
        <v>2395</v>
      </c>
    </row>
    <row r="397" spans="1:77" x14ac:dyDescent="0.2">
      <c r="A397" t="s">
        <v>111</v>
      </c>
      <c r="B397" t="b">
        <v>1</v>
      </c>
      <c r="F397" t="str">
        <f>HYPERLINK("https://portal.dnb.de/opac.htm?method=simpleSearch&amp;cqlMode=true&amp;query=idn%3D011910828", "Portal")</f>
        <v>Portal</v>
      </c>
      <c r="H397" t="s">
        <v>2396</v>
      </c>
      <c r="I397" t="s">
        <v>2397</v>
      </c>
      <c r="K397" t="s">
        <v>2398</v>
      </c>
      <c r="L397" t="s">
        <v>2398</v>
      </c>
      <c r="N397" t="s">
        <v>2399</v>
      </c>
      <c r="O397" t="s">
        <v>118</v>
      </c>
    </row>
    <row r="398" spans="1:77" x14ac:dyDescent="0.2">
      <c r="A398" t="s">
        <v>111</v>
      </c>
      <c r="B398" t="b">
        <v>1</v>
      </c>
      <c r="E398">
        <v>484</v>
      </c>
      <c r="F398" t="str">
        <f>HYPERLINK("https://portal.dnb.de/opac.htm?method=simpleSearch&amp;cqlMode=true&amp;query=idn%3D1140942557", "Portal")</f>
        <v>Portal</v>
      </c>
      <c r="G398" t="s">
        <v>207</v>
      </c>
      <c r="H398" t="s">
        <v>2400</v>
      </c>
      <c r="I398" t="s">
        <v>2401</v>
      </c>
      <c r="J398" t="s">
        <v>2398</v>
      </c>
      <c r="K398" t="s">
        <v>2398</v>
      </c>
      <c r="L398" t="s">
        <v>2402</v>
      </c>
      <c r="N398" t="s">
        <v>2403</v>
      </c>
      <c r="O398" t="s">
        <v>2404</v>
      </c>
      <c r="P398" t="s">
        <v>135</v>
      </c>
      <c r="R398" t="s">
        <v>147</v>
      </c>
      <c r="S398" t="s">
        <v>120</v>
      </c>
      <c r="T398" t="s">
        <v>136</v>
      </c>
      <c r="U398" t="s">
        <v>148</v>
      </c>
      <c r="Y398">
        <v>0</v>
      </c>
      <c r="AH398" t="s">
        <v>128</v>
      </c>
      <c r="AI398" t="s">
        <v>127</v>
      </c>
      <c r="AM398" t="s">
        <v>150</v>
      </c>
      <c r="AS398" t="s">
        <v>127</v>
      </c>
      <c r="BG398">
        <v>110</v>
      </c>
      <c r="BM398" t="s">
        <v>129</v>
      </c>
      <c r="BN398">
        <v>0</v>
      </c>
      <c r="BW398" t="s">
        <v>525</v>
      </c>
    </row>
    <row r="399" spans="1:77" x14ac:dyDescent="0.2">
      <c r="A399" t="s">
        <v>111</v>
      </c>
      <c r="B399" t="b">
        <v>1</v>
      </c>
      <c r="E399">
        <v>485</v>
      </c>
      <c r="F399" t="str">
        <f>HYPERLINK("https://portal.dnb.de/opac.htm?method=simpleSearch&amp;cqlMode=true&amp;query=idn%3D1140942786", "Portal")</f>
        <v>Portal</v>
      </c>
      <c r="G399" t="s">
        <v>207</v>
      </c>
      <c r="H399" t="s">
        <v>2405</v>
      </c>
      <c r="I399" t="s">
        <v>2406</v>
      </c>
      <c r="J399" t="s">
        <v>2398</v>
      </c>
      <c r="K399" t="s">
        <v>2398</v>
      </c>
      <c r="L399" t="s">
        <v>2407</v>
      </c>
      <c r="N399" t="s">
        <v>2403</v>
      </c>
      <c r="O399" t="s">
        <v>2408</v>
      </c>
      <c r="P399" t="s">
        <v>135</v>
      </c>
      <c r="R399" t="s">
        <v>147</v>
      </c>
      <c r="S399" t="s">
        <v>120</v>
      </c>
      <c r="T399" t="s">
        <v>136</v>
      </c>
      <c r="U399" t="s">
        <v>148</v>
      </c>
      <c r="Y399">
        <v>0</v>
      </c>
      <c r="AH399" t="s">
        <v>128</v>
      </c>
      <c r="AI399" t="s">
        <v>127</v>
      </c>
      <c r="AM399" t="s">
        <v>150</v>
      </c>
      <c r="AS399" t="s">
        <v>127</v>
      </c>
      <c r="BG399">
        <v>110</v>
      </c>
      <c r="BM399" t="s">
        <v>129</v>
      </c>
      <c r="BN399">
        <v>0</v>
      </c>
    </row>
    <row r="400" spans="1:77" x14ac:dyDescent="0.2">
      <c r="A400" t="s">
        <v>111</v>
      </c>
      <c r="B400" t="b">
        <v>1</v>
      </c>
      <c r="E400">
        <v>483</v>
      </c>
      <c r="F400" t="str">
        <f>HYPERLINK("https://portal.dnb.de/opac.htm?method=simpleSearch&amp;cqlMode=true&amp;query=idn%3D114094293X", "Portal")</f>
        <v>Portal</v>
      </c>
      <c r="G400" t="s">
        <v>207</v>
      </c>
      <c r="H400" t="s">
        <v>2409</v>
      </c>
      <c r="I400" t="s">
        <v>2410</v>
      </c>
      <c r="J400" t="s">
        <v>2398</v>
      </c>
      <c r="K400" t="s">
        <v>2398</v>
      </c>
      <c r="L400" t="s">
        <v>2411</v>
      </c>
      <c r="N400" t="s">
        <v>2403</v>
      </c>
      <c r="O400" t="s">
        <v>2412</v>
      </c>
      <c r="P400" t="s">
        <v>135</v>
      </c>
      <c r="R400" t="s">
        <v>147</v>
      </c>
      <c r="S400" t="s">
        <v>120</v>
      </c>
      <c r="T400" t="s">
        <v>156</v>
      </c>
      <c r="U400" t="s">
        <v>148</v>
      </c>
      <c r="Y400">
        <v>0</v>
      </c>
      <c r="AH400" t="s">
        <v>128</v>
      </c>
      <c r="AI400" t="s">
        <v>127</v>
      </c>
      <c r="AM400" t="s">
        <v>150</v>
      </c>
      <c r="AS400" t="s">
        <v>127</v>
      </c>
      <c r="BG400">
        <v>110</v>
      </c>
      <c r="BM400" t="s">
        <v>129</v>
      </c>
      <c r="BN400">
        <v>0</v>
      </c>
    </row>
    <row r="401" spans="1:110" x14ac:dyDescent="0.2">
      <c r="A401" t="s">
        <v>111</v>
      </c>
      <c r="B401" t="b">
        <v>1</v>
      </c>
      <c r="E401">
        <v>487</v>
      </c>
      <c r="F401" t="str">
        <f>HYPERLINK("https://portal.dnb.de/opac.htm?method=simpleSearch&amp;cqlMode=true&amp;query=idn%3D100398925X", "Portal")</f>
        <v>Portal</v>
      </c>
      <c r="G401" t="s">
        <v>112</v>
      </c>
      <c r="H401" t="s">
        <v>2413</v>
      </c>
      <c r="I401" t="s">
        <v>2414</v>
      </c>
      <c r="J401" t="s">
        <v>2415</v>
      </c>
      <c r="K401" t="s">
        <v>2415</v>
      </c>
      <c r="L401" t="s">
        <v>2416</v>
      </c>
      <c r="N401" t="s">
        <v>2417</v>
      </c>
      <c r="O401" t="s">
        <v>118</v>
      </c>
      <c r="R401" t="s">
        <v>467</v>
      </c>
      <c r="S401" t="s">
        <v>120</v>
      </c>
      <c r="T401" t="s">
        <v>136</v>
      </c>
      <c r="U401" t="s">
        <v>619</v>
      </c>
      <c r="W401" t="s">
        <v>138</v>
      </c>
      <c r="X401" t="s">
        <v>203</v>
      </c>
      <c r="Y401">
        <v>3</v>
      </c>
      <c r="AA401" t="s">
        <v>2418</v>
      </c>
      <c r="AH401" t="s">
        <v>128</v>
      </c>
      <c r="AI401" t="s">
        <v>190</v>
      </c>
      <c r="AM401" t="s">
        <v>191</v>
      </c>
      <c r="AS401" t="s">
        <v>127</v>
      </c>
      <c r="BG401">
        <v>110</v>
      </c>
      <c r="BM401" t="s">
        <v>129</v>
      </c>
      <c r="BN401">
        <v>0</v>
      </c>
      <c r="BT401" t="s">
        <v>140</v>
      </c>
      <c r="BU401" t="s">
        <v>128</v>
      </c>
      <c r="BY401" t="s">
        <v>352</v>
      </c>
    </row>
    <row r="402" spans="1:110" x14ac:dyDescent="0.2">
      <c r="A402" t="s">
        <v>111</v>
      </c>
      <c r="B402" t="b">
        <v>1</v>
      </c>
      <c r="E402">
        <v>489</v>
      </c>
      <c r="F402" t="str">
        <f>HYPERLINK("https://portal.dnb.de/opac.htm?method=simpleSearch&amp;cqlMode=true&amp;query=idn%3D1140949446", "Portal")</f>
        <v>Portal</v>
      </c>
      <c r="G402" t="s">
        <v>207</v>
      </c>
      <c r="H402" t="s">
        <v>2419</v>
      </c>
      <c r="I402" t="s">
        <v>2420</v>
      </c>
      <c r="J402" t="s">
        <v>2421</v>
      </c>
      <c r="K402" t="s">
        <v>2421</v>
      </c>
      <c r="L402" t="s">
        <v>2422</v>
      </c>
      <c r="N402" t="s">
        <v>2423</v>
      </c>
      <c r="O402" t="s">
        <v>2424</v>
      </c>
      <c r="P402" t="s">
        <v>135</v>
      </c>
      <c r="R402" t="s">
        <v>147</v>
      </c>
      <c r="S402" t="s">
        <v>120</v>
      </c>
      <c r="T402" t="s">
        <v>156</v>
      </c>
      <c r="Y402">
        <v>0</v>
      </c>
      <c r="AI402" t="s">
        <v>127</v>
      </c>
      <c r="AM402" t="s">
        <v>150</v>
      </c>
      <c r="AS402" t="s">
        <v>127</v>
      </c>
      <c r="BG402">
        <v>110</v>
      </c>
      <c r="BM402" t="s">
        <v>129</v>
      </c>
      <c r="BN402">
        <v>0</v>
      </c>
    </row>
    <row r="403" spans="1:110" x14ac:dyDescent="0.2">
      <c r="A403" t="s">
        <v>111</v>
      </c>
      <c r="B403" t="b">
        <v>1</v>
      </c>
      <c r="F403" t="str">
        <f>HYPERLINK("https://portal.dnb.de/opac.htm?method=simpleSearch&amp;cqlMode=true&amp;query=idn%3D01631526X", "Portal")</f>
        <v>Portal</v>
      </c>
      <c r="H403" t="s">
        <v>2425</v>
      </c>
      <c r="I403" t="s">
        <v>2426</v>
      </c>
      <c r="K403" t="s">
        <v>2421</v>
      </c>
      <c r="L403" t="s">
        <v>2421</v>
      </c>
      <c r="N403" t="s">
        <v>2427</v>
      </c>
      <c r="O403" t="s">
        <v>118</v>
      </c>
    </row>
    <row r="404" spans="1:110" x14ac:dyDescent="0.2">
      <c r="A404" t="s">
        <v>111</v>
      </c>
      <c r="B404" t="b">
        <v>1</v>
      </c>
      <c r="E404">
        <v>491</v>
      </c>
      <c r="F404" t="str">
        <f>HYPERLINK("https://portal.dnb.de/opac.htm?method=simpleSearch&amp;cqlMode=true&amp;query=idn%3D1003939422", "Portal")</f>
        <v>Portal</v>
      </c>
      <c r="G404" t="s">
        <v>112</v>
      </c>
      <c r="H404" t="s">
        <v>2428</v>
      </c>
      <c r="I404" t="s">
        <v>2429</v>
      </c>
      <c r="J404" t="s">
        <v>2430</v>
      </c>
      <c r="K404" t="s">
        <v>2430</v>
      </c>
      <c r="L404" t="s">
        <v>2431</v>
      </c>
      <c r="N404" t="s">
        <v>2432</v>
      </c>
      <c r="O404" t="s">
        <v>118</v>
      </c>
      <c r="P404" t="s">
        <v>135</v>
      </c>
      <c r="R404" t="s">
        <v>188</v>
      </c>
      <c r="S404" t="s">
        <v>120</v>
      </c>
      <c r="T404" t="s">
        <v>136</v>
      </c>
      <c r="U404" t="s">
        <v>2433</v>
      </c>
      <c r="W404" t="s">
        <v>138</v>
      </c>
      <c r="X404" t="s">
        <v>203</v>
      </c>
      <c r="Y404">
        <v>0</v>
      </c>
      <c r="AI404" t="s">
        <v>469</v>
      </c>
      <c r="AM404" t="s">
        <v>191</v>
      </c>
      <c r="AS404" t="s">
        <v>127</v>
      </c>
      <c r="AW404" t="s">
        <v>128</v>
      </c>
      <c r="BE404">
        <v>2</v>
      </c>
      <c r="BF404" t="s">
        <v>128</v>
      </c>
      <c r="BG404">
        <v>80</v>
      </c>
      <c r="BM404" t="s">
        <v>129</v>
      </c>
      <c r="BN404">
        <v>0</v>
      </c>
      <c r="BT404" t="s">
        <v>140</v>
      </c>
      <c r="BU404" t="s">
        <v>128</v>
      </c>
      <c r="BY404" t="s">
        <v>352</v>
      </c>
    </row>
    <row r="405" spans="1:110" x14ac:dyDescent="0.2">
      <c r="A405" t="s">
        <v>111</v>
      </c>
      <c r="B405" t="b">
        <v>1</v>
      </c>
      <c r="E405">
        <v>492</v>
      </c>
      <c r="F405" t="str">
        <f>HYPERLINK("https://portal.dnb.de/opac.htm?method=simpleSearch&amp;cqlMode=true&amp;query=idn%3D1066848920", "Portal")</f>
        <v>Portal</v>
      </c>
      <c r="G405" t="s">
        <v>163</v>
      </c>
      <c r="H405" t="s">
        <v>2434</v>
      </c>
      <c r="I405" t="s">
        <v>2435</v>
      </c>
      <c r="J405" t="s">
        <v>2436</v>
      </c>
      <c r="K405" t="s">
        <v>2436</v>
      </c>
      <c r="L405" t="s">
        <v>2437</v>
      </c>
      <c r="M405" t="s">
        <v>2438</v>
      </c>
      <c r="N405" t="s">
        <v>2439</v>
      </c>
      <c r="O405" t="s">
        <v>118</v>
      </c>
      <c r="R405" t="s">
        <v>119</v>
      </c>
      <c r="S405" t="s">
        <v>120</v>
      </c>
      <c r="T405" t="s">
        <v>121</v>
      </c>
      <c r="U405" t="s">
        <v>2440</v>
      </c>
      <c r="W405" t="s">
        <v>67</v>
      </c>
      <c r="X405" t="s">
        <v>175</v>
      </c>
      <c r="Y405">
        <v>0</v>
      </c>
      <c r="AA405" t="s">
        <v>1787</v>
      </c>
      <c r="AI405" t="s">
        <v>125</v>
      </c>
      <c r="AM405" t="s">
        <v>126</v>
      </c>
      <c r="AN405" t="s">
        <v>128</v>
      </c>
      <c r="AS405" t="s">
        <v>127</v>
      </c>
      <c r="BE405">
        <v>2</v>
      </c>
      <c r="BF405" t="s">
        <v>128</v>
      </c>
      <c r="BG405">
        <v>80</v>
      </c>
      <c r="BM405" t="s">
        <v>129</v>
      </c>
      <c r="BN405">
        <v>0</v>
      </c>
      <c r="BP405" t="s">
        <v>177</v>
      </c>
      <c r="BV405" t="s">
        <v>2441</v>
      </c>
    </row>
    <row r="406" spans="1:110" x14ac:dyDescent="0.2">
      <c r="A406" t="s">
        <v>111</v>
      </c>
      <c r="B406" t="b">
        <v>1</v>
      </c>
      <c r="C406" t="s">
        <v>128</v>
      </c>
      <c r="E406">
        <v>493</v>
      </c>
      <c r="F406" t="str">
        <f>HYPERLINK("https://portal.dnb.de/opac.htm?method=simpleSearch&amp;cqlMode=true&amp;query=idn%3D1003969526", "Portal")</f>
        <v>Portal</v>
      </c>
      <c r="G406" t="s">
        <v>112</v>
      </c>
      <c r="H406" t="s">
        <v>2442</v>
      </c>
      <c r="I406" t="s">
        <v>2443</v>
      </c>
      <c r="J406" t="s">
        <v>2444</v>
      </c>
      <c r="K406" t="s">
        <v>2444</v>
      </c>
      <c r="L406" t="s">
        <v>2445</v>
      </c>
      <c r="N406" t="s">
        <v>2446</v>
      </c>
      <c r="O406" t="s">
        <v>118</v>
      </c>
      <c r="P406" t="s">
        <v>135</v>
      </c>
      <c r="R406" t="s">
        <v>467</v>
      </c>
      <c r="S406" t="s">
        <v>120</v>
      </c>
      <c r="T406" t="s">
        <v>121</v>
      </c>
      <c r="W406" t="s">
        <v>138</v>
      </c>
      <c r="X406" t="s">
        <v>203</v>
      </c>
      <c r="Y406">
        <v>1</v>
      </c>
      <c r="AI406" t="s">
        <v>469</v>
      </c>
      <c r="AM406" t="s">
        <v>191</v>
      </c>
      <c r="AS406" t="s">
        <v>127</v>
      </c>
      <c r="AW406" t="s">
        <v>470</v>
      </c>
      <c r="BE406">
        <v>2</v>
      </c>
      <c r="BF406" t="s">
        <v>128</v>
      </c>
      <c r="BG406">
        <v>45</v>
      </c>
      <c r="BM406" t="s">
        <v>206</v>
      </c>
      <c r="BN406">
        <v>3</v>
      </c>
      <c r="BT406" t="s">
        <v>140</v>
      </c>
      <c r="BU406" t="s">
        <v>128</v>
      </c>
      <c r="BV406" t="s">
        <v>2447</v>
      </c>
      <c r="BY406" t="s">
        <v>2448</v>
      </c>
      <c r="CP406" t="s">
        <v>128</v>
      </c>
      <c r="CV406" t="s">
        <v>128</v>
      </c>
      <c r="CW406" t="s">
        <v>128</v>
      </c>
      <c r="CY406" t="s">
        <v>128</v>
      </c>
      <c r="DF406">
        <v>3</v>
      </c>
    </row>
    <row r="407" spans="1:110" x14ac:dyDescent="0.2">
      <c r="A407" t="s">
        <v>111</v>
      </c>
      <c r="B407" t="b">
        <v>1</v>
      </c>
      <c r="E407">
        <v>494</v>
      </c>
      <c r="F407" t="str">
        <f>HYPERLINK("https://portal.dnb.de/opac.htm?method=simpleSearch&amp;cqlMode=true&amp;query=idn%3D1066862508", "Portal")</f>
        <v>Portal</v>
      </c>
      <c r="G407" t="s">
        <v>163</v>
      </c>
      <c r="H407" t="s">
        <v>2449</v>
      </c>
      <c r="I407" t="s">
        <v>2450</v>
      </c>
      <c r="J407" t="s">
        <v>2451</v>
      </c>
      <c r="K407" t="s">
        <v>2451</v>
      </c>
      <c r="L407" t="s">
        <v>2452</v>
      </c>
      <c r="N407" t="s">
        <v>2453</v>
      </c>
      <c r="O407" t="s">
        <v>118</v>
      </c>
      <c r="P407" t="s">
        <v>135</v>
      </c>
      <c r="R407" t="s">
        <v>188</v>
      </c>
      <c r="S407" t="s">
        <v>120</v>
      </c>
      <c r="T407" t="s">
        <v>136</v>
      </c>
      <c r="U407" t="s">
        <v>232</v>
      </c>
      <c r="W407" t="s">
        <v>67</v>
      </c>
      <c r="X407" t="s">
        <v>175</v>
      </c>
      <c r="Y407">
        <v>2</v>
      </c>
      <c r="AI407" t="s">
        <v>190</v>
      </c>
      <c r="AM407" t="s">
        <v>191</v>
      </c>
      <c r="AS407" t="s">
        <v>127</v>
      </c>
      <c r="AW407" t="s">
        <v>128</v>
      </c>
      <c r="BG407">
        <v>45</v>
      </c>
      <c r="BM407" t="s">
        <v>129</v>
      </c>
      <c r="BN407">
        <v>0</v>
      </c>
      <c r="BP407" t="s">
        <v>177</v>
      </c>
    </row>
    <row r="408" spans="1:110" x14ac:dyDescent="0.2">
      <c r="A408" t="s">
        <v>111</v>
      </c>
      <c r="B408" t="b">
        <v>1</v>
      </c>
      <c r="E408">
        <v>495</v>
      </c>
      <c r="F408" t="str">
        <f>HYPERLINK("https://portal.dnb.de/opac.htm?method=simpleSearch&amp;cqlMode=true&amp;query=idn%3D1003975550", "Portal")</f>
        <v>Portal</v>
      </c>
      <c r="G408" t="s">
        <v>112</v>
      </c>
      <c r="H408" t="s">
        <v>2454</v>
      </c>
      <c r="I408" t="s">
        <v>2455</v>
      </c>
      <c r="J408" t="s">
        <v>2456</v>
      </c>
      <c r="K408" t="s">
        <v>2456</v>
      </c>
      <c r="L408" t="s">
        <v>2457</v>
      </c>
      <c r="N408" t="s">
        <v>2458</v>
      </c>
      <c r="O408" t="s">
        <v>118</v>
      </c>
      <c r="P408" t="s">
        <v>135</v>
      </c>
      <c r="R408" t="s">
        <v>162</v>
      </c>
      <c r="S408" t="s">
        <v>120</v>
      </c>
      <c r="T408" t="s">
        <v>156</v>
      </c>
      <c r="U408" t="s">
        <v>148</v>
      </c>
      <c r="X408" t="s">
        <v>124</v>
      </c>
      <c r="Y408">
        <v>0</v>
      </c>
      <c r="AI408" t="s">
        <v>149</v>
      </c>
      <c r="AM408" t="s">
        <v>150</v>
      </c>
      <c r="AS408" t="s">
        <v>127</v>
      </c>
      <c r="BG408">
        <v>110</v>
      </c>
      <c r="BM408" t="s">
        <v>129</v>
      </c>
      <c r="BN408">
        <v>0</v>
      </c>
    </row>
    <row r="409" spans="1:110" x14ac:dyDescent="0.2">
      <c r="A409" t="s">
        <v>111</v>
      </c>
      <c r="B409" t="b">
        <v>1</v>
      </c>
      <c r="E409">
        <v>496</v>
      </c>
      <c r="F409" t="str">
        <f>HYPERLINK("https://portal.dnb.de/opac.htm?method=simpleSearch&amp;cqlMode=true&amp;query=idn%3D1003903347", "Portal")</f>
        <v>Portal</v>
      </c>
      <c r="G409" t="s">
        <v>112</v>
      </c>
      <c r="H409" t="s">
        <v>2459</v>
      </c>
      <c r="I409" t="s">
        <v>2460</v>
      </c>
      <c r="J409" t="s">
        <v>2461</v>
      </c>
      <c r="K409" t="s">
        <v>2461</v>
      </c>
      <c r="L409" t="s">
        <v>2462</v>
      </c>
      <c r="N409" t="s">
        <v>2463</v>
      </c>
      <c r="O409" t="s">
        <v>118</v>
      </c>
      <c r="P409" t="s">
        <v>135</v>
      </c>
      <c r="R409" t="s">
        <v>162</v>
      </c>
      <c r="S409" t="s">
        <v>120</v>
      </c>
      <c r="T409" t="s">
        <v>156</v>
      </c>
      <c r="U409" t="s">
        <v>553</v>
      </c>
      <c r="V409" t="s">
        <v>123</v>
      </c>
      <c r="X409" t="s">
        <v>124</v>
      </c>
      <c r="Y409">
        <v>0</v>
      </c>
      <c r="AI409" t="s">
        <v>149</v>
      </c>
      <c r="AM409" t="s">
        <v>150</v>
      </c>
      <c r="AS409" t="s">
        <v>127</v>
      </c>
      <c r="BG409">
        <v>110</v>
      </c>
      <c r="BM409" t="s">
        <v>129</v>
      </c>
      <c r="BN409">
        <v>0</v>
      </c>
    </row>
    <row r="410" spans="1:110" x14ac:dyDescent="0.2">
      <c r="A410" t="s">
        <v>111</v>
      </c>
      <c r="B410" t="b">
        <v>1</v>
      </c>
      <c r="E410">
        <v>497</v>
      </c>
      <c r="F410" t="str">
        <f>HYPERLINK("https://portal.dnb.de/opac.htm?method=simpleSearch&amp;cqlMode=true&amp;query=idn%3D1003866514", "Portal")</f>
        <v>Portal</v>
      </c>
      <c r="G410" t="s">
        <v>112</v>
      </c>
      <c r="H410" t="s">
        <v>2464</v>
      </c>
      <c r="I410" t="s">
        <v>2465</v>
      </c>
      <c r="J410" t="s">
        <v>2466</v>
      </c>
      <c r="K410" t="s">
        <v>2466</v>
      </c>
      <c r="L410" t="s">
        <v>2467</v>
      </c>
      <c r="N410" t="s">
        <v>2468</v>
      </c>
      <c r="O410" t="s">
        <v>118</v>
      </c>
      <c r="P410" t="s">
        <v>135</v>
      </c>
      <c r="R410" t="s">
        <v>147</v>
      </c>
      <c r="S410" t="s">
        <v>120</v>
      </c>
      <c r="T410" t="s">
        <v>156</v>
      </c>
      <c r="U410" t="s">
        <v>1054</v>
      </c>
      <c r="W410" t="s">
        <v>67</v>
      </c>
      <c r="X410" t="s">
        <v>175</v>
      </c>
      <c r="Y410">
        <v>1</v>
      </c>
      <c r="AI410" t="s">
        <v>127</v>
      </c>
      <c r="AJ410" t="s">
        <v>2469</v>
      </c>
      <c r="AM410" t="s">
        <v>126</v>
      </c>
      <c r="AS410" t="s">
        <v>127</v>
      </c>
      <c r="AZ410" t="s">
        <v>128</v>
      </c>
      <c r="BA410" t="s">
        <v>2470</v>
      </c>
      <c r="BG410">
        <v>110</v>
      </c>
      <c r="BM410" t="s">
        <v>129</v>
      </c>
      <c r="BN410">
        <v>0</v>
      </c>
      <c r="BP410" t="s">
        <v>177</v>
      </c>
      <c r="BV410" t="s">
        <v>2471</v>
      </c>
    </row>
    <row r="411" spans="1:110" x14ac:dyDescent="0.2">
      <c r="A411" t="s">
        <v>111</v>
      </c>
      <c r="B411" t="b">
        <v>1</v>
      </c>
      <c r="E411">
        <v>498</v>
      </c>
      <c r="F411" t="str">
        <f>HYPERLINK("https://portal.dnb.de/opac.htm?method=simpleSearch&amp;cqlMode=true&amp;query=idn%3D1003975178", "Portal")</f>
        <v>Portal</v>
      </c>
      <c r="G411" t="s">
        <v>112</v>
      </c>
      <c r="H411" t="s">
        <v>2472</v>
      </c>
      <c r="I411" t="s">
        <v>2473</v>
      </c>
      <c r="J411" t="s">
        <v>2474</v>
      </c>
      <c r="K411" t="s">
        <v>2474</v>
      </c>
      <c r="L411" t="s">
        <v>2475</v>
      </c>
      <c r="N411" t="s">
        <v>2476</v>
      </c>
      <c r="O411" t="s">
        <v>118</v>
      </c>
      <c r="P411" t="s">
        <v>135</v>
      </c>
      <c r="Q411" t="s">
        <v>2477</v>
      </c>
      <c r="R411" t="s">
        <v>162</v>
      </c>
      <c r="S411" t="s">
        <v>120</v>
      </c>
      <c r="T411" t="s">
        <v>136</v>
      </c>
      <c r="U411" t="s">
        <v>553</v>
      </c>
      <c r="V411" t="s">
        <v>123</v>
      </c>
      <c r="X411" t="s">
        <v>124</v>
      </c>
      <c r="Y411">
        <v>0</v>
      </c>
      <c r="AI411" t="s">
        <v>149</v>
      </c>
      <c r="AM411" t="s">
        <v>150</v>
      </c>
      <c r="AS411" t="s">
        <v>127</v>
      </c>
      <c r="BB411" t="s">
        <v>128</v>
      </c>
      <c r="BD411" t="s">
        <v>128</v>
      </c>
      <c r="BG411">
        <v>110</v>
      </c>
      <c r="BM411" t="s">
        <v>129</v>
      </c>
      <c r="BN411">
        <v>0</v>
      </c>
      <c r="BY411" t="s">
        <v>352</v>
      </c>
    </row>
    <row r="412" spans="1:110" x14ac:dyDescent="0.2">
      <c r="A412" t="s">
        <v>111</v>
      </c>
      <c r="B412" t="b">
        <v>1</v>
      </c>
      <c r="E412">
        <v>499</v>
      </c>
      <c r="F412" t="str">
        <f>HYPERLINK("https://portal.dnb.de/opac.htm?method=simpleSearch&amp;cqlMode=true&amp;query=idn%3D1003969240", "Portal")</f>
        <v>Portal</v>
      </c>
      <c r="G412" t="s">
        <v>112</v>
      </c>
      <c r="H412" t="s">
        <v>2478</v>
      </c>
      <c r="I412" t="s">
        <v>2479</v>
      </c>
      <c r="J412" t="s">
        <v>2480</v>
      </c>
      <c r="K412" t="s">
        <v>2480</v>
      </c>
      <c r="L412" t="s">
        <v>2481</v>
      </c>
      <c r="M412" t="s">
        <v>2438</v>
      </c>
      <c r="N412" t="s">
        <v>2482</v>
      </c>
      <c r="O412" t="s">
        <v>118</v>
      </c>
      <c r="R412" t="s">
        <v>188</v>
      </c>
      <c r="S412" t="s">
        <v>120</v>
      </c>
      <c r="T412" t="s">
        <v>136</v>
      </c>
      <c r="U412" t="s">
        <v>189</v>
      </c>
      <c r="W412" t="s">
        <v>67</v>
      </c>
      <c r="X412" t="s">
        <v>175</v>
      </c>
      <c r="Y412">
        <v>0</v>
      </c>
      <c r="AI412" t="s">
        <v>190</v>
      </c>
      <c r="AM412" t="s">
        <v>204</v>
      </c>
      <c r="AS412" t="s">
        <v>127</v>
      </c>
      <c r="BG412">
        <v>60</v>
      </c>
      <c r="BM412" t="s">
        <v>129</v>
      </c>
      <c r="BN412">
        <v>0</v>
      </c>
      <c r="BP412" t="s">
        <v>177</v>
      </c>
    </row>
    <row r="413" spans="1:110" x14ac:dyDescent="0.2">
      <c r="A413" t="s">
        <v>111</v>
      </c>
      <c r="B413" t="b">
        <v>1</v>
      </c>
      <c r="E413">
        <v>500</v>
      </c>
      <c r="F413" t="str">
        <f>HYPERLINK("https://portal.dnb.de/opac.htm?method=simpleSearch&amp;cqlMode=true&amp;query=idn%3D1066772037", "Portal")</f>
        <v>Portal</v>
      </c>
      <c r="G413" t="s">
        <v>163</v>
      </c>
      <c r="H413" t="s">
        <v>2483</v>
      </c>
      <c r="I413" t="s">
        <v>2484</v>
      </c>
      <c r="J413" t="s">
        <v>2485</v>
      </c>
      <c r="K413" t="s">
        <v>2485</v>
      </c>
      <c r="L413" t="s">
        <v>2486</v>
      </c>
      <c r="N413" t="s">
        <v>2487</v>
      </c>
      <c r="O413" t="s">
        <v>118</v>
      </c>
      <c r="P413" t="s">
        <v>135</v>
      </c>
      <c r="R413" t="s">
        <v>147</v>
      </c>
      <c r="S413" t="s">
        <v>120</v>
      </c>
      <c r="T413" t="s">
        <v>156</v>
      </c>
      <c r="U413" t="s">
        <v>553</v>
      </c>
      <c r="V413" t="s">
        <v>123</v>
      </c>
      <c r="X413" t="s">
        <v>124</v>
      </c>
      <c r="Y413">
        <v>0</v>
      </c>
      <c r="AA413" t="s">
        <v>320</v>
      </c>
      <c r="AI413" t="s">
        <v>127</v>
      </c>
      <c r="AM413" t="s">
        <v>150</v>
      </c>
      <c r="AS413" t="s">
        <v>127</v>
      </c>
      <c r="BG413">
        <v>180</v>
      </c>
      <c r="BM413" t="s">
        <v>129</v>
      </c>
      <c r="BN413">
        <v>0</v>
      </c>
    </row>
    <row r="414" spans="1:110" x14ac:dyDescent="0.2">
      <c r="A414" t="s">
        <v>111</v>
      </c>
      <c r="B414" t="b">
        <v>1</v>
      </c>
      <c r="E414">
        <v>501</v>
      </c>
      <c r="F414" t="str">
        <f>HYPERLINK("https://portal.dnb.de/opac.htm?method=simpleSearch&amp;cqlMode=true&amp;query=idn%3D1003925251", "Portal")</f>
        <v>Portal</v>
      </c>
      <c r="G414" t="s">
        <v>112</v>
      </c>
      <c r="H414" t="s">
        <v>2488</v>
      </c>
      <c r="I414" t="s">
        <v>2489</v>
      </c>
      <c r="J414" t="s">
        <v>2490</v>
      </c>
      <c r="K414" t="s">
        <v>2490</v>
      </c>
      <c r="L414" t="s">
        <v>2491</v>
      </c>
      <c r="N414" t="s">
        <v>2492</v>
      </c>
      <c r="O414" t="s">
        <v>118</v>
      </c>
      <c r="P414" t="s">
        <v>135</v>
      </c>
      <c r="R414" t="s">
        <v>1590</v>
      </c>
      <c r="S414" t="s">
        <v>120</v>
      </c>
      <c r="T414" t="s">
        <v>156</v>
      </c>
      <c r="W414" t="s">
        <v>138</v>
      </c>
      <c r="X414" t="s">
        <v>203</v>
      </c>
      <c r="Y414">
        <v>2</v>
      </c>
      <c r="AA414" t="s">
        <v>320</v>
      </c>
      <c r="AI414" t="s">
        <v>1591</v>
      </c>
      <c r="AM414" t="s">
        <v>191</v>
      </c>
      <c r="AS414" t="s">
        <v>127</v>
      </c>
      <c r="BG414">
        <v>110</v>
      </c>
      <c r="BM414" t="s">
        <v>129</v>
      </c>
      <c r="BN414">
        <v>0</v>
      </c>
      <c r="BT414" t="s">
        <v>140</v>
      </c>
      <c r="BU414" t="s">
        <v>128</v>
      </c>
      <c r="BY414" t="s">
        <v>1594</v>
      </c>
    </row>
    <row r="415" spans="1:110" x14ac:dyDescent="0.2">
      <c r="A415" t="s">
        <v>111</v>
      </c>
      <c r="B415" t="b">
        <v>1</v>
      </c>
      <c r="F415" t="str">
        <f>HYPERLINK("https://portal.dnb.de/opac.htm?method=simpleSearch&amp;cqlMode=true&amp;query=idn%3D1137889500", "Portal")</f>
        <v>Portal</v>
      </c>
      <c r="H415" t="s">
        <v>2493</v>
      </c>
      <c r="I415" t="s">
        <v>2494</v>
      </c>
      <c r="K415" t="s">
        <v>2495</v>
      </c>
      <c r="L415" t="s">
        <v>2495</v>
      </c>
      <c r="N415" t="s">
        <v>2496</v>
      </c>
      <c r="O415" t="s">
        <v>118</v>
      </c>
    </row>
    <row r="416" spans="1:110" x14ac:dyDescent="0.2">
      <c r="A416" t="s">
        <v>111</v>
      </c>
      <c r="B416" t="b">
        <v>0</v>
      </c>
      <c r="C416" t="s">
        <v>128</v>
      </c>
      <c r="F416" t="str">
        <f>HYPERLINK("https://portal.dnb.de/opac.htm?method=simpleSearch&amp;cqlMode=true&amp;query=idn%3D", "Portal")</f>
        <v>Portal</v>
      </c>
      <c r="L416" t="s">
        <v>2497</v>
      </c>
      <c r="R416" t="s">
        <v>188</v>
      </c>
      <c r="S416" t="s">
        <v>120</v>
      </c>
      <c r="T416" t="s">
        <v>156</v>
      </c>
      <c r="U416" t="s">
        <v>378</v>
      </c>
      <c r="W416" t="s">
        <v>67</v>
      </c>
      <c r="X416" t="s">
        <v>175</v>
      </c>
      <c r="Y416">
        <v>0</v>
      </c>
      <c r="AI416" t="s">
        <v>190</v>
      </c>
      <c r="AM416" t="s">
        <v>191</v>
      </c>
      <c r="AS416" t="s">
        <v>127</v>
      </c>
      <c r="BG416">
        <v>45</v>
      </c>
      <c r="BM416" t="s">
        <v>206</v>
      </c>
      <c r="BN416">
        <v>0.5</v>
      </c>
      <c r="BP416" t="s">
        <v>177</v>
      </c>
      <c r="BV416" t="s">
        <v>2498</v>
      </c>
      <c r="CA416" t="s">
        <v>128</v>
      </c>
      <c r="CB416" t="s">
        <v>128</v>
      </c>
      <c r="CM416">
        <v>0.5</v>
      </c>
    </row>
    <row r="417" spans="1:92" x14ac:dyDescent="0.2">
      <c r="A417" t="s">
        <v>111</v>
      </c>
      <c r="B417" t="b">
        <v>1</v>
      </c>
      <c r="E417">
        <v>506</v>
      </c>
      <c r="F417" t="str">
        <f>HYPERLINK("https://portal.dnb.de/opac.htm?method=simpleSearch&amp;cqlMode=true&amp;query=idn%3D1003921310", "Portal")</f>
        <v>Portal</v>
      </c>
      <c r="G417" t="s">
        <v>112</v>
      </c>
      <c r="H417" t="s">
        <v>2499</v>
      </c>
      <c r="I417" t="s">
        <v>2500</v>
      </c>
      <c r="J417" t="s">
        <v>2501</v>
      </c>
      <c r="K417" t="s">
        <v>2501</v>
      </c>
      <c r="L417" t="s">
        <v>2502</v>
      </c>
      <c r="N417" t="s">
        <v>2503</v>
      </c>
      <c r="O417" t="s">
        <v>118</v>
      </c>
      <c r="P417" t="s">
        <v>135</v>
      </c>
      <c r="R417" t="s">
        <v>147</v>
      </c>
      <c r="S417" t="s">
        <v>120</v>
      </c>
      <c r="T417" t="s">
        <v>156</v>
      </c>
      <c r="U417" t="s">
        <v>148</v>
      </c>
      <c r="X417" t="s">
        <v>124</v>
      </c>
      <c r="Y417">
        <v>0</v>
      </c>
      <c r="AI417" t="s">
        <v>127</v>
      </c>
      <c r="AM417" t="s">
        <v>150</v>
      </c>
      <c r="AS417" t="s">
        <v>127</v>
      </c>
      <c r="BC417" t="s">
        <v>1592</v>
      </c>
      <c r="BG417">
        <v>110</v>
      </c>
      <c r="BM417" t="s">
        <v>129</v>
      </c>
      <c r="BN417">
        <v>0</v>
      </c>
    </row>
    <row r="418" spans="1:92" x14ac:dyDescent="0.2">
      <c r="A418" t="s">
        <v>111</v>
      </c>
      <c r="B418" t="b">
        <v>1</v>
      </c>
      <c r="E418">
        <v>507</v>
      </c>
      <c r="F418" t="str">
        <f>HYPERLINK("https://portal.dnb.de/opac.htm?method=simpleSearch&amp;cqlMode=true&amp;query=idn%3D1003962998", "Portal")</f>
        <v>Portal</v>
      </c>
      <c r="G418" t="s">
        <v>112</v>
      </c>
      <c r="H418" t="s">
        <v>2504</v>
      </c>
      <c r="I418" t="s">
        <v>2505</v>
      </c>
      <c r="J418" t="s">
        <v>2506</v>
      </c>
      <c r="K418" t="s">
        <v>2506</v>
      </c>
      <c r="L418" t="s">
        <v>2507</v>
      </c>
      <c r="N418" t="s">
        <v>2508</v>
      </c>
      <c r="O418" t="s">
        <v>118</v>
      </c>
      <c r="R418" t="s">
        <v>147</v>
      </c>
      <c r="S418" t="s">
        <v>120</v>
      </c>
      <c r="T418" t="s">
        <v>156</v>
      </c>
      <c r="X418" t="s">
        <v>124</v>
      </c>
      <c r="Y418">
        <v>0</v>
      </c>
      <c r="AI418" t="s">
        <v>127</v>
      </c>
      <c r="AM418" t="s">
        <v>150</v>
      </c>
      <c r="AS418" t="s">
        <v>127</v>
      </c>
      <c r="BC418" t="s">
        <v>1592</v>
      </c>
      <c r="BG418">
        <v>180</v>
      </c>
      <c r="BM418" t="s">
        <v>129</v>
      </c>
      <c r="BN418">
        <v>0</v>
      </c>
    </row>
    <row r="419" spans="1:92" x14ac:dyDescent="0.2">
      <c r="A419" t="s">
        <v>111</v>
      </c>
      <c r="B419" t="b">
        <v>1</v>
      </c>
      <c r="E419">
        <v>508</v>
      </c>
      <c r="F419" t="str">
        <f>HYPERLINK("https://portal.dnb.de/opac.htm?method=simpleSearch&amp;cqlMode=true&amp;query=idn%3D1003866743", "Portal")</f>
        <v>Portal</v>
      </c>
      <c r="G419" t="s">
        <v>207</v>
      </c>
      <c r="H419" t="s">
        <v>2509</v>
      </c>
      <c r="I419" t="s">
        <v>2510</v>
      </c>
      <c r="J419" t="s">
        <v>2511</v>
      </c>
      <c r="K419" t="s">
        <v>2511</v>
      </c>
      <c r="L419" t="s">
        <v>2512</v>
      </c>
      <c r="N419" t="s">
        <v>2513</v>
      </c>
      <c r="O419" t="s">
        <v>2514</v>
      </c>
      <c r="R419" t="s">
        <v>147</v>
      </c>
      <c r="S419" t="s">
        <v>120</v>
      </c>
      <c r="T419" t="s">
        <v>156</v>
      </c>
      <c r="W419" t="s">
        <v>67</v>
      </c>
      <c r="X419" t="s">
        <v>175</v>
      </c>
      <c r="Y419">
        <v>0</v>
      </c>
      <c r="AI419" t="s">
        <v>1591</v>
      </c>
      <c r="AM419" t="s">
        <v>191</v>
      </c>
      <c r="AS419" t="s">
        <v>127</v>
      </c>
      <c r="BG419" t="s">
        <v>176</v>
      </c>
      <c r="BM419" t="s">
        <v>129</v>
      </c>
      <c r="BN419">
        <v>0</v>
      </c>
      <c r="BP419" t="s">
        <v>177</v>
      </c>
    </row>
    <row r="420" spans="1:92" x14ac:dyDescent="0.2">
      <c r="A420" t="s">
        <v>111</v>
      </c>
      <c r="B420" t="b">
        <v>1</v>
      </c>
      <c r="F420" t="str">
        <f>HYPERLINK("https://portal.dnb.de/opac.htm?method=simpleSearch&amp;cqlMode=true&amp;query=idn%3D1141698420", "Portal")</f>
        <v>Portal</v>
      </c>
      <c r="H420" t="s">
        <v>2515</v>
      </c>
      <c r="I420" t="s">
        <v>2516</v>
      </c>
      <c r="K420" t="s">
        <v>2517</v>
      </c>
      <c r="L420" t="s">
        <v>2517</v>
      </c>
      <c r="N420" t="s">
        <v>2518</v>
      </c>
      <c r="O420" t="s">
        <v>118</v>
      </c>
    </row>
    <row r="421" spans="1:92" x14ac:dyDescent="0.2">
      <c r="A421" t="s">
        <v>111</v>
      </c>
      <c r="B421" t="b">
        <v>0</v>
      </c>
      <c r="E421">
        <v>509</v>
      </c>
      <c r="F421" t="str">
        <f>HYPERLINK("https://portal.dnb.de/opac.htm?method=simpleSearch&amp;cqlMode=true&amp;query=idn%3D1003804330", "Portal")</f>
        <v>Portal</v>
      </c>
      <c r="H421" t="s">
        <v>2519</v>
      </c>
      <c r="I421" t="s">
        <v>2520</v>
      </c>
      <c r="J421" t="s">
        <v>2521</v>
      </c>
      <c r="L421" t="s">
        <v>2521</v>
      </c>
      <c r="P421" t="s">
        <v>135</v>
      </c>
      <c r="R421" t="s">
        <v>162</v>
      </c>
      <c r="S421" t="s">
        <v>120</v>
      </c>
      <c r="T421" t="s">
        <v>156</v>
      </c>
      <c r="U421" t="s">
        <v>148</v>
      </c>
      <c r="X421" t="s">
        <v>124</v>
      </c>
      <c r="Y421">
        <v>0</v>
      </c>
      <c r="AI421" t="s">
        <v>149</v>
      </c>
      <c r="AM421" t="s">
        <v>150</v>
      </c>
      <c r="AS421" t="s">
        <v>127</v>
      </c>
      <c r="BG421">
        <v>180</v>
      </c>
      <c r="BM421" t="s">
        <v>129</v>
      </c>
      <c r="BN421">
        <v>0</v>
      </c>
    </row>
    <row r="422" spans="1:92" x14ac:dyDescent="0.2">
      <c r="A422" t="s">
        <v>111</v>
      </c>
      <c r="B422" t="b">
        <v>0</v>
      </c>
      <c r="E422">
        <v>510</v>
      </c>
      <c r="F422" t="str">
        <f>HYPERLINK("https://portal.dnb.de/opac.htm?method=simpleSearch&amp;cqlMode=true&amp;query=idn%3D1003894925", "Portal")</f>
        <v>Portal</v>
      </c>
      <c r="H422" t="s">
        <v>2522</v>
      </c>
      <c r="I422" t="s">
        <v>2523</v>
      </c>
      <c r="J422" t="s">
        <v>2524</v>
      </c>
      <c r="L422" t="s">
        <v>2524</v>
      </c>
      <c r="P422" t="s">
        <v>135</v>
      </c>
      <c r="R422" t="s">
        <v>162</v>
      </c>
      <c r="S422" t="s">
        <v>120</v>
      </c>
      <c r="T422" t="s">
        <v>156</v>
      </c>
      <c r="U422" t="s">
        <v>148</v>
      </c>
      <c r="X422" t="s">
        <v>124</v>
      </c>
      <c r="Y422">
        <v>0</v>
      </c>
      <c r="AI422" t="s">
        <v>149</v>
      </c>
      <c r="AM422" t="s">
        <v>150</v>
      </c>
      <c r="AS422" t="s">
        <v>127</v>
      </c>
      <c r="BG422">
        <v>180</v>
      </c>
      <c r="BM422" t="s">
        <v>129</v>
      </c>
      <c r="BN422">
        <v>0</v>
      </c>
    </row>
    <row r="423" spans="1:92" x14ac:dyDescent="0.2">
      <c r="A423" t="s">
        <v>111</v>
      </c>
      <c r="B423" t="b">
        <v>0</v>
      </c>
      <c r="E423">
        <v>511</v>
      </c>
      <c r="F423" t="str">
        <f>HYPERLINK("https://portal.dnb.de/opac.htm?method=simpleSearch&amp;cqlMode=true&amp;query=idn%3D1003872034", "Portal")</f>
        <v>Portal</v>
      </c>
      <c r="H423" t="s">
        <v>2525</v>
      </c>
      <c r="I423" t="s">
        <v>2526</v>
      </c>
      <c r="J423" t="s">
        <v>2527</v>
      </c>
      <c r="L423" t="s">
        <v>2527</v>
      </c>
      <c r="P423" t="s">
        <v>135</v>
      </c>
      <c r="R423" t="s">
        <v>162</v>
      </c>
      <c r="S423" t="s">
        <v>120</v>
      </c>
      <c r="T423" t="s">
        <v>156</v>
      </c>
      <c r="U423" t="s">
        <v>378</v>
      </c>
      <c r="X423" t="s">
        <v>124</v>
      </c>
      <c r="Y423">
        <v>0</v>
      </c>
      <c r="AI423" t="s">
        <v>149</v>
      </c>
      <c r="AM423" t="s">
        <v>150</v>
      </c>
      <c r="AS423" t="s">
        <v>127</v>
      </c>
      <c r="BE423">
        <v>2</v>
      </c>
      <c r="BG423">
        <v>180</v>
      </c>
      <c r="BM423" t="s">
        <v>129</v>
      </c>
      <c r="BN423">
        <v>0</v>
      </c>
    </row>
    <row r="424" spans="1:92" x14ac:dyDescent="0.2">
      <c r="A424" t="s">
        <v>111</v>
      </c>
      <c r="B424" t="b">
        <v>0</v>
      </c>
      <c r="E424">
        <v>512</v>
      </c>
      <c r="F424" t="str">
        <f>HYPERLINK("https://portal.dnb.de/opac.htm?method=simpleSearch&amp;cqlMode=true&amp;query=idn%3D1003873111", "Portal")</f>
        <v>Portal</v>
      </c>
      <c r="H424" t="s">
        <v>2528</v>
      </c>
      <c r="I424" t="s">
        <v>2529</v>
      </c>
      <c r="J424" t="s">
        <v>2530</v>
      </c>
      <c r="L424" t="s">
        <v>2530</v>
      </c>
      <c r="P424" t="s">
        <v>135</v>
      </c>
      <c r="R424" t="s">
        <v>162</v>
      </c>
      <c r="S424" t="s">
        <v>120</v>
      </c>
      <c r="T424" t="s">
        <v>156</v>
      </c>
      <c r="U424" t="s">
        <v>148</v>
      </c>
      <c r="X424" t="s">
        <v>124</v>
      </c>
      <c r="Y424">
        <v>0</v>
      </c>
      <c r="AI424" t="s">
        <v>149</v>
      </c>
      <c r="AM424" t="s">
        <v>150</v>
      </c>
      <c r="AS424" t="s">
        <v>127</v>
      </c>
      <c r="BG424">
        <v>180</v>
      </c>
      <c r="BM424" t="s">
        <v>129</v>
      </c>
      <c r="BN424">
        <v>0</v>
      </c>
    </row>
    <row r="425" spans="1:92" x14ac:dyDescent="0.2">
      <c r="A425" t="s">
        <v>111</v>
      </c>
      <c r="B425" t="b">
        <v>0</v>
      </c>
      <c r="E425">
        <v>513</v>
      </c>
      <c r="F425" t="str">
        <f>HYPERLINK("https://portal.dnb.de/opac.htm?method=simpleSearch&amp;cqlMode=true&amp;query=idn%3D1003901972", "Portal")</f>
        <v>Portal</v>
      </c>
      <c r="H425" t="s">
        <v>2531</v>
      </c>
      <c r="I425" t="s">
        <v>2532</v>
      </c>
      <c r="J425" t="s">
        <v>2533</v>
      </c>
      <c r="L425" t="s">
        <v>2533</v>
      </c>
      <c r="P425" t="s">
        <v>135</v>
      </c>
      <c r="R425" t="s">
        <v>162</v>
      </c>
      <c r="S425" t="s">
        <v>120</v>
      </c>
      <c r="T425" t="s">
        <v>156</v>
      </c>
      <c r="U425" t="s">
        <v>148</v>
      </c>
      <c r="X425" t="s">
        <v>124</v>
      </c>
      <c r="Y425">
        <v>0</v>
      </c>
      <c r="AI425" t="s">
        <v>149</v>
      </c>
      <c r="AM425" t="s">
        <v>150</v>
      </c>
      <c r="AS425" t="s">
        <v>127</v>
      </c>
      <c r="BG425">
        <v>180</v>
      </c>
      <c r="BM425" t="s">
        <v>129</v>
      </c>
      <c r="BN425">
        <v>0</v>
      </c>
    </row>
    <row r="426" spans="1:92" x14ac:dyDescent="0.2">
      <c r="A426" t="s">
        <v>111</v>
      </c>
      <c r="B426" t="b">
        <v>1</v>
      </c>
      <c r="E426">
        <v>514</v>
      </c>
      <c r="F426" t="str">
        <f>HYPERLINK("https://portal.dnb.de/opac.htm?method=simpleSearch&amp;cqlMode=true&amp;query=idn%3D1066962219", "Portal")</f>
        <v>Portal</v>
      </c>
      <c r="G426" t="s">
        <v>163</v>
      </c>
      <c r="H426" t="s">
        <v>2534</v>
      </c>
      <c r="I426" t="s">
        <v>2535</v>
      </c>
      <c r="J426" t="s">
        <v>2536</v>
      </c>
      <c r="K426" t="s">
        <v>2536</v>
      </c>
      <c r="L426" t="s">
        <v>2537</v>
      </c>
      <c r="N426" t="s">
        <v>2538</v>
      </c>
      <c r="O426" t="s">
        <v>118</v>
      </c>
      <c r="P426" t="s">
        <v>135</v>
      </c>
      <c r="R426" t="s">
        <v>162</v>
      </c>
      <c r="S426" t="s">
        <v>120</v>
      </c>
      <c r="T426" t="s">
        <v>156</v>
      </c>
      <c r="U426" t="s">
        <v>148</v>
      </c>
      <c r="X426" t="s">
        <v>124</v>
      </c>
      <c r="Y426">
        <v>0</v>
      </c>
      <c r="AI426" t="s">
        <v>149</v>
      </c>
      <c r="AM426" t="s">
        <v>150</v>
      </c>
      <c r="AS426" t="s">
        <v>127</v>
      </c>
      <c r="BG426">
        <v>110</v>
      </c>
      <c r="BM426" t="s">
        <v>129</v>
      </c>
      <c r="BN426">
        <v>0</v>
      </c>
    </row>
    <row r="427" spans="1:92" x14ac:dyDescent="0.2">
      <c r="A427" t="s">
        <v>111</v>
      </c>
      <c r="B427" t="b">
        <v>1</v>
      </c>
      <c r="E427">
        <v>515</v>
      </c>
      <c r="F427" t="str">
        <f>HYPERLINK("https://portal.dnb.de/opac.htm?method=simpleSearch&amp;cqlMode=true&amp;query=idn%3D1003801153", "Portal")</f>
        <v>Portal</v>
      </c>
      <c r="G427" t="s">
        <v>112</v>
      </c>
      <c r="H427" t="s">
        <v>2539</v>
      </c>
      <c r="I427" t="s">
        <v>2540</v>
      </c>
      <c r="J427" t="s">
        <v>2541</v>
      </c>
      <c r="K427" t="s">
        <v>2541</v>
      </c>
      <c r="L427" t="s">
        <v>2542</v>
      </c>
      <c r="N427" t="s">
        <v>2543</v>
      </c>
      <c r="O427" t="s">
        <v>118</v>
      </c>
      <c r="P427" t="s">
        <v>135</v>
      </c>
      <c r="R427" t="s">
        <v>147</v>
      </c>
      <c r="S427" t="s">
        <v>120</v>
      </c>
      <c r="T427" t="s">
        <v>156</v>
      </c>
      <c r="U427" t="s">
        <v>1542</v>
      </c>
      <c r="X427" t="s">
        <v>124</v>
      </c>
      <c r="Y427">
        <v>1</v>
      </c>
      <c r="AI427" t="s">
        <v>127</v>
      </c>
      <c r="AM427" t="s">
        <v>191</v>
      </c>
      <c r="AS427" t="s">
        <v>127</v>
      </c>
      <c r="AZ427" t="s">
        <v>128</v>
      </c>
      <c r="BG427">
        <v>110</v>
      </c>
      <c r="BM427" t="s">
        <v>129</v>
      </c>
      <c r="BN427">
        <v>0</v>
      </c>
    </row>
    <row r="428" spans="1:92" x14ac:dyDescent="0.2">
      <c r="A428" t="s">
        <v>111</v>
      </c>
      <c r="B428" t="b">
        <v>1</v>
      </c>
      <c r="E428">
        <v>516</v>
      </c>
      <c r="F428" t="str">
        <f>HYPERLINK("https://portal.dnb.de/opac.htm?method=simpleSearch&amp;cqlMode=true&amp;query=idn%3D1003987656", "Portal")</f>
        <v>Portal</v>
      </c>
      <c r="G428" t="s">
        <v>112</v>
      </c>
      <c r="H428" t="s">
        <v>2544</v>
      </c>
      <c r="I428" t="s">
        <v>2545</v>
      </c>
      <c r="J428" t="s">
        <v>2546</v>
      </c>
      <c r="K428" t="s">
        <v>2546</v>
      </c>
      <c r="L428" t="s">
        <v>2547</v>
      </c>
      <c r="N428" t="s">
        <v>2548</v>
      </c>
      <c r="O428" t="s">
        <v>118</v>
      </c>
      <c r="P428" t="s">
        <v>135</v>
      </c>
      <c r="R428" t="s">
        <v>2078</v>
      </c>
      <c r="S428" t="s">
        <v>120</v>
      </c>
      <c r="T428" t="s">
        <v>156</v>
      </c>
      <c r="U428" t="s">
        <v>148</v>
      </c>
      <c r="X428" t="s">
        <v>124</v>
      </c>
      <c r="Y428">
        <v>0</v>
      </c>
      <c r="AI428" t="s">
        <v>621</v>
      </c>
      <c r="AM428" t="s">
        <v>150</v>
      </c>
      <c r="AS428" t="s">
        <v>127</v>
      </c>
      <c r="BG428">
        <v>110</v>
      </c>
      <c r="BM428" t="s">
        <v>129</v>
      </c>
      <c r="BN428">
        <v>0</v>
      </c>
    </row>
    <row r="429" spans="1:92" x14ac:dyDescent="0.2">
      <c r="A429" t="s">
        <v>111</v>
      </c>
      <c r="B429" t="b">
        <v>1</v>
      </c>
      <c r="C429" t="s">
        <v>128</v>
      </c>
      <c r="E429">
        <v>517</v>
      </c>
      <c r="F429" t="str">
        <f>HYPERLINK("https://portal.dnb.de/opac.htm?method=simpleSearch&amp;cqlMode=true&amp;query=idn%3D1066964025", "Portal")</f>
        <v>Portal</v>
      </c>
      <c r="G429" t="s">
        <v>163</v>
      </c>
      <c r="H429" t="s">
        <v>2549</v>
      </c>
      <c r="I429" t="s">
        <v>2550</v>
      </c>
      <c r="J429" t="s">
        <v>2551</v>
      </c>
      <c r="K429" t="s">
        <v>2551</v>
      </c>
      <c r="L429" t="s">
        <v>2552</v>
      </c>
      <c r="N429" t="s">
        <v>2553</v>
      </c>
      <c r="O429" t="s">
        <v>118</v>
      </c>
      <c r="P429" t="s">
        <v>135</v>
      </c>
      <c r="R429" t="s">
        <v>188</v>
      </c>
      <c r="S429" t="s">
        <v>120</v>
      </c>
      <c r="T429" t="s">
        <v>156</v>
      </c>
      <c r="W429" t="s">
        <v>67</v>
      </c>
      <c r="X429" t="s">
        <v>175</v>
      </c>
      <c r="Y429">
        <v>1</v>
      </c>
      <c r="AH429" t="s">
        <v>128</v>
      </c>
      <c r="AI429" t="s">
        <v>190</v>
      </c>
      <c r="AL429" t="s">
        <v>128</v>
      </c>
      <c r="AM429" t="s">
        <v>191</v>
      </c>
      <c r="AS429" t="s">
        <v>127</v>
      </c>
      <c r="BG429">
        <v>60</v>
      </c>
      <c r="BM429" t="s">
        <v>206</v>
      </c>
      <c r="BN429">
        <v>1</v>
      </c>
      <c r="BP429" t="s">
        <v>177</v>
      </c>
      <c r="CA429" t="s">
        <v>128</v>
      </c>
      <c r="CD429" t="s">
        <v>483</v>
      </c>
      <c r="CE429">
        <v>4</v>
      </c>
      <c r="CK429" t="s">
        <v>128</v>
      </c>
      <c r="CM429">
        <v>1</v>
      </c>
      <c r="CN429" t="s">
        <v>2554</v>
      </c>
    </row>
    <row r="430" spans="1:92" x14ac:dyDescent="0.2">
      <c r="A430" t="s">
        <v>111</v>
      </c>
      <c r="B430" t="b">
        <v>1</v>
      </c>
      <c r="E430">
        <v>518</v>
      </c>
      <c r="F430" t="str">
        <f>HYPERLINK("https://portal.dnb.de/opac.htm?method=simpleSearch&amp;cqlMode=true&amp;query=idn%3D1132640172", "Portal")</f>
        <v>Portal</v>
      </c>
      <c r="G430" t="s">
        <v>939</v>
      </c>
      <c r="H430" t="s">
        <v>2555</v>
      </c>
      <c r="I430" t="s">
        <v>2556</v>
      </c>
      <c r="J430" t="s">
        <v>2557</v>
      </c>
      <c r="K430" t="s">
        <v>2557</v>
      </c>
      <c r="L430" t="s">
        <v>2558</v>
      </c>
      <c r="N430" t="s">
        <v>2559</v>
      </c>
      <c r="O430" t="s">
        <v>2560</v>
      </c>
      <c r="P430" t="s">
        <v>135</v>
      </c>
      <c r="R430" t="s">
        <v>467</v>
      </c>
      <c r="S430" t="s">
        <v>120</v>
      </c>
      <c r="T430" t="s">
        <v>136</v>
      </c>
      <c r="U430" t="s">
        <v>378</v>
      </c>
      <c r="W430" t="s">
        <v>67</v>
      </c>
      <c r="X430" t="s">
        <v>175</v>
      </c>
      <c r="Y430">
        <v>0</v>
      </c>
      <c r="AI430" t="s">
        <v>469</v>
      </c>
      <c r="AL430" t="s">
        <v>128</v>
      </c>
      <c r="AM430" t="s">
        <v>191</v>
      </c>
      <c r="AS430" t="s">
        <v>127</v>
      </c>
      <c r="BE430">
        <v>4</v>
      </c>
      <c r="BG430" t="s">
        <v>176</v>
      </c>
      <c r="BM430" t="s">
        <v>129</v>
      </c>
      <c r="BN430">
        <v>0</v>
      </c>
      <c r="BP430" t="s">
        <v>177</v>
      </c>
    </row>
    <row r="431" spans="1:92" x14ac:dyDescent="0.2">
      <c r="A431" t="s">
        <v>111</v>
      </c>
      <c r="B431" t="b">
        <v>1</v>
      </c>
      <c r="F431" t="str">
        <f>HYPERLINK("https://portal.dnb.de/opac.htm?method=simpleSearch&amp;cqlMode=true&amp;query=idn%3D1138319503", "Portal")</f>
        <v>Portal</v>
      </c>
      <c r="G431" t="s">
        <v>157</v>
      </c>
      <c r="H431" t="s">
        <v>2561</v>
      </c>
      <c r="I431" t="s">
        <v>2562</v>
      </c>
      <c r="J431" t="s">
        <v>2563</v>
      </c>
      <c r="K431" t="s">
        <v>2563</v>
      </c>
      <c r="L431" t="s">
        <v>2563</v>
      </c>
      <c r="N431" t="s">
        <v>220</v>
      </c>
      <c r="O431" t="s">
        <v>118</v>
      </c>
      <c r="P431" t="s">
        <v>135</v>
      </c>
      <c r="R431" t="s">
        <v>119</v>
      </c>
      <c r="S431" t="s">
        <v>120</v>
      </c>
      <c r="T431" t="s">
        <v>136</v>
      </c>
      <c r="U431" t="s">
        <v>2564</v>
      </c>
      <c r="W431" t="s">
        <v>138</v>
      </c>
      <c r="X431" t="s">
        <v>203</v>
      </c>
      <c r="Y431">
        <v>0</v>
      </c>
      <c r="AI431" t="s">
        <v>125</v>
      </c>
      <c r="AM431" t="s">
        <v>126</v>
      </c>
      <c r="AN431" t="s">
        <v>128</v>
      </c>
      <c r="AS431" t="s">
        <v>127</v>
      </c>
      <c r="BG431">
        <v>60</v>
      </c>
      <c r="BM431" t="s">
        <v>129</v>
      </c>
      <c r="BN431">
        <v>0</v>
      </c>
      <c r="BT431" t="s">
        <v>140</v>
      </c>
      <c r="BU431" t="s">
        <v>128</v>
      </c>
      <c r="BY431" t="s">
        <v>352</v>
      </c>
    </row>
    <row r="432" spans="1:92" x14ac:dyDescent="0.2">
      <c r="A432" t="s">
        <v>111</v>
      </c>
      <c r="B432" t="b">
        <v>1</v>
      </c>
      <c r="E432">
        <v>521</v>
      </c>
      <c r="F432" t="str">
        <f>HYPERLINK("https://portal.dnb.de/opac.htm?method=simpleSearch&amp;cqlMode=true&amp;query=idn%3D1066961697", "Portal")</f>
        <v>Portal</v>
      </c>
      <c r="G432" t="s">
        <v>163</v>
      </c>
      <c r="H432" t="s">
        <v>2565</v>
      </c>
      <c r="I432" t="s">
        <v>2566</v>
      </c>
      <c r="J432" t="s">
        <v>2567</v>
      </c>
      <c r="K432" t="s">
        <v>2567</v>
      </c>
      <c r="L432" t="s">
        <v>2568</v>
      </c>
      <c r="N432" t="s">
        <v>2569</v>
      </c>
      <c r="O432" t="s">
        <v>118</v>
      </c>
      <c r="P432" t="s">
        <v>135</v>
      </c>
      <c r="R432" t="s">
        <v>286</v>
      </c>
      <c r="S432" t="s">
        <v>120</v>
      </c>
      <c r="T432" t="s">
        <v>136</v>
      </c>
      <c r="U432" t="s">
        <v>148</v>
      </c>
      <c r="X432" t="s">
        <v>124</v>
      </c>
      <c r="Y432">
        <v>0</v>
      </c>
      <c r="AI432" t="s">
        <v>149</v>
      </c>
      <c r="AM432" t="s">
        <v>150</v>
      </c>
      <c r="AS432" t="s">
        <v>127</v>
      </c>
      <c r="BG432">
        <v>110</v>
      </c>
      <c r="BM432" t="s">
        <v>129</v>
      </c>
      <c r="BN432">
        <v>0</v>
      </c>
    </row>
    <row r="433" spans="1:92" x14ac:dyDescent="0.2">
      <c r="A433" t="s">
        <v>111</v>
      </c>
      <c r="B433" t="b">
        <v>1</v>
      </c>
      <c r="E433">
        <v>522</v>
      </c>
      <c r="F433" t="str">
        <f>HYPERLINK("https://portal.dnb.de/opac.htm?method=simpleSearch&amp;cqlMode=true&amp;query=idn%3D1066963967", "Portal")</f>
        <v>Portal</v>
      </c>
      <c r="G433" t="s">
        <v>163</v>
      </c>
      <c r="H433" t="s">
        <v>2570</v>
      </c>
      <c r="I433" t="s">
        <v>2571</v>
      </c>
      <c r="J433" t="s">
        <v>2572</v>
      </c>
      <c r="K433" t="s">
        <v>2572</v>
      </c>
      <c r="L433" t="s">
        <v>2573</v>
      </c>
      <c r="N433" t="s">
        <v>2574</v>
      </c>
      <c r="O433" t="s">
        <v>118</v>
      </c>
      <c r="P433" t="s">
        <v>135</v>
      </c>
      <c r="R433" t="s">
        <v>286</v>
      </c>
      <c r="S433" t="s">
        <v>120</v>
      </c>
      <c r="T433" t="s">
        <v>136</v>
      </c>
      <c r="U433" t="s">
        <v>148</v>
      </c>
      <c r="X433" t="s">
        <v>124</v>
      </c>
      <c r="Y433">
        <v>0</v>
      </c>
      <c r="AI433" t="s">
        <v>149</v>
      </c>
      <c r="AM433" t="s">
        <v>150</v>
      </c>
      <c r="AS433" t="s">
        <v>127</v>
      </c>
      <c r="BG433">
        <v>110</v>
      </c>
      <c r="BM433" t="s">
        <v>129</v>
      </c>
      <c r="BN433">
        <v>0</v>
      </c>
    </row>
    <row r="434" spans="1:92" x14ac:dyDescent="0.2">
      <c r="A434" t="s">
        <v>111</v>
      </c>
      <c r="B434" t="b">
        <v>1</v>
      </c>
      <c r="F434" t="str">
        <f>HYPERLINK("https://portal.dnb.de/opac.htm?method=simpleSearch&amp;cqlMode=true&amp;query=idn%3D1142180042", "Portal")</f>
        <v>Portal</v>
      </c>
      <c r="G434" t="s">
        <v>157</v>
      </c>
      <c r="H434" t="s">
        <v>2575</v>
      </c>
      <c r="I434" t="s">
        <v>2576</v>
      </c>
      <c r="J434" t="s">
        <v>2577</v>
      </c>
      <c r="K434" t="s">
        <v>2577</v>
      </c>
      <c r="L434" t="s">
        <v>2577</v>
      </c>
      <c r="N434" t="s">
        <v>2578</v>
      </c>
      <c r="O434" t="s">
        <v>118</v>
      </c>
      <c r="P434" t="s">
        <v>135</v>
      </c>
      <c r="R434" t="s">
        <v>286</v>
      </c>
      <c r="S434" t="s">
        <v>120</v>
      </c>
      <c r="T434" t="s">
        <v>136</v>
      </c>
      <c r="U434" t="s">
        <v>148</v>
      </c>
      <c r="W434" t="s">
        <v>138</v>
      </c>
      <c r="X434" t="s">
        <v>203</v>
      </c>
      <c r="Y434">
        <v>0</v>
      </c>
      <c r="AI434" t="s">
        <v>338</v>
      </c>
      <c r="AM434" t="s">
        <v>150</v>
      </c>
      <c r="AS434" t="s">
        <v>127</v>
      </c>
      <c r="BG434">
        <v>45</v>
      </c>
      <c r="BM434" t="s">
        <v>129</v>
      </c>
      <c r="BN434">
        <v>0</v>
      </c>
      <c r="BT434" t="s">
        <v>140</v>
      </c>
      <c r="BU434" t="s">
        <v>128</v>
      </c>
    </row>
    <row r="435" spans="1:92" x14ac:dyDescent="0.2">
      <c r="A435" t="s">
        <v>111</v>
      </c>
      <c r="B435" t="b">
        <v>1</v>
      </c>
      <c r="E435">
        <v>525</v>
      </c>
      <c r="F435" t="str">
        <f>HYPERLINK("https://portal.dnb.de/opac.htm?method=simpleSearch&amp;cqlMode=true&amp;query=idn%3D1003894852", "Portal")</f>
        <v>Portal</v>
      </c>
      <c r="G435" t="s">
        <v>112</v>
      </c>
      <c r="H435" t="s">
        <v>2579</v>
      </c>
      <c r="I435" t="s">
        <v>2580</v>
      </c>
      <c r="J435" t="s">
        <v>2581</v>
      </c>
      <c r="K435" t="s">
        <v>2581</v>
      </c>
      <c r="L435" t="s">
        <v>2582</v>
      </c>
      <c r="N435" t="s">
        <v>2583</v>
      </c>
      <c r="O435" t="s">
        <v>118</v>
      </c>
      <c r="P435" t="s">
        <v>135</v>
      </c>
      <c r="R435" t="s">
        <v>1025</v>
      </c>
      <c r="S435" t="s">
        <v>120</v>
      </c>
      <c r="T435" t="s">
        <v>136</v>
      </c>
      <c r="U435" t="s">
        <v>378</v>
      </c>
      <c r="W435" t="s">
        <v>138</v>
      </c>
      <c r="X435" t="s">
        <v>203</v>
      </c>
      <c r="Y435">
        <v>0</v>
      </c>
      <c r="AA435" t="s">
        <v>320</v>
      </c>
      <c r="AI435" t="s">
        <v>469</v>
      </c>
      <c r="AM435" t="s">
        <v>191</v>
      </c>
      <c r="AS435" t="s">
        <v>127</v>
      </c>
      <c r="BE435">
        <v>4</v>
      </c>
      <c r="BF435" t="s">
        <v>128</v>
      </c>
      <c r="BG435">
        <v>60</v>
      </c>
      <c r="BM435" t="s">
        <v>129</v>
      </c>
      <c r="BN435">
        <v>0</v>
      </c>
      <c r="BT435" t="s">
        <v>140</v>
      </c>
      <c r="BU435" t="s">
        <v>128</v>
      </c>
    </row>
    <row r="436" spans="1:92" x14ac:dyDescent="0.2">
      <c r="A436" t="s">
        <v>111</v>
      </c>
      <c r="B436" t="b">
        <v>1</v>
      </c>
      <c r="E436">
        <v>526</v>
      </c>
      <c r="F436" t="str">
        <f>HYPERLINK("https://portal.dnb.de/opac.htm?method=simpleSearch&amp;cqlMode=true&amp;query=idn%3D100393739X", "Portal")</f>
        <v>Portal</v>
      </c>
      <c r="G436" t="s">
        <v>112</v>
      </c>
      <c r="H436" t="s">
        <v>2584</v>
      </c>
      <c r="I436" t="s">
        <v>2585</v>
      </c>
      <c r="J436" t="s">
        <v>2586</v>
      </c>
      <c r="K436" t="s">
        <v>2586</v>
      </c>
      <c r="L436" t="s">
        <v>2587</v>
      </c>
      <c r="N436" t="s">
        <v>2588</v>
      </c>
      <c r="O436" t="s">
        <v>118</v>
      </c>
      <c r="P436" t="s">
        <v>135</v>
      </c>
      <c r="R436" t="s">
        <v>162</v>
      </c>
      <c r="S436" t="s">
        <v>120</v>
      </c>
      <c r="T436" t="s">
        <v>136</v>
      </c>
      <c r="U436" t="s">
        <v>148</v>
      </c>
      <c r="Y436">
        <v>0</v>
      </c>
      <c r="AH436" t="s">
        <v>128</v>
      </c>
      <c r="AI436" t="s">
        <v>149</v>
      </c>
      <c r="AM436" t="s">
        <v>150</v>
      </c>
      <c r="AS436" t="s">
        <v>127</v>
      </c>
      <c r="BG436">
        <v>110</v>
      </c>
      <c r="BM436" t="s">
        <v>129</v>
      </c>
      <c r="BN436">
        <v>0</v>
      </c>
    </row>
    <row r="437" spans="1:92" x14ac:dyDescent="0.2">
      <c r="A437" t="s">
        <v>111</v>
      </c>
      <c r="B437" t="b">
        <v>1</v>
      </c>
      <c r="F437" t="str">
        <f>HYPERLINK("https://portal.dnb.de/opac.htm?method=simpleSearch&amp;cqlMode=true&amp;query=idn%3D1138379905", "Portal")</f>
        <v>Portal</v>
      </c>
      <c r="G437" t="s">
        <v>157</v>
      </c>
      <c r="H437" t="s">
        <v>2589</v>
      </c>
      <c r="I437" t="s">
        <v>2590</v>
      </c>
      <c r="J437" t="s">
        <v>2591</v>
      </c>
      <c r="K437" t="s">
        <v>2591</v>
      </c>
      <c r="L437" t="s">
        <v>2591</v>
      </c>
      <c r="N437" t="s">
        <v>220</v>
      </c>
      <c r="O437" t="s">
        <v>118</v>
      </c>
      <c r="P437" t="s">
        <v>135</v>
      </c>
      <c r="R437" t="s">
        <v>467</v>
      </c>
      <c r="S437" t="s">
        <v>120</v>
      </c>
      <c r="T437" t="s">
        <v>136</v>
      </c>
      <c r="W437" t="s">
        <v>67</v>
      </c>
      <c r="X437" t="s">
        <v>175</v>
      </c>
      <c r="Y437">
        <v>0</v>
      </c>
      <c r="AI437" t="s">
        <v>190</v>
      </c>
      <c r="AJ437" t="s">
        <v>2592</v>
      </c>
      <c r="AL437" t="s">
        <v>128</v>
      </c>
      <c r="AM437" t="s">
        <v>191</v>
      </c>
      <c r="AS437" t="s">
        <v>127</v>
      </c>
      <c r="BG437">
        <v>0</v>
      </c>
      <c r="BH437" t="s">
        <v>2593</v>
      </c>
      <c r="BM437" t="s">
        <v>129</v>
      </c>
      <c r="BN437">
        <v>0</v>
      </c>
      <c r="BP437" t="s">
        <v>177</v>
      </c>
    </row>
    <row r="438" spans="1:92" x14ac:dyDescent="0.2">
      <c r="A438" t="s">
        <v>111</v>
      </c>
      <c r="B438" t="b">
        <v>1</v>
      </c>
      <c r="E438">
        <v>530</v>
      </c>
      <c r="F438" t="str">
        <f>HYPERLINK("https://portal.dnb.de/opac.htm?method=simpleSearch&amp;cqlMode=true&amp;query=idn%3D1003839444", "Portal")</f>
        <v>Portal</v>
      </c>
      <c r="G438" t="s">
        <v>112</v>
      </c>
      <c r="H438" t="s">
        <v>2594</v>
      </c>
      <c r="I438" t="s">
        <v>2595</v>
      </c>
      <c r="J438" t="s">
        <v>2596</v>
      </c>
      <c r="K438" t="s">
        <v>2596</v>
      </c>
      <c r="L438" t="s">
        <v>2597</v>
      </c>
      <c r="N438" t="s">
        <v>2598</v>
      </c>
      <c r="O438" t="s">
        <v>118</v>
      </c>
      <c r="P438" t="s">
        <v>135</v>
      </c>
      <c r="R438" t="s">
        <v>147</v>
      </c>
      <c r="S438" t="s">
        <v>120</v>
      </c>
      <c r="T438" t="s">
        <v>156</v>
      </c>
      <c r="U438" t="s">
        <v>148</v>
      </c>
      <c r="W438" t="s">
        <v>138</v>
      </c>
      <c r="X438" t="s">
        <v>139</v>
      </c>
      <c r="Y438">
        <v>0</v>
      </c>
      <c r="AH438" t="s">
        <v>128</v>
      </c>
      <c r="AI438" t="s">
        <v>127</v>
      </c>
      <c r="AM438" t="s">
        <v>150</v>
      </c>
      <c r="AS438" t="s">
        <v>127</v>
      </c>
      <c r="BG438">
        <v>180</v>
      </c>
      <c r="BM438" t="s">
        <v>129</v>
      </c>
      <c r="BN438">
        <v>0</v>
      </c>
      <c r="BT438" t="s">
        <v>140</v>
      </c>
      <c r="BU438" t="s">
        <v>128</v>
      </c>
      <c r="BY438" t="s">
        <v>1535</v>
      </c>
    </row>
    <row r="439" spans="1:92" x14ac:dyDescent="0.2">
      <c r="A439" t="s">
        <v>111</v>
      </c>
      <c r="B439" t="b">
        <v>1</v>
      </c>
      <c r="E439">
        <v>531</v>
      </c>
      <c r="F439" t="str">
        <f>HYPERLINK("https://portal.dnb.de/opac.htm?method=simpleSearch&amp;cqlMode=true&amp;query=idn%3D1005720320", "Portal")</f>
        <v>Portal</v>
      </c>
      <c r="G439" t="s">
        <v>112</v>
      </c>
      <c r="H439" t="s">
        <v>2599</v>
      </c>
      <c r="I439" t="s">
        <v>2600</v>
      </c>
      <c r="J439" t="s">
        <v>2601</v>
      </c>
      <c r="K439" t="s">
        <v>2601</v>
      </c>
      <c r="L439" t="s">
        <v>2602</v>
      </c>
      <c r="N439" t="s">
        <v>2603</v>
      </c>
      <c r="O439" t="s">
        <v>118</v>
      </c>
      <c r="R439" t="s">
        <v>162</v>
      </c>
      <c r="S439" t="s">
        <v>120</v>
      </c>
      <c r="T439" t="s">
        <v>136</v>
      </c>
      <c r="U439" t="s">
        <v>412</v>
      </c>
      <c r="Y439">
        <v>0</v>
      </c>
      <c r="AA439" t="s">
        <v>2604</v>
      </c>
      <c r="AH439" t="s">
        <v>128</v>
      </c>
      <c r="AI439" t="s">
        <v>149</v>
      </c>
      <c r="AL439" t="s">
        <v>128</v>
      </c>
      <c r="AM439" t="s">
        <v>150</v>
      </c>
      <c r="AS439" t="s">
        <v>127</v>
      </c>
      <c r="BG439">
        <v>110</v>
      </c>
      <c r="BM439" t="s">
        <v>129</v>
      </c>
      <c r="BN439">
        <v>0</v>
      </c>
    </row>
    <row r="440" spans="1:92" x14ac:dyDescent="0.2">
      <c r="A440" t="s">
        <v>111</v>
      </c>
      <c r="B440" t="b">
        <v>1</v>
      </c>
      <c r="F440" t="str">
        <f>HYPERLINK("https://portal.dnb.de/opac.htm?method=simpleSearch&amp;cqlMode=true&amp;query=idn%3D1137896159", "Portal")</f>
        <v>Portal</v>
      </c>
      <c r="G440" t="s">
        <v>157</v>
      </c>
      <c r="H440" t="s">
        <v>2605</v>
      </c>
      <c r="I440" t="s">
        <v>2606</v>
      </c>
      <c r="J440" t="s">
        <v>2607</v>
      </c>
      <c r="K440" t="s">
        <v>2607</v>
      </c>
      <c r="L440" t="s">
        <v>2607</v>
      </c>
      <c r="N440" t="s">
        <v>2608</v>
      </c>
      <c r="O440" t="s">
        <v>118</v>
      </c>
      <c r="P440" t="s">
        <v>135</v>
      </c>
      <c r="R440" t="s">
        <v>162</v>
      </c>
      <c r="S440" t="s">
        <v>120</v>
      </c>
      <c r="T440" t="s">
        <v>136</v>
      </c>
      <c r="U440" t="s">
        <v>148</v>
      </c>
      <c r="AI440" t="s">
        <v>149</v>
      </c>
      <c r="AM440" t="s">
        <v>150</v>
      </c>
      <c r="AS440" t="s">
        <v>127</v>
      </c>
      <c r="BG440" t="s">
        <v>176</v>
      </c>
      <c r="BM440" t="s">
        <v>129</v>
      </c>
      <c r="BN440">
        <v>0</v>
      </c>
    </row>
    <row r="441" spans="1:92" x14ac:dyDescent="0.2">
      <c r="A441" t="s">
        <v>111</v>
      </c>
      <c r="B441" t="b">
        <v>1</v>
      </c>
      <c r="E441">
        <v>534</v>
      </c>
      <c r="F441" t="str">
        <f>HYPERLINK("https://portal.dnb.de/opac.htm?method=simpleSearch&amp;cqlMode=true&amp;query=idn%3D1003972462", "Portal")</f>
        <v>Portal</v>
      </c>
      <c r="G441" t="s">
        <v>112</v>
      </c>
      <c r="H441" t="s">
        <v>2609</v>
      </c>
      <c r="I441" t="s">
        <v>2610</v>
      </c>
      <c r="J441" t="s">
        <v>2611</v>
      </c>
      <c r="K441" t="s">
        <v>2611</v>
      </c>
      <c r="L441" t="s">
        <v>2612</v>
      </c>
      <c r="N441" t="s">
        <v>2613</v>
      </c>
      <c r="O441" t="s">
        <v>118</v>
      </c>
      <c r="P441" t="s">
        <v>135</v>
      </c>
      <c r="R441" t="s">
        <v>119</v>
      </c>
      <c r="S441" t="s">
        <v>120</v>
      </c>
      <c r="T441" t="s">
        <v>136</v>
      </c>
      <c r="U441" t="s">
        <v>148</v>
      </c>
      <c r="W441" t="s">
        <v>138</v>
      </c>
      <c r="X441" t="s">
        <v>203</v>
      </c>
      <c r="Y441">
        <v>1</v>
      </c>
      <c r="AH441" t="s">
        <v>128</v>
      </c>
      <c r="AI441" t="s">
        <v>125</v>
      </c>
      <c r="AM441" t="s">
        <v>126</v>
      </c>
      <c r="AS441" t="s">
        <v>127</v>
      </c>
      <c r="BE441">
        <v>4</v>
      </c>
      <c r="BF441" t="s">
        <v>128</v>
      </c>
      <c r="BG441">
        <v>60</v>
      </c>
      <c r="BM441" t="s">
        <v>129</v>
      </c>
      <c r="BN441">
        <v>0</v>
      </c>
      <c r="BT441" t="s">
        <v>140</v>
      </c>
      <c r="BU441" t="s">
        <v>128</v>
      </c>
    </row>
    <row r="442" spans="1:92" x14ac:dyDescent="0.2">
      <c r="A442" t="s">
        <v>111</v>
      </c>
      <c r="B442" t="b">
        <v>1</v>
      </c>
      <c r="E442">
        <v>535</v>
      </c>
      <c r="F442" t="str">
        <f>HYPERLINK("https://portal.dnb.de/opac.htm?method=simpleSearch&amp;cqlMode=true&amp;query=idn%3D1066956502", "Portal")</f>
        <v>Portal</v>
      </c>
      <c r="G442" t="s">
        <v>163</v>
      </c>
      <c r="H442" t="s">
        <v>2614</v>
      </c>
      <c r="I442" t="s">
        <v>2615</v>
      </c>
      <c r="J442" t="s">
        <v>2616</v>
      </c>
      <c r="K442" t="s">
        <v>2616</v>
      </c>
      <c r="L442" t="s">
        <v>2617</v>
      </c>
      <c r="N442" t="s">
        <v>2618</v>
      </c>
      <c r="O442" t="s">
        <v>118</v>
      </c>
      <c r="R442" t="s">
        <v>147</v>
      </c>
      <c r="S442" t="s">
        <v>120</v>
      </c>
      <c r="T442" t="s">
        <v>136</v>
      </c>
      <c r="U442" t="s">
        <v>148</v>
      </c>
      <c r="W442" t="s">
        <v>138</v>
      </c>
      <c r="X442" t="s">
        <v>139</v>
      </c>
      <c r="Y442">
        <v>0</v>
      </c>
      <c r="AH442" t="s">
        <v>128</v>
      </c>
      <c r="AI442" t="s">
        <v>127</v>
      </c>
      <c r="AM442" t="s">
        <v>150</v>
      </c>
      <c r="AS442" t="s">
        <v>127</v>
      </c>
      <c r="BG442">
        <v>110</v>
      </c>
      <c r="BM442" t="s">
        <v>129</v>
      </c>
      <c r="BN442">
        <v>0</v>
      </c>
      <c r="BT442" t="s">
        <v>140</v>
      </c>
      <c r="BU442" t="s">
        <v>128</v>
      </c>
    </row>
    <row r="443" spans="1:92" x14ac:dyDescent="0.2">
      <c r="A443" t="s">
        <v>111</v>
      </c>
      <c r="B443" t="b">
        <v>1</v>
      </c>
      <c r="E443">
        <v>536</v>
      </c>
      <c r="F443" t="str">
        <f>HYPERLINK("https://portal.dnb.de/opac.htm?method=simpleSearch&amp;cqlMode=true&amp;query=idn%3D1003815839", "Portal")</f>
        <v>Portal</v>
      </c>
      <c r="G443" t="s">
        <v>112</v>
      </c>
      <c r="H443" t="s">
        <v>2619</v>
      </c>
      <c r="I443" t="s">
        <v>2620</v>
      </c>
      <c r="J443" t="s">
        <v>2621</v>
      </c>
      <c r="K443" t="s">
        <v>2621</v>
      </c>
      <c r="L443" t="s">
        <v>2622</v>
      </c>
      <c r="N443" t="s">
        <v>2623</v>
      </c>
      <c r="O443" t="s">
        <v>118</v>
      </c>
      <c r="P443" t="s">
        <v>135</v>
      </c>
      <c r="R443" t="s">
        <v>162</v>
      </c>
      <c r="S443" t="s">
        <v>120</v>
      </c>
      <c r="T443" t="s">
        <v>156</v>
      </c>
      <c r="U443" t="s">
        <v>148</v>
      </c>
      <c r="X443" t="s">
        <v>124</v>
      </c>
      <c r="Y443">
        <v>0</v>
      </c>
      <c r="AH443" t="s">
        <v>128</v>
      </c>
      <c r="AI443" t="s">
        <v>149</v>
      </c>
      <c r="AM443" t="s">
        <v>150</v>
      </c>
      <c r="AS443" t="s">
        <v>127</v>
      </c>
      <c r="BG443">
        <v>110</v>
      </c>
      <c r="BM443" t="s">
        <v>129</v>
      </c>
      <c r="BN443">
        <v>0</v>
      </c>
    </row>
    <row r="444" spans="1:92" x14ac:dyDescent="0.2">
      <c r="A444" t="s">
        <v>111</v>
      </c>
      <c r="B444" t="b">
        <v>1</v>
      </c>
      <c r="F444" t="str">
        <f>HYPERLINK("https://portal.dnb.de/opac.htm?method=simpleSearch&amp;cqlMode=true&amp;query=idn%3D013029088", "Portal")</f>
        <v>Portal</v>
      </c>
      <c r="H444" t="s">
        <v>2624</v>
      </c>
      <c r="I444" t="s">
        <v>2625</v>
      </c>
      <c r="K444" t="s">
        <v>2626</v>
      </c>
      <c r="L444" t="s">
        <v>2626</v>
      </c>
      <c r="N444" t="s">
        <v>2627</v>
      </c>
      <c r="O444" t="s">
        <v>118</v>
      </c>
    </row>
    <row r="445" spans="1:92" x14ac:dyDescent="0.2">
      <c r="A445" t="s">
        <v>111</v>
      </c>
      <c r="B445" t="b">
        <v>1</v>
      </c>
      <c r="C445" t="s">
        <v>128</v>
      </c>
      <c r="E445">
        <v>537</v>
      </c>
      <c r="F445" t="str">
        <f>HYPERLINK("https://portal.dnb.de/opac.htm?method=simpleSearch&amp;cqlMode=true&amp;query=idn%3D1142569144", "Portal")</f>
        <v>Portal</v>
      </c>
      <c r="G445" t="s">
        <v>939</v>
      </c>
      <c r="H445" t="s">
        <v>2628</v>
      </c>
      <c r="I445" t="s">
        <v>2629</v>
      </c>
      <c r="J445" t="s">
        <v>2626</v>
      </c>
      <c r="K445" t="s">
        <v>2626</v>
      </c>
      <c r="L445" t="s">
        <v>2630</v>
      </c>
      <c r="N445" t="s">
        <v>2631</v>
      </c>
      <c r="O445" t="s">
        <v>2632</v>
      </c>
      <c r="R445" t="s">
        <v>1025</v>
      </c>
      <c r="S445" t="s">
        <v>120</v>
      </c>
      <c r="T445" t="s">
        <v>136</v>
      </c>
      <c r="W445" t="s">
        <v>67</v>
      </c>
      <c r="X445" t="s">
        <v>175</v>
      </c>
      <c r="Y445">
        <v>2</v>
      </c>
      <c r="AH445" t="s">
        <v>128</v>
      </c>
      <c r="AI445" t="s">
        <v>127</v>
      </c>
      <c r="AJ445" t="s">
        <v>2633</v>
      </c>
      <c r="AM445" t="s">
        <v>191</v>
      </c>
      <c r="AS445" t="s">
        <v>127</v>
      </c>
      <c r="BB445" t="s">
        <v>128</v>
      </c>
      <c r="BD445" t="s">
        <v>128</v>
      </c>
      <c r="BG445" t="s">
        <v>249</v>
      </c>
      <c r="BH445" t="s">
        <v>2634</v>
      </c>
      <c r="BM445" t="s">
        <v>2635</v>
      </c>
      <c r="BN445">
        <v>2</v>
      </c>
      <c r="BP445" t="s">
        <v>177</v>
      </c>
      <c r="BV445" t="s">
        <v>2636</v>
      </c>
      <c r="CB445" t="s">
        <v>128</v>
      </c>
      <c r="CD445" t="s">
        <v>483</v>
      </c>
      <c r="CE445">
        <v>2</v>
      </c>
      <c r="CK445" t="s">
        <v>684</v>
      </c>
      <c r="CM445">
        <v>2</v>
      </c>
      <c r="CN445" t="s">
        <v>2637</v>
      </c>
    </row>
    <row r="446" spans="1:92" x14ac:dyDescent="0.2">
      <c r="A446" t="s">
        <v>111</v>
      </c>
      <c r="B446" t="b">
        <v>1</v>
      </c>
      <c r="E446">
        <v>539</v>
      </c>
      <c r="F446" t="str">
        <f>HYPERLINK("https://portal.dnb.de/opac.htm?method=simpleSearch&amp;cqlMode=true&amp;query=idn%3D1003868339", "Portal")</f>
        <v>Portal</v>
      </c>
      <c r="G446" t="s">
        <v>112</v>
      </c>
      <c r="H446" t="s">
        <v>2638</v>
      </c>
      <c r="I446" t="s">
        <v>2639</v>
      </c>
      <c r="J446" t="s">
        <v>2640</v>
      </c>
      <c r="K446" t="s">
        <v>2640</v>
      </c>
      <c r="L446" t="s">
        <v>2641</v>
      </c>
      <c r="N446" t="s">
        <v>2642</v>
      </c>
      <c r="O446" t="s">
        <v>118</v>
      </c>
      <c r="R446" t="s">
        <v>188</v>
      </c>
      <c r="S446" t="s">
        <v>120</v>
      </c>
      <c r="T446" t="s">
        <v>136</v>
      </c>
      <c r="U446" t="s">
        <v>364</v>
      </c>
      <c r="W446" t="s">
        <v>67</v>
      </c>
      <c r="X446" t="s">
        <v>175</v>
      </c>
      <c r="Y446">
        <v>0</v>
      </c>
      <c r="AH446" t="s">
        <v>128</v>
      </c>
      <c r="AI446" t="s">
        <v>190</v>
      </c>
      <c r="AL446" t="s">
        <v>128</v>
      </c>
      <c r="AM446" t="s">
        <v>204</v>
      </c>
      <c r="AS446" t="s">
        <v>127</v>
      </c>
      <c r="BE446">
        <v>2</v>
      </c>
      <c r="BG446">
        <v>110</v>
      </c>
      <c r="BM446" t="s">
        <v>129</v>
      </c>
      <c r="BN446">
        <v>0</v>
      </c>
      <c r="BP446" t="s">
        <v>177</v>
      </c>
    </row>
    <row r="447" spans="1:92" x14ac:dyDescent="0.2">
      <c r="A447" t="s">
        <v>111</v>
      </c>
      <c r="B447" t="b">
        <v>1</v>
      </c>
      <c r="F447" t="str">
        <f>HYPERLINK("https://portal.dnb.de/opac.htm?method=simpleSearch&amp;cqlMode=true&amp;query=idn%3D114363148X", "Portal")</f>
        <v>Portal</v>
      </c>
      <c r="G447" t="s">
        <v>157</v>
      </c>
      <c r="H447" t="s">
        <v>2643</v>
      </c>
      <c r="I447" t="s">
        <v>2644</v>
      </c>
      <c r="J447" t="s">
        <v>2645</v>
      </c>
      <c r="K447" t="s">
        <v>2645</v>
      </c>
      <c r="L447" t="s">
        <v>2645</v>
      </c>
      <c r="N447" t="s">
        <v>2646</v>
      </c>
      <c r="O447" t="s">
        <v>118</v>
      </c>
      <c r="P447" t="s">
        <v>135</v>
      </c>
      <c r="R447" t="s">
        <v>188</v>
      </c>
      <c r="S447" t="s">
        <v>120</v>
      </c>
      <c r="T447" t="s">
        <v>121</v>
      </c>
      <c r="U447" t="s">
        <v>378</v>
      </c>
      <c r="W447" t="s">
        <v>67</v>
      </c>
      <c r="X447" t="s">
        <v>175</v>
      </c>
      <c r="Y447">
        <v>0</v>
      </c>
      <c r="AH447" t="s">
        <v>128</v>
      </c>
      <c r="AI447" t="s">
        <v>190</v>
      </c>
      <c r="AL447" t="s">
        <v>128</v>
      </c>
      <c r="AM447" t="s">
        <v>191</v>
      </c>
      <c r="AS447" t="s">
        <v>127</v>
      </c>
      <c r="AX447" t="s">
        <v>128</v>
      </c>
      <c r="BE447">
        <v>0</v>
      </c>
      <c r="BF447" t="s">
        <v>128</v>
      </c>
      <c r="BG447">
        <v>110</v>
      </c>
      <c r="BM447" t="s">
        <v>129</v>
      </c>
      <c r="BN447">
        <v>0</v>
      </c>
      <c r="BP447" t="s">
        <v>177</v>
      </c>
    </row>
    <row r="448" spans="1:92" x14ac:dyDescent="0.2">
      <c r="A448" t="s">
        <v>111</v>
      </c>
      <c r="B448" t="b">
        <v>1</v>
      </c>
      <c r="E448">
        <v>542</v>
      </c>
      <c r="F448" t="str">
        <f>HYPERLINK("https://portal.dnb.de/opac.htm?method=simpleSearch&amp;cqlMode=true&amp;query=idn%3D1003923860", "Portal")</f>
        <v>Portal</v>
      </c>
      <c r="G448" t="s">
        <v>112</v>
      </c>
      <c r="H448" t="s">
        <v>2647</v>
      </c>
      <c r="I448" t="s">
        <v>2648</v>
      </c>
      <c r="J448" t="s">
        <v>2649</v>
      </c>
      <c r="K448" t="s">
        <v>2649</v>
      </c>
      <c r="L448" t="s">
        <v>2650</v>
      </c>
      <c r="N448" t="s">
        <v>2651</v>
      </c>
      <c r="O448" t="s">
        <v>118</v>
      </c>
      <c r="P448" t="s">
        <v>135</v>
      </c>
      <c r="R448" t="s">
        <v>188</v>
      </c>
      <c r="S448" t="s">
        <v>120</v>
      </c>
      <c r="T448" t="s">
        <v>136</v>
      </c>
      <c r="U448" t="s">
        <v>599</v>
      </c>
      <c r="W448" t="s">
        <v>138</v>
      </c>
      <c r="X448" t="s">
        <v>203</v>
      </c>
      <c r="Y448">
        <v>1</v>
      </c>
      <c r="AH448" t="s">
        <v>128</v>
      </c>
      <c r="AI448" t="s">
        <v>190</v>
      </c>
      <c r="AM448" t="s">
        <v>191</v>
      </c>
      <c r="AS448" t="s">
        <v>127</v>
      </c>
      <c r="BE448">
        <v>2</v>
      </c>
      <c r="BG448" t="s">
        <v>176</v>
      </c>
      <c r="BM448" t="s">
        <v>129</v>
      </c>
      <c r="BN448">
        <v>0</v>
      </c>
      <c r="BT448" t="s">
        <v>140</v>
      </c>
      <c r="BU448" t="s">
        <v>128</v>
      </c>
      <c r="BY448" t="s">
        <v>1056</v>
      </c>
    </row>
    <row r="449" spans="1:92" x14ac:dyDescent="0.2">
      <c r="A449" t="s">
        <v>111</v>
      </c>
      <c r="B449" t="b">
        <v>1</v>
      </c>
      <c r="E449">
        <v>543</v>
      </c>
      <c r="F449" t="str">
        <f>HYPERLINK("https://portal.dnb.de/opac.htm?method=simpleSearch&amp;cqlMode=true&amp;query=idn%3D1003966950", "Portal")</f>
        <v>Portal</v>
      </c>
      <c r="G449" t="s">
        <v>112</v>
      </c>
      <c r="H449" t="s">
        <v>2652</v>
      </c>
      <c r="I449" t="s">
        <v>2653</v>
      </c>
      <c r="J449" t="s">
        <v>2654</v>
      </c>
      <c r="K449" t="s">
        <v>2654</v>
      </c>
      <c r="L449" t="s">
        <v>2655</v>
      </c>
      <c r="N449" t="s">
        <v>2656</v>
      </c>
      <c r="O449" t="s">
        <v>118</v>
      </c>
      <c r="P449" t="s">
        <v>135</v>
      </c>
      <c r="R449" t="s">
        <v>147</v>
      </c>
      <c r="S449" t="s">
        <v>120</v>
      </c>
      <c r="T449" t="s">
        <v>136</v>
      </c>
      <c r="U449" t="s">
        <v>148</v>
      </c>
      <c r="X449" t="s">
        <v>124</v>
      </c>
      <c r="Y449">
        <v>0</v>
      </c>
      <c r="AA449" t="s">
        <v>2657</v>
      </c>
      <c r="AI449" t="s">
        <v>127</v>
      </c>
      <c r="AM449" t="s">
        <v>150</v>
      </c>
      <c r="AS449" t="s">
        <v>127</v>
      </c>
      <c r="BG449">
        <v>180</v>
      </c>
      <c r="BM449" t="s">
        <v>129</v>
      </c>
      <c r="BN449">
        <v>0</v>
      </c>
      <c r="BV449" t="s">
        <v>2658</v>
      </c>
    </row>
    <row r="450" spans="1:92" x14ac:dyDescent="0.2">
      <c r="A450" t="s">
        <v>111</v>
      </c>
      <c r="B450" t="b">
        <v>1</v>
      </c>
      <c r="E450">
        <v>544</v>
      </c>
      <c r="F450" t="str">
        <f>HYPERLINK("https://portal.dnb.de/opac.htm?method=simpleSearch&amp;cqlMode=true&amp;query=idn%3D100386841X", "Portal")</f>
        <v>Portal</v>
      </c>
      <c r="G450" t="s">
        <v>112</v>
      </c>
      <c r="H450" t="s">
        <v>2659</v>
      </c>
      <c r="I450" t="s">
        <v>2660</v>
      </c>
      <c r="J450" t="s">
        <v>2661</v>
      </c>
      <c r="K450" t="s">
        <v>2661</v>
      </c>
      <c r="L450" t="s">
        <v>2662</v>
      </c>
      <c r="N450" t="s">
        <v>2663</v>
      </c>
      <c r="O450" t="s">
        <v>118</v>
      </c>
      <c r="P450" t="s">
        <v>135</v>
      </c>
      <c r="R450" t="s">
        <v>188</v>
      </c>
      <c r="S450" t="s">
        <v>120</v>
      </c>
      <c r="T450" t="s">
        <v>136</v>
      </c>
      <c r="U450" t="s">
        <v>232</v>
      </c>
      <c r="W450" t="s">
        <v>68</v>
      </c>
      <c r="X450" t="s">
        <v>175</v>
      </c>
      <c r="Y450">
        <v>0</v>
      </c>
      <c r="AF450" t="s">
        <v>2664</v>
      </c>
      <c r="AI450" t="s">
        <v>190</v>
      </c>
      <c r="AM450" t="s">
        <v>191</v>
      </c>
      <c r="AS450" t="s">
        <v>127</v>
      </c>
      <c r="BG450">
        <v>60</v>
      </c>
      <c r="BM450" t="s">
        <v>129</v>
      </c>
      <c r="BN450">
        <v>0</v>
      </c>
      <c r="BQ450" t="s">
        <v>193</v>
      </c>
      <c r="BT450" t="s">
        <v>194</v>
      </c>
    </row>
    <row r="451" spans="1:92" x14ac:dyDescent="0.2">
      <c r="A451" t="s">
        <v>111</v>
      </c>
      <c r="B451" t="b">
        <v>1</v>
      </c>
      <c r="F451" t="str">
        <f>HYPERLINK("https://portal.dnb.de/opac.htm?method=simpleSearch&amp;cqlMode=true&amp;query=idn%3D1137896442", "Portal")</f>
        <v>Portal</v>
      </c>
      <c r="G451" t="s">
        <v>157</v>
      </c>
      <c r="H451" t="s">
        <v>2665</v>
      </c>
      <c r="I451" t="s">
        <v>2666</v>
      </c>
      <c r="J451" t="s">
        <v>2667</v>
      </c>
      <c r="K451" t="s">
        <v>2667</v>
      </c>
      <c r="L451" t="s">
        <v>2667</v>
      </c>
      <c r="N451" t="s">
        <v>2668</v>
      </c>
      <c r="O451" t="s">
        <v>118</v>
      </c>
      <c r="P451" t="s">
        <v>135</v>
      </c>
      <c r="R451" t="s">
        <v>286</v>
      </c>
      <c r="S451" t="s">
        <v>120</v>
      </c>
      <c r="T451" t="s">
        <v>156</v>
      </c>
      <c r="U451" t="s">
        <v>232</v>
      </c>
      <c r="W451" t="s">
        <v>138</v>
      </c>
      <c r="X451" t="s">
        <v>203</v>
      </c>
      <c r="Y451">
        <v>1</v>
      </c>
      <c r="AI451" t="s">
        <v>338</v>
      </c>
      <c r="AM451" t="s">
        <v>150</v>
      </c>
      <c r="AS451" t="s">
        <v>127</v>
      </c>
      <c r="BG451" t="s">
        <v>176</v>
      </c>
      <c r="BM451" t="s">
        <v>129</v>
      </c>
      <c r="BN451">
        <v>0</v>
      </c>
      <c r="BT451" t="s">
        <v>140</v>
      </c>
      <c r="BU451" t="s">
        <v>128</v>
      </c>
    </row>
    <row r="452" spans="1:92" x14ac:dyDescent="0.2">
      <c r="A452" t="s">
        <v>111</v>
      </c>
      <c r="B452" t="b">
        <v>1</v>
      </c>
      <c r="E452">
        <v>549</v>
      </c>
      <c r="F452" t="str">
        <f>HYPERLINK("https://portal.dnb.de/opac.htm?method=simpleSearch&amp;cqlMode=true&amp;query=idn%3D1066768919", "Portal")</f>
        <v>Portal</v>
      </c>
      <c r="G452" t="s">
        <v>163</v>
      </c>
      <c r="H452" t="s">
        <v>2669</v>
      </c>
      <c r="I452" t="s">
        <v>2670</v>
      </c>
      <c r="J452" t="s">
        <v>2671</v>
      </c>
      <c r="K452" t="s">
        <v>2671</v>
      </c>
      <c r="L452" t="s">
        <v>2672</v>
      </c>
      <c r="N452" t="s">
        <v>2673</v>
      </c>
      <c r="O452" t="s">
        <v>118</v>
      </c>
      <c r="P452" t="s">
        <v>135</v>
      </c>
      <c r="R452" t="s">
        <v>162</v>
      </c>
      <c r="S452" t="s">
        <v>120</v>
      </c>
      <c r="T452" t="s">
        <v>156</v>
      </c>
      <c r="U452" t="s">
        <v>2674</v>
      </c>
      <c r="V452" t="s">
        <v>123</v>
      </c>
      <c r="X452" t="s">
        <v>124</v>
      </c>
      <c r="Y452">
        <v>0</v>
      </c>
      <c r="AI452" t="s">
        <v>149</v>
      </c>
      <c r="AM452" t="s">
        <v>150</v>
      </c>
      <c r="AS452" t="s">
        <v>127</v>
      </c>
      <c r="BG452">
        <v>110</v>
      </c>
      <c r="BM452" t="s">
        <v>129</v>
      </c>
      <c r="BN452">
        <v>0</v>
      </c>
      <c r="BY452" t="s">
        <v>2675</v>
      </c>
    </row>
    <row r="453" spans="1:92" x14ac:dyDescent="0.2">
      <c r="A453" t="s">
        <v>111</v>
      </c>
      <c r="B453" t="b">
        <v>1</v>
      </c>
      <c r="E453">
        <v>550</v>
      </c>
      <c r="F453" t="str">
        <f>HYPERLINK("https://portal.dnb.de/opac.htm?method=simpleSearch&amp;cqlMode=true&amp;query=idn%3D1066783659", "Portal")</f>
        <v>Portal</v>
      </c>
      <c r="G453" t="s">
        <v>163</v>
      </c>
      <c r="H453" t="s">
        <v>2676</v>
      </c>
      <c r="I453" t="s">
        <v>2677</v>
      </c>
      <c r="J453" t="s">
        <v>2678</v>
      </c>
      <c r="K453" t="s">
        <v>2678</v>
      </c>
      <c r="L453" t="s">
        <v>2679</v>
      </c>
      <c r="N453" t="s">
        <v>2680</v>
      </c>
      <c r="O453" t="s">
        <v>118</v>
      </c>
      <c r="P453" t="s">
        <v>135</v>
      </c>
      <c r="R453" t="s">
        <v>1025</v>
      </c>
      <c r="S453" t="s">
        <v>120</v>
      </c>
      <c r="T453" t="s">
        <v>156</v>
      </c>
      <c r="U453" t="s">
        <v>148</v>
      </c>
      <c r="W453" t="s">
        <v>67</v>
      </c>
      <c r="X453" t="s">
        <v>175</v>
      </c>
      <c r="Y453">
        <v>0</v>
      </c>
      <c r="AH453" t="s">
        <v>128</v>
      </c>
      <c r="AI453" t="s">
        <v>125</v>
      </c>
      <c r="AJ453" t="s">
        <v>1798</v>
      </c>
      <c r="AL453" t="s">
        <v>128</v>
      </c>
      <c r="AM453" t="s">
        <v>150</v>
      </c>
      <c r="AS453" t="s">
        <v>127</v>
      </c>
      <c r="BG453">
        <v>110</v>
      </c>
      <c r="BM453" t="s">
        <v>129</v>
      </c>
      <c r="BN453">
        <v>0</v>
      </c>
      <c r="BP453" t="s">
        <v>177</v>
      </c>
      <c r="BW453" t="s">
        <v>525</v>
      </c>
      <c r="BX453" t="s">
        <v>2681</v>
      </c>
    </row>
    <row r="454" spans="1:92" x14ac:dyDescent="0.2">
      <c r="A454" t="s">
        <v>111</v>
      </c>
      <c r="B454" t="b">
        <v>1</v>
      </c>
      <c r="E454">
        <v>551</v>
      </c>
      <c r="F454" t="str">
        <f>HYPERLINK("https://portal.dnb.de/opac.htm?method=simpleSearch&amp;cqlMode=true&amp;query=idn%3D1003867839", "Portal")</f>
        <v>Portal</v>
      </c>
      <c r="G454" t="s">
        <v>112</v>
      </c>
      <c r="H454" t="s">
        <v>2682</v>
      </c>
      <c r="I454" t="s">
        <v>2683</v>
      </c>
      <c r="J454" t="s">
        <v>2684</v>
      </c>
      <c r="K454" t="s">
        <v>2684</v>
      </c>
      <c r="L454" t="s">
        <v>2685</v>
      </c>
      <c r="N454" t="s">
        <v>2686</v>
      </c>
      <c r="O454" t="s">
        <v>118</v>
      </c>
      <c r="P454" t="s">
        <v>135</v>
      </c>
      <c r="R454" t="s">
        <v>188</v>
      </c>
      <c r="S454" t="s">
        <v>120</v>
      </c>
      <c r="T454" t="s">
        <v>136</v>
      </c>
      <c r="U454" t="s">
        <v>189</v>
      </c>
      <c r="W454" t="s">
        <v>138</v>
      </c>
      <c r="X454" t="s">
        <v>139</v>
      </c>
      <c r="Y454">
        <v>0</v>
      </c>
      <c r="AH454" t="s">
        <v>128</v>
      </c>
      <c r="AI454" t="s">
        <v>190</v>
      </c>
      <c r="AM454" t="s">
        <v>204</v>
      </c>
      <c r="AS454" t="s">
        <v>127</v>
      </c>
      <c r="BG454" t="s">
        <v>176</v>
      </c>
      <c r="BM454" t="s">
        <v>129</v>
      </c>
      <c r="BN454">
        <v>0</v>
      </c>
      <c r="BT454" t="s">
        <v>140</v>
      </c>
      <c r="BU454" t="s">
        <v>128</v>
      </c>
      <c r="BY454" t="s">
        <v>430</v>
      </c>
    </row>
    <row r="455" spans="1:92" x14ac:dyDescent="0.2">
      <c r="A455" t="s">
        <v>111</v>
      </c>
      <c r="B455" t="b">
        <v>1</v>
      </c>
      <c r="C455" t="s">
        <v>128</v>
      </c>
      <c r="E455">
        <v>552</v>
      </c>
      <c r="F455" t="str">
        <f>HYPERLINK("https://portal.dnb.de/opac.htm?method=simpleSearch&amp;cqlMode=true&amp;query=idn%3D1003888380", "Portal")</f>
        <v>Portal</v>
      </c>
      <c r="G455" t="s">
        <v>112</v>
      </c>
      <c r="H455" t="s">
        <v>2687</v>
      </c>
      <c r="I455" t="s">
        <v>2688</v>
      </c>
      <c r="J455" t="s">
        <v>2689</v>
      </c>
      <c r="K455" t="s">
        <v>2689</v>
      </c>
      <c r="L455" t="s">
        <v>2690</v>
      </c>
      <c r="N455" t="s">
        <v>2691</v>
      </c>
      <c r="O455" t="s">
        <v>118</v>
      </c>
      <c r="P455" t="s">
        <v>135</v>
      </c>
      <c r="R455" t="s">
        <v>467</v>
      </c>
      <c r="S455" t="s">
        <v>120</v>
      </c>
      <c r="T455" t="s">
        <v>136</v>
      </c>
      <c r="U455" t="s">
        <v>423</v>
      </c>
      <c r="W455" t="s">
        <v>138</v>
      </c>
      <c r="X455" t="s">
        <v>203</v>
      </c>
      <c r="Y455">
        <v>2</v>
      </c>
      <c r="AI455" t="s">
        <v>190</v>
      </c>
      <c r="AM455" t="s">
        <v>191</v>
      </c>
      <c r="AS455" t="s">
        <v>127</v>
      </c>
      <c r="BE455">
        <v>4</v>
      </c>
      <c r="BF455" t="s">
        <v>128</v>
      </c>
      <c r="BG455">
        <v>45</v>
      </c>
      <c r="BM455" t="s">
        <v>206</v>
      </c>
      <c r="BN455">
        <v>0.5</v>
      </c>
      <c r="BT455" t="s">
        <v>140</v>
      </c>
      <c r="BU455" t="s">
        <v>128</v>
      </c>
      <c r="BY455" t="s">
        <v>1142</v>
      </c>
      <c r="CA455" t="s">
        <v>128</v>
      </c>
      <c r="CB455" t="s">
        <v>128</v>
      </c>
      <c r="CM455">
        <v>0.5</v>
      </c>
      <c r="CN455" t="s">
        <v>2692</v>
      </c>
    </row>
    <row r="456" spans="1:92" x14ac:dyDescent="0.2">
      <c r="A456" t="s">
        <v>111</v>
      </c>
      <c r="B456" t="b">
        <v>1</v>
      </c>
      <c r="E456">
        <v>553</v>
      </c>
      <c r="F456" t="str">
        <f>HYPERLINK("https://portal.dnb.de/opac.htm?method=simpleSearch&amp;cqlMode=true&amp;query=idn%3D998771511", "Portal")</f>
        <v>Portal</v>
      </c>
      <c r="G456" t="s">
        <v>207</v>
      </c>
      <c r="H456" t="s">
        <v>2693</v>
      </c>
      <c r="I456" t="s">
        <v>2694</v>
      </c>
      <c r="J456" t="s">
        <v>2695</v>
      </c>
      <c r="K456" t="s">
        <v>2695</v>
      </c>
      <c r="L456" t="s">
        <v>2696</v>
      </c>
      <c r="N456" t="s">
        <v>2697</v>
      </c>
      <c r="O456" t="s">
        <v>2698</v>
      </c>
      <c r="P456" t="s">
        <v>135</v>
      </c>
      <c r="R456" t="s">
        <v>162</v>
      </c>
      <c r="S456" t="s">
        <v>120</v>
      </c>
      <c r="T456" t="s">
        <v>136</v>
      </c>
      <c r="U456" t="s">
        <v>232</v>
      </c>
      <c r="X456" t="s">
        <v>124</v>
      </c>
      <c r="Y456">
        <v>0</v>
      </c>
      <c r="AI456" t="s">
        <v>149</v>
      </c>
      <c r="AM456" t="s">
        <v>150</v>
      </c>
      <c r="AS456" t="s">
        <v>127</v>
      </c>
      <c r="BG456">
        <v>80</v>
      </c>
      <c r="BM456" t="s">
        <v>129</v>
      </c>
      <c r="BN456">
        <v>0</v>
      </c>
    </row>
    <row r="457" spans="1:92" x14ac:dyDescent="0.2">
      <c r="A457" t="s">
        <v>111</v>
      </c>
      <c r="B457" t="b">
        <v>1</v>
      </c>
      <c r="E457">
        <v>554</v>
      </c>
      <c r="F457" t="str">
        <f>HYPERLINK("https://portal.dnb.de/opac.htm?method=simpleSearch&amp;cqlMode=true&amp;query=idn%3D1003881777", "Portal")</f>
        <v>Portal</v>
      </c>
      <c r="G457" t="s">
        <v>112</v>
      </c>
      <c r="H457" t="s">
        <v>2699</v>
      </c>
      <c r="I457" t="s">
        <v>2700</v>
      </c>
      <c r="J457" t="s">
        <v>2701</v>
      </c>
      <c r="K457" t="s">
        <v>2701</v>
      </c>
      <c r="L457" t="s">
        <v>2702</v>
      </c>
      <c r="N457" t="s">
        <v>2703</v>
      </c>
      <c r="O457" t="s">
        <v>118</v>
      </c>
      <c r="P457" t="s">
        <v>135</v>
      </c>
      <c r="R457" t="s">
        <v>1590</v>
      </c>
      <c r="S457" t="s">
        <v>120</v>
      </c>
      <c r="T457" t="s">
        <v>156</v>
      </c>
      <c r="W457" t="s">
        <v>138</v>
      </c>
      <c r="X457" t="s">
        <v>203</v>
      </c>
      <c r="Y457">
        <v>0</v>
      </c>
      <c r="AH457" t="s">
        <v>128</v>
      </c>
      <c r="AI457" t="s">
        <v>1591</v>
      </c>
      <c r="AS457" t="s">
        <v>127</v>
      </c>
      <c r="BG457">
        <v>180</v>
      </c>
      <c r="BM457" t="s">
        <v>129</v>
      </c>
      <c r="BN457">
        <v>0</v>
      </c>
      <c r="BT457" t="s">
        <v>140</v>
      </c>
      <c r="BU457" t="s">
        <v>128</v>
      </c>
      <c r="BY457" t="s">
        <v>2704</v>
      </c>
    </row>
    <row r="458" spans="1:92" x14ac:dyDescent="0.2">
      <c r="A458" t="s">
        <v>111</v>
      </c>
      <c r="B458" t="b">
        <v>1</v>
      </c>
      <c r="E458">
        <v>555</v>
      </c>
      <c r="F458" t="str">
        <f>HYPERLINK("https://portal.dnb.de/opac.htm?method=simpleSearch&amp;cqlMode=true&amp;query=idn%3D1003961746", "Portal")</f>
        <v>Portal</v>
      </c>
      <c r="G458" t="s">
        <v>112</v>
      </c>
      <c r="H458" t="s">
        <v>2705</v>
      </c>
      <c r="I458" t="s">
        <v>2706</v>
      </c>
      <c r="J458" t="s">
        <v>2707</v>
      </c>
      <c r="K458" t="s">
        <v>2707</v>
      </c>
      <c r="L458" t="s">
        <v>2708</v>
      </c>
      <c r="N458" t="s">
        <v>2709</v>
      </c>
      <c r="O458" t="s">
        <v>118</v>
      </c>
      <c r="P458" t="s">
        <v>135</v>
      </c>
      <c r="R458" t="s">
        <v>188</v>
      </c>
      <c r="S458" t="s">
        <v>120</v>
      </c>
      <c r="T458" t="s">
        <v>136</v>
      </c>
      <c r="U458" t="s">
        <v>232</v>
      </c>
      <c r="W458" t="s">
        <v>138</v>
      </c>
      <c r="X458" t="s">
        <v>203</v>
      </c>
      <c r="Y458">
        <v>0</v>
      </c>
      <c r="AI458" t="s">
        <v>190</v>
      </c>
      <c r="AM458" t="s">
        <v>150</v>
      </c>
      <c r="AS458" t="s">
        <v>127</v>
      </c>
      <c r="BG458">
        <v>60</v>
      </c>
      <c r="BM458" t="s">
        <v>129</v>
      </c>
      <c r="BN458">
        <v>0</v>
      </c>
      <c r="BT458" t="s">
        <v>140</v>
      </c>
      <c r="BU458" t="s">
        <v>128</v>
      </c>
      <c r="BY458" t="s">
        <v>1048</v>
      </c>
    </row>
    <row r="459" spans="1:92" x14ac:dyDescent="0.2">
      <c r="A459" t="s">
        <v>111</v>
      </c>
      <c r="B459" t="b">
        <v>1</v>
      </c>
      <c r="E459">
        <v>556</v>
      </c>
      <c r="F459" t="str">
        <f>HYPERLINK("https://portal.dnb.de/opac.htm?method=simpleSearch&amp;cqlMode=true&amp;query=idn%3D1003968090", "Portal")</f>
        <v>Portal</v>
      </c>
      <c r="G459" t="s">
        <v>112</v>
      </c>
      <c r="H459" t="s">
        <v>2710</v>
      </c>
      <c r="I459" t="s">
        <v>2711</v>
      </c>
      <c r="J459" t="s">
        <v>2712</v>
      </c>
      <c r="K459" t="s">
        <v>2712</v>
      </c>
      <c r="L459" t="s">
        <v>2713</v>
      </c>
      <c r="N459" t="s">
        <v>2714</v>
      </c>
      <c r="O459" t="s">
        <v>118</v>
      </c>
      <c r="P459" t="s">
        <v>135</v>
      </c>
      <c r="R459" t="s">
        <v>188</v>
      </c>
      <c r="S459" t="s">
        <v>120</v>
      </c>
      <c r="T459" t="s">
        <v>136</v>
      </c>
      <c r="U459" t="s">
        <v>412</v>
      </c>
      <c r="W459" t="s">
        <v>138</v>
      </c>
      <c r="X459" t="s">
        <v>203</v>
      </c>
      <c r="Y459">
        <v>1</v>
      </c>
      <c r="AH459" t="s">
        <v>128</v>
      </c>
      <c r="AI459" t="s">
        <v>190</v>
      </c>
      <c r="AL459" t="s">
        <v>128</v>
      </c>
      <c r="AM459" t="s">
        <v>150</v>
      </c>
      <c r="AS459" t="s">
        <v>127</v>
      </c>
      <c r="BE459">
        <v>2</v>
      </c>
      <c r="BF459" t="s">
        <v>128</v>
      </c>
      <c r="BG459">
        <v>60</v>
      </c>
      <c r="BM459" t="s">
        <v>129</v>
      </c>
      <c r="BN459">
        <v>0</v>
      </c>
      <c r="BT459" t="s">
        <v>140</v>
      </c>
      <c r="BU459" t="s">
        <v>128</v>
      </c>
      <c r="BW459" t="s">
        <v>2715</v>
      </c>
      <c r="BX459" t="s">
        <v>2716</v>
      </c>
      <c r="BY459" t="s">
        <v>430</v>
      </c>
    </row>
    <row r="460" spans="1:92" x14ac:dyDescent="0.2">
      <c r="A460" t="s">
        <v>111</v>
      </c>
      <c r="B460" t="b">
        <v>1</v>
      </c>
      <c r="E460">
        <v>557</v>
      </c>
      <c r="F460" t="str">
        <f>HYPERLINK("https://portal.dnb.de/opac.htm?method=simpleSearch&amp;cqlMode=true&amp;query=idn%3D1003923070", "Portal")</f>
        <v>Portal</v>
      </c>
      <c r="G460" t="s">
        <v>112</v>
      </c>
      <c r="H460" t="s">
        <v>2717</v>
      </c>
      <c r="I460" t="s">
        <v>2718</v>
      </c>
      <c r="J460" t="s">
        <v>2719</v>
      </c>
      <c r="K460" t="s">
        <v>2719</v>
      </c>
      <c r="L460" t="s">
        <v>2720</v>
      </c>
      <c r="N460" t="s">
        <v>2721</v>
      </c>
      <c r="O460" t="s">
        <v>118</v>
      </c>
      <c r="P460" t="s">
        <v>135</v>
      </c>
      <c r="R460" t="s">
        <v>1590</v>
      </c>
      <c r="S460" t="s">
        <v>120</v>
      </c>
      <c r="T460" t="s">
        <v>136</v>
      </c>
      <c r="X460" t="s">
        <v>124</v>
      </c>
      <c r="Y460">
        <v>0</v>
      </c>
      <c r="AI460" t="s">
        <v>1591</v>
      </c>
      <c r="AL460" t="s">
        <v>128</v>
      </c>
      <c r="AS460" t="s">
        <v>127</v>
      </c>
      <c r="BG460">
        <v>180</v>
      </c>
      <c r="BM460" t="s">
        <v>129</v>
      </c>
      <c r="BN460">
        <v>0</v>
      </c>
      <c r="BY460" t="s">
        <v>1594</v>
      </c>
    </row>
    <row r="461" spans="1:92" x14ac:dyDescent="0.2">
      <c r="A461" t="s">
        <v>111</v>
      </c>
      <c r="B461" t="b">
        <v>1</v>
      </c>
      <c r="E461">
        <v>558</v>
      </c>
      <c r="F461" t="str">
        <f>HYPERLINK("https://portal.dnb.de/opac.htm?method=simpleSearch&amp;cqlMode=true&amp;query=idn%3D996539239", "Portal")</f>
        <v>Portal</v>
      </c>
      <c r="G461" t="s">
        <v>112</v>
      </c>
      <c r="H461" t="s">
        <v>2722</v>
      </c>
      <c r="I461" t="s">
        <v>2723</v>
      </c>
      <c r="J461" t="s">
        <v>2724</v>
      </c>
      <c r="K461" t="s">
        <v>2724</v>
      </c>
      <c r="L461" t="s">
        <v>2725</v>
      </c>
      <c r="N461" t="s">
        <v>2726</v>
      </c>
      <c r="O461" t="s">
        <v>118</v>
      </c>
      <c r="P461" t="s">
        <v>135</v>
      </c>
      <c r="R461" t="s">
        <v>1590</v>
      </c>
      <c r="S461" t="s">
        <v>120</v>
      </c>
      <c r="T461" t="s">
        <v>156</v>
      </c>
      <c r="Y461">
        <v>0</v>
      </c>
      <c r="AI461" t="s">
        <v>1591</v>
      </c>
      <c r="AL461" t="s">
        <v>128</v>
      </c>
      <c r="AS461" t="s">
        <v>127</v>
      </c>
      <c r="BG461">
        <v>180</v>
      </c>
      <c r="BM461" t="s">
        <v>129</v>
      </c>
      <c r="BN461">
        <v>0</v>
      </c>
    </row>
    <row r="462" spans="1:92" x14ac:dyDescent="0.2">
      <c r="A462" t="s">
        <v>111</v>
      </c>
      <c r="B462" t="b">
        <v>1</v>
      </c>
      <c r="E462">
        <v>559</v>
      </c>
      <c r="F462" t="str">
        <f>HYPERLINK("https://portal.dnb.de/opac.htm?method=simpleSearch&amp;cqlMode=true&amp;query=idn%3D996537732", "Portal")</f>
        <v>Portal</v>
      </c>
      <c r="G462" t="s">
        <v>112</v>
      </c>
      <c r="H462" t="s">
        <v>2727</v>
      </c>
      <c r="I462" t="s">
        <v>2728</v>
      </c>
      <c r="J462" t="s">
        <v>2729</v>
      </c>
      <c r="K462" t="s">
        <v>2729</v>
      </c>
      <c r="L462" t="s">
        <v>2730</v>
      </c>
      <c r="N462" t="s">
        <v>2731</v>
      </c>
      <c r="O462" t="s">
        <v>118</v>
      </c>
      <c r="P462" t="s">
        <v>135</v>
      </c>
      <c r="R462" t="s">
        <v>1590</v>
      </c>
      <c r="S462" t="s">
        <v>120</v>
      </c>
      <c r="T462" t="s">
        <v>156</v>
      </c>
      <c r="X462" t="s">
        <v>124</v>
      </c>
      <c r="Y462">
        <v>0</v>
      </c>
      <c r="AI462" t="s">
        <v>1591</v>
      </c>
      <c r="AL462" t="s">
        <v>128</v>
      </c>
      <c r="AS462" t="s">
        <v>127</v>
      </c>
      <c r="BG462">
        <v>180</v>
      </c>
      <c r="BM462" t="s">
        <v>129</v>
      </c>
      <c r="BN462">
        <v>0</v>
      </c>
    </row>
    <row r="463" spans="1:92" x14ac:dyDescent="0.2">
      <c r="A463" t="s">
        <v>111</v>
      </c>
      <c r="B463" t="b">
        <v>1</v>
      </c>
      <c r="F463" t="str">
        <f>HYPERLINK("https://portal.dnb.de/opac.htm?method=simpleSearch&amp;cqlMode=true&amp;query=idn%3D1003965482", "Portal")</f>
        <v>Portal</v>
      </c>
      <c r="G463" t="s">
        <v>2732</v>
      </c>
      <c r="H463" t="s">
        <v>2733</v>
      </c>
      <c r="I463" t="s">
        <v>2734</v>
      </c>
      <c r="J463" t="s">
        <v>2735</v>
      </c>
      <c r="K463" t="s">
        <v>2735</v>
      </c>
      <c r="L463" t="s">
        <v>2735</v>
      </c>
      <c r="N463" t="s">
        <v>2736</v>
      </c>
      <c r="O463" t="s">
        <v>118</v>
      </c>
    </row>
    <row r="464" spans="1:92" x14ac:dyDescent="0.2">
      <c r="A464" t="s">
        <v>111</v>
      </c>
      <c r="B464" t="b">
        <v>1</v>
      </c>
      <c r="E464">
        <v>560</v>
      </c>
      <c r="F464" t="str">
        <f>HYPERLINK("https://portal.dnb.de/opac.htm?method=simpleSearch&amp;cqlMode=true&amp;query=idn%3D1003866476", "Portal")</f>
        <v>Portal</v>
      </c>
      <c r="G464" t="s">
        <v>112</v>
      </c>
      <c r="H464" t="s">
        <v>2737</v>
      </c>
      <c r="I464" t="s">
        <v>2738</v>
      </c>
      <c r="J464" t="s">
        <v>2739</v>
      </c>
      <c r="K464" t="s">
        <v>2739</v>
      </c>
      <c r="L464" t="s">
        <v>2740</v>
      </c>
      <c r="N464" t="s">
        <v>2741</v>
      </c>
      <c r="O464" t="s">
        <v>118</v>
      </c>
      <c r="P464" t="s">
        <v>135</v>
      </c>
      <c r="R464" t="s">
        <v>467</v>
      </c>
      <c r="S464" t="s">
        <v>120</v>
      </c>
      <c r="T464" t="s">
        <v>136</v>
      </c>
      <c r="U464" t="s">
        <v>378</v>
      </c>
      <c r="W464" t="s">
        <v>365</v>
      </c>
      <c r="X464" t="s">
        <v>203</v>
      </c>
      <c r="Y464">
        <v>0</v>
      </c>
      <c r="AI464" t="s">
        <v>469</v>
      </c>
      <c r="AL464" t="s">
        <v>128</v>
      </c>
      <c r="AM464" t="s">
        <v>191</v>
      </c>
      <c r="AS464" t="s">
        <v>127</v>
      </c>
      <c r="BG464">
        <v>110</v>
      </c>
      <c r="BK464" t="s">
        <v>128</v>
      </c>
      <c r="BM464" t="s">
        <v>129</v>
      </c>
      <c r="BN464">
        <v>0</v>
      </c>
      <c r="BS464" t="s">
        <v>140</v>
      </c>
      <c r="BU464" t="s">
        <v>128</v>
      </c>
      <c r="BY464" t="s">
        <v>368</v>
      </c>
    </row>
    <row r="465" spans="1:111" x14ac:dyDescent="0.2">
      <c r="A465" t="s">
        <v>111</v>
      </c>
      <c r="B465" t="b">
        <v>1</v>
      </c>
      <c r="F465" t="str">
        <f>HYPERLINK("https://portal.dnb.de/opac.htm?method=simpleSearch&amp;cqlMode=true&amp;query=idn%3D1262359368", "Portal")</f>
        <v>Portal</v>
      </c>
      <c r="G465" t="s">
        <v>939</v>
      </c>
      <c r="H465" t="s">
        <v>2742</v>
      </c>
      <c r="I465" t="s">
        <v>2743</v>
      </c>
      <c r="J465" t="s">
        <v>2744</v>
      </c>
      <c r="K465" t="s">
        <v>2744</v>
      </c>
      <c r="L465" t="s">
        <v>2744</v>
      </c>
      <c r="N465" t="s">
        <v>2745</v>
      </c>
      <c r="O465" t="s">
        <v>2746</v>
      </c>
      <c r="P465" t="s">
        <v>135</v>
      </c>
      <c r="R465" t="s">
        <v>147</v>
      </c>
      <c r="S465" t="s">
        <v>120</v>
      </c>
      <c r="T465" t="s">
        <v>156</v>
      </c>
      <c r="X465" t="s">
        <v>124</v>
      </c>
      <c r="Y465">
        <v>0</v>
      </c>
      <c r="AI465" t="s">
        <v>1591</v>
      </c>
      <c r="AS465" t="s">
        <v>127</v>
      </c>
      <c r="BG465">
        <v>180</v>
      </c>
      <c r="BM465" t="s">
        <v>129</v>
      </c>
      <c r="BN465">
        <v>0</v>
      </c>
    </row>
    <row r="466" spans="1:111" x14ac:dyDescent="0.2">
      <c r="A466" t="s">
        <v>111</v>
      </c>
      <c r="B466" t="b">
        <v>1</v>
      </c>
      <c r="F466" t="str">
        <f>HYPERLINK("https://portal.dnb.de/opac.htm?method=simpleSearch&amp;cqlMode=true&amp;query=idn%3D016590341", "Portal")</f>
        <v>Portal</v>
      </c>
      <c r="H466" t="s">
        <v>2747</v>
      </c>
      <c r="I466" t="s">
        <v>2748</v>
      </c>
      <c r="K466" t="s">
        <v>2744</v>
      </c>
      <c r="L466" t="s">
        <v>2744</v>
      </c>
      <c r="N466" t="s">
        <v>2749</v>
      </c>
      <c r="O466" t="s">
        <v>118</v>
      </c>
    </row>
    <row r="467" spans="1:111" x14ac:dyDescent="0.2">
      <c r="A467" t="s">
        <v>111</v>
      </c>
      <c r="B467" t="b">
        <v>1</v>
      </c>
      <c r="E467">
        <v>562</v>
      </c>
      <c r="F467" t="str">
        <f>HYPERLINK("https://portal.dnb.de/opac.htm?method=simpleSearch&amp;cqlMode=true&amp;query=idn%3D1003987109", "Portal")</f>
        <v>Portal</v>
      </c>
      <c r="G467" t="s">
        <v>112</v>
      </c>
      <c r="H467" t="s">
        <v>2750</v>
      </c>
      <c r="I467" t="s">
        <v>2751</v>
      </c>
      <c r="J467" t="s">
        <v>2752</v>
      </c>
      <c r="K467" t="s">
        <v>2752</v>
      </c>
      <c r="L467" t="s">
        <v>2753</v>
      </c>
      <c r="N467" t="s">
        <v>2754</v>
      </c>
      <c r="O467" t="s">
        <v>118</v>
      </c>
      <c r="P467" t="s">
        <v>135</v>
      </c>
      <c r="R467" t="s">
        <v>1590</v>
      </c>
      <c r="S467" t="s">
        <v>120</v>
      </c>
      <c r="T467" t="s">
        <v>156</v>
      </c>
      <c r="W467" t="s">
        <v>67</v>
      </c>
      <c r="X467" t="s">
        <v>606</v>
      </c>
      <c r="Y467">
        <v>2</v>
      </c>
      <c r="AH467" t="s">
        <v>128</v>
      </c>
      <c r="AI467" t="s">
        <v>1591</v>
      </c>
      <c r="AM467" t="s">
        <v>191</v>
      </c>
      <c r="AS467" t="s">
        <v>127</v>
      </c>
      <c r="BG467">
        <v>110</v>
      </c>
      <c r="BM467" t="s">
        <v>129</v>
      </c>
      <c r="BN467">
        <v>0</v>
      </c>
      <c r="BP467" t="s">
        <v>177</v>
      </c>
    </row>
    <row r="468" spans="1:111" x14ac:dyDescent="0.2">
      <c r="A468" t="s">
        <v>111</v>
      </c>
      <c r="B468" t="b">
        <v>1</v>
      </c>
      <c r="E468">
        <v>563</v>
      </c>
      <c r="F468" t="str">
        <f>HYPERLINK("https://portal.dnb.de/opac.htm?method=simpleSearch&amp;cqlMode=true&amp;query=idn%3D1003978576", "Portal")</f>
        <v>Portal</v>
      </c>
      <c r="G468" t="s">
        <v>112</v>
      </c>
      <c r="H468" t="s">
        <v>2755</v>
      </c>
      <c r="I468" t="s">
        <v>2756</v>
      </c>
      <c r="J468" t="s">
        <v>2757</v>
      </c>
      <c r="K468" t="s">
        <v>2757</v>
      </c>
      <c r="L468" t="s">
        <v>2758</v>
      </c>
      <c r="N468" t="s">
        <v>2759</v>
      </c>
      <c r="O468" t="s">
        <v>118</v>
      </c>
      <c r="P468" t="s">
        <v>135</v>
      </c>
      <c r="R468" t="s">
        <v>147</v>
      </c>
      <c r="S468" t="s">
        <v>120</v>
      </c>
      <c r="T468" t="s">
        <v>136</v>
      </c>
      <c r="U468" t="s">
        <v>148</v>
      </c>
      <c r="X468" t="s">
        <v>124</v>
      </c>
      <c r="Y468">
        <v>1</v>
      </c>
      <c r="AI468" t="s">
        <v>127</v>
      </c>
      <c r="AM468" t="s">
        <v>150</v>
      </c>
      <c r="AS468" t="s">
        <v>127</v>
      </c>
      <c r="BG468">
        <v>110</v>
      </c>
      <c r="BM468" t="s">
        <v>129</v>
      </c>
      <c r="BN468">
        <v>0</v>
      </c>
    </row>
    <row r="469" spans="1:111" x14ac:dyDescent="0.2">
      <c r="A469" t="s">
        <v>111</v>
      </c>
      <c r="B469" t="b">
        <v>1</v>
      </c>
      <c r="E469">
        <v>564</v>
      </c>
      <c r="F469" t="str">
        <f>HYPERLINK("https://portal.dnb.de/opac.htm?method=simpleSearch&amp;cqlMode=true&amp;query=idn%3D100389013X", "Portal")</f>
        <v>Portal</v>
      </c>
      <c r="G469" t="s">
        <v>112</v>
      </c>
      <c r="H469" t="s">
        <v>2760</v>
      </c>
      <c r="I469" t="s">
        <v>2761</v>
      </c>
      <c r="J469" t="s">
        <v>2762</v>
      </c>
      <c r="K469" t="s">
        <v>2762</v>
      </c>
      <c r="L469" t="s">
        <v>2763</v>
      </c>
      <c r="N469" t="s">
        <v>2764</v>
      </c>
      <c r="O469" t="s">
        <v>118</v>
      </c>
      <c r="P469" t="s">
        <v>135</v>
      </c>
      <c r="R469" t="s">
        <v>618</v>
      </c>
      <c r="S469" t="s">
        <v>120</v>
      </c>
      <c r="T469" t="s">
        <v>136</v>
      </c>
      <c r="U469" t="s">
        <v>148</v>
      </c>
      <c r="Y469">
        <v>0</v>
      </c>
      <c r="AI469" t="s">
        <v>621</v>
      </c>
      <c r="AL469" t="s">
        <v>128</v>
      </c>
      <c r="AM469" t="s">
        <v>150</v>
      </c>
      <c r="AS469" t="s">
        <v>127</v>
      </c>
      <c r="BG469">
        <v>110</v>
      </c>
      <c r="BM469" t="s">
        <v>129</v>
      </c>
      <c r="BN469">
        <v>0</v>
      </c>
    </row>
    <row r="470" spans="1:111" x14ac:dyDescent="0.2">
      <c r="A470" t="s">
        <v>111</v>
      </c>
      <c r="B470" t="b">
        <v>1</v>
      </c>
      <c r="E470">
        <v>565</v>
      </c>
      <c r="F470" t="str">
        <f>HYPERLINK("https://portal.dnb.de/opac.htm?method=simpleSearch&amp;cqlMode=true&amp;query=idn%3D1003919219", "Portal")</f>
        <v>Portal</v>
      </c>
      <c r="G470" t="s">
        <v>112</v>
      </c>
      <c r="H470" t="s">
        <v>2765</v>
      </c>
      <c r="I470" t="s">
        <v>2766</v>
      </c>
      <c r="J470" t="s">
        <v>2767</v>
      </c>
      <c r="K470" t="s">
        <v>2767</v>
      </c>
      <c r="L470" t="s">
        <v>2768</v>
      </c>
      <c r="N470" t="s">
        <v>2769</v>
      </c>
      <c r="O470" t="s">
        <v>118</v>
      </c>
      <c r="P470" t="s">
        <v>135</v>
      </c>
      <c r="R470" t="s">
        <v>1590</v>
      </c>
      <c r="S470" t="s">
        <v>120</v>
      </c>
      <c r="T470" t="s">
        <v>156</v>
      </c>
      <c r="W470" t="s">
        <v>67</v>
      </c>
      <c r="X470" t="s">
        <v>175</v>
      </c>
      <c r="Y470">
        <v>1</v>
      </c>
      <c r="AH470" t="s">
        <v>128</v>
      </c>
      <c r="AI470" t="s">
        <v>1591</v>
      </c>
      <c r="AM470" t="s">
        <v>191</v>
      </c>
      <c r="AS470" t="s">
        <v>127</v>
      </c>
      <c r="BG470">
        <v>180</v>
      </c>
      <c r="BM470" t="s">
        <v>129</v>
      </c>
      <c r="BN470">
        <v>0</v>
      </c>
      <c r="BP470" t="s">
        <v>177</v>
      </c>
    </row>
    <row r="471" spans="1:111" x14ac:dyDescent="0.2">
      <c r="A471" t="s">
        <v>111</v>
      </c>
      <c r="B471" t="b">
        <v>1</v>
      </c>
      <c r="E471">
        <v>566</v>
      </c>
      <c r="F471" t="str">
        <f>HYPERLINK("https://portal.dnb.de/opac.htm?method=simpleSearch&amp;cqlMode=true&amp;query=idn%3D1003839908", "Portal")</f>
        <v>Portal</v>
      </c>
      <c r="G471" t="s">
        <v>112</v>
      </c>
      <c r="H471" t="s">
        <v>2770</v>
      </c>
      <c r="I471" t="s">
        <v>2771</v>
      </c>
      <c r="J471" t="s">
        <v>2772</v>
      </c>
      <c r="K471" t="s">
        <v>2772</v>
      </c>
      <c r="L471" t="s">
        <v>2773</v>
      </c>
      <c r="N471" t="s">
        <v>2774</v>
      </c>
      <c r="O471" t="s">
        <v>118</v>
      </c>
      <c r="P471" t="s">
        <v>135</v>
      </c>
      <c r="R471" t="s">
        <v>1590</v>
      </c>
      <c r="S471" t="s">
        <v>120</v>
      </c>
      <c r="T471" t="s">
        <v>156</v>
      </c>
      <c r="W471" t="s">
        <v>67</v>
      </c>
      <c r="X471" t="s">
        <v>175</v>
      </c>
      <c r="Y471">
        <v>1</v>
      </c>
      <c r="AI471" t="s">
        <v>1591</v>
      </c>
      <c r="AM471" t="s">
        <v>191</v>
      </c>
      <c r="AS471" t="s">
        <v>127</v>
      </c>
      <c r="BG471">
        <v>180</v>
      </c>
      <c r="BM471" t="s">
        <v>129</v>
      </c>
      <c r="BN471">
        <v>0</v>
      </c>
      <c r="BP471" t="s">
        <v>177</v>
      </c>
    </row>
    <row r="472" spans="1:111" x14ac:dyDescent="0.2">
      <c r="A472" t="s">
        <v>111</v>
      </c>
      <c r="B472" t="b">
        <v>1</v>
      </c>
      <c r="E472">
        <v>567</v>
      </c>
      <c r="F472" t="str">
        <f>HYPERLINK("https://portal.dnb.de/opac.htm?method=simpleSearch&amp;cqlMode=true&amp;query=idn%3D1003867219", "Portal")</f>
        <v>Portal</v>
      </c>
      <c r="G472" t="s">
        <v>112</v>
      </c>
      <c r="H472" t="s">
        <v>2775</v>
      </c>
      <c r="I472" t="s">
        <v>2776</v>
      </c>
      <c r="J472" t="s">
        <v>2777</v>
      </c>
      <c r="K472" t="s">
        <v>2777</v>
      </c>
      <c r="L472" t="s">
        <v>2778</v>
      </c>
      <c r="N472" t="s">
        <v>2779</v>
      </c>
      <c r="O472" t="s">
        <v>118</v>
      </c>
      <c r="P472" t="s">
        <v>135</v>
      </c>
      <c r="R472" t="s">
        <v>1590</v>
      </c>
      <c r="S472" t="s">
        <v>120</v>
      </c>
      <c r="T472" t="s">
        <v>156</v>
      </c>
      <c r="U472" t="s">
        <v>2367</v>
      </c>
      <c r="W472" t="s">
        <v>67</v>
      </c>
      <c r="X472" t="s">
        <v>175</v>
      </c>
      <c r="Y472">
        <v>1</v>
      </c>
      <c r="AA472" t="s">
        <v>320</v>
      </c>
      <c r="AI472" t="s">
        <v>1591</v>
      </c>
      <c r="AM472" t="s">
        <v>191</v>
      </c>
      <c r="AS472" t="s">
        <v>127</v>
      </c>
      <c r="BG472">
        <v>180</v>
      </c>
      <c r="BM472" t="s">
        <v>129</v>
      </c>
      <c r="BN472">
        <v>0</v>
      </c>
      <c r="BP472" t="s">
        <v>177</v>
      </c>
    </row>
    <row r="473" spans="1:111" x14ac:dyDescent="0.2">
      <c r="A473" t="s">
        <v>111</v>
      </c>
      <c r="B473" t="b">
        <v>1</v>
      </c>
      <c r="E473">
        <v>568</v>
      </c>
      <c r="F473" t="str">
        <f>HYPERLINK("https://portal.dnb.de/opac.htm?method=simpleSearch&amp;cqlMode=true&amp;query=idn%3D100399136X", "Portal")</f>
        <v>Portal</v>
      </c>
      <c r="G473" t="s">
        <v>112</v>
      </c>
      <c r="H473" t="s">
        <v>2780</v>
      </c>
      <c r="I473" t="s">
        <v>2781</v>
      </c>
      <c r="J473" t="s">
        <v>2782</v>
      </c>
      <c r="K473" t="s">
        <v>2782</v>
      </c>
      <c r="L473" t="s">
        <v>2783</v>
      </c>
      <c r="N473" t="s">
        <v>2784</v>
      </c>
      <c r="O473" t="s">
        <v>118</v>
      </c>
      <c r="P473" t="s">
        <v>135</v>
      </c>
      <c r="R473" t="s">
        <v>2078</v>
      </c>
      <c r="S473" t="s">
        <v>120</v>
      </c>
      <c r="T473" t="s">
        <v>136</v>
      </c>
      <c r="U473" t="s">
        <v>232</v>
      </c>
      <c r="Y473">
        <v>0</v>
      </c>
      <c r="AI473" t="s">
        <v>2079</v>
      </c>
      <c r="AL473" t="s">
        <v>128</v>
      </c>
      <c r="AM473" t="s">
        <v>150</v>
      </c>
      <c r="AS473" t="s">
        <v>127</v>
      </c>
      <c r="BG473">
        <v>110</v>
      </c>
      <c r="BM473" t="s">
        <v>129</v>
      </c>
      <c r="BN473">
        <v>0</v>
      </c>
    </row>
    <row r="474" spans="1:111" x14ac:dyDescent="0.2">
      <c r="A474" t="s">
        <v>111</v>
      </c>
      <c r="B474" t="b">
        <v>1</v>
      </c>
      <c r="E474">
        <v>571</v>
      </c>
      <c r="F474" t="str">
        <f>HYPERLINK("https://portal.dnb.de/opac.htm?method=simpleSearch&amp;cqlMode=true&amp;query=idn%3D1003899099", "Portal")</f>
        <v>Portal</v>
      </c>
      <c r="G474" t="s">
        <v>207</v>
      </c>
      <c r="H474" t="s">
        <v>2785</v>
      </c>
      <c r="I474" t="s">
        <v>2786</v>
      </c>
      <c r="J474" t="s">
        <v>2787</v>
      </c>
      <c r="K474" t="s">
        <v>2787</v>
      </c>
      <c r="L474" t="s">
        <v>2788</v>
      </c>
      <c r="N474" t="s">
        <v>2789</v>
      </c>
      <c r="O474" t="s">
        <v>2790</v>
      </c>
      <c r="P474" t="s">
        <v>135</v>
      </c>
      <c r="R474" t="s">
        <v>147</v>
      </c>
      <c r="S474" t="s">
        <v>120</v>
      </c>
      <c r="T474" t="s">
        <v>156</v>
      </c>
      <c r="U474" t="s">
        <v>148</v>
      </c>
      <c r="W474" t="s">
        <v>138</v>
      </c>
      <c r="X474" t="s">
        <v>203</v>
      </c>
      <c r="Y474">
        <v>1</v>
      </c>
      <c r="AI474" t="s">
        <v>127</v>
      </c>
      <c r="AM474" t="s">
        <v>150</v>
      </c>
      <c r="AS474" t="s">
        <v>127</v>
      </c>
      <c r="BG474">
        <v>110</v>
      </c>
      <c r="BM474" t="s">
        <v>129</v>
      </c>
      <c r="BN474">
        <v>0</v>
      </c>
      <c r="BT474" t="s">
        <v>140</v>
      </c>
      <c r="BU474" t="s">
        <v>128</v>
      </c>
    </row>
    <row r="475" spans="1:111" x14ac:dyDescent="0.2">
      <c r="A475" t="s">
        <v>111</v>
      </c>
      <c r="B475" t="b">
        <v>1</v>
      </c>
      <c r="E475">
        <v>569</v>
      </c>
      <c r="F475" t="str">
        <f>HYPERLINK("https://portal.dnb.de/opac.htm?method=simpleSearch&amp;cqlMode=true&amp;query=idn%3D1003899129", "Portal")</f>
        <v>Portal</v>
      </c>
      <c r="G475" t="s">
        <v>207</v>
      </c>
      <c r="H475" t="s">
        <v>2791</v>
      </c>
      <c r="I475" t="s">
        <v>2792</v>
      </c>
      <c r="J475" t="s">
        <v>2787</v>
      </c>
      <c r="K475" t="s">
        <v>2787</v>
      </c>
      <c r="L475" t="s">
        <v>2793</v>
      </c>
      <c r="N475" t="s">
        <v>2789</v>
      </c>
      <c r="O475" t="s">
        <v>2794</v>
      </c>
      <c r="P475" t="s">
        <v>135</v>
      </c>
      <c r="R475" t="s">
        <v>147</v>
      </c>
      <c r="S475" t="s">
        <v>120</v>
      </c>
      <c r="T475" t="s">
        <v>136</v>
      </c>
      <c r="U475" t="s">
        <v>232</v>
      </c>
      <c r="W475" t="s">
        <v>138</v>
      </c>
      <c r="X475" t="s">
        <v>203</v>
      </c>
      <c r="Y475">
        <v>0</v>
      </c>
      <c r="AI475" t="s">
        <v>127</v>
      </c>
      <c r="AM475" t="s">
        <v>150</v>
      </c>
      <c r="AS475" t="s">
        <v>127</v>
      </c>
      <c r="BG475">
        <v>110</v>
      </c>
      <c r="BM475" t="s">
        <v>129</v>
      </c>
      <c r="BN475">
        <v>0</v>
      </c>
      <c r="BT475" t="s">
        <v>140</v>
      </c>
      <c r="BU475" t="s">
        <v>128</v>
      </c>
    </row>
    <row r="476" spans="1:111" x14ac:dyDescent="0.2">
      <c r="A476" t="s">
        <v>111</v>
      </c>
      <c r="B476" t="b">
        <v>1</v>
      </c>
      <c r="E476">
        <v>570</v>
      </c>
      <c r="F476" t="str">
        <f>HYPERLINK("https://portal.dnb.de/opac.htm?method=simpleSearch&amp;cqlMode=true&amp;query=idn%3D1003899196", "Portal")</f>
        <v>Portal</v>
      </c>
      <c r="G476" t="s">
        <v>207</v>
      </c>
      <c r="H476" t="s">
        <v>2795</v>
      </c>
      <c r="I476" t="s">
        <v>2796</v>
      </c>
      <c r="J476" t="s">
        <v>2787</v>
      </c>
      <c r="K476" t="s">
        <v>2787</v>
      </c>
      <c r="L476" t="s">
        <v>2797</v>
      </c>
      <c r="N476" t="s">
        <v>2789</v>
      </c>
      <c r="O476" t="s">
        <v>2798</v>
      </c>
      <c r="P476" t="s">
        <v>135</v>
      </c>
      <c r="R476" t="s">
        <v>147</v>
      </c>
      <c r="S476" t="s">
        <v>120</v>
      </c>
      <c r="T476" t="s">
        <v>136</v>
      </c>
      <c r="U476" t="s">
        <v>148</v>
      </c>
      <c r="W476" t="s">
        <v>138</v>
      </c>
      <c r="X476" t="s">
        <v>203</v>
      </c>
      <c r="Y476">
        <v>0</v>
      </c>
      <c r="AI476" t="s">
        <v>127</v>
      </c>
      <c r="AM476" t="s">
        <v>150</v>
      </c>
      <c r="AS476" t="s">
        <v>127</v>
      </c>
      <c r="BG476">
        <v>110</v>
      </c>
      <c r="BM476" t="s">
        <v>129</v>
      </c>
      <c r="BN476">
        <v>0</v>
      </c>
      <c r="BT476" t="s">
        <v>140</v>
      </c>
      <c r="BU476" t="s">
        <v>128</v>
      </c>
    </row>
    <row r="477" spans="1:111" x14ac:dyDescent="0.2">
      <c r="A477" t="s">
        <v>111</v>
      </c>
      <c r="B477" t="b">
        <v>1</v>
      </c>
      <c r="E477">
        <v>572</v>
      </c>
      <c r="F477" t="str">
        <f>HYPERLINK("https://portal.dnb.de/opac.htm?method=simpleSearch&amp;cqlMode=true&amp;query=idn%3D1003925898", "Portal")</f>
        <v>Portal</v>
      </c>
      <c r="G477" t="s">
        <v>112</v>
      </c>
      <c r="H477" t="s">
        <v>2799</v>
      </c>
      <c r="I477" t="s">
        <v>2800</v>
      </c>
      <c r="J477" t="s">
        <v>2801</v>
      </c>
      <c r="K477" t="s">
        <v>2801</v>
      </c>
      <c r="L477" t="s">
        <v>2802</v>
      </c>
      <c r="N477" t="s">
        <v>2803</v>
      </c>
      <c r="O477" t="s">
        <v>118</v>
      </c>
      <c r="P477" t="s">
        <v>135</v>
      </c>
      <c r="R477" t="s">
        <v>162</v>
      </c>
      <c r="S477" t="s">
        <v>120</v>
      </c>
      <c r="T477" t="s">
        <v>136</v>
      </c>
      <c r="U477" t="s">
        <v>148</v>
      </c>
      <c r="X477" t="s">
        <v>124</v>
      </c>
      <c r="Y477">
        <v>0</v>
      </c>
      <c r="AI477" t="s">
        <v>149</v>
      </c>
      <c r="AM477" t="s">
        <v>150</v>
      </c>
      <c r="AS477" t="s">
        <v>127</v>
      </c>
      <c r="BG477">
        <v>80</v>
      </c>
      <c r="BM477" t="s">
        <v>129</v>
      </c>
      <c r="BN477">
        <v>0</v>
      </c>
    </row>
    <row r="478" spans="1:111" x14ac:dyDescent="0.2">
      <c r="A478" t="s">
        <v>111</v>
      </c>
      <c r="B478" t="b">
        <v>1</v>
      </c>
      <c r="E478">
        <v>573</v>
      </c>
      <c r="F478" t="str">
        <f>HYPERLINK("https://portal.dnb.de/opac.htm?method=simpleSearch&amp;cqlMode=true&amp;query=idn%3D1002340799", "Portal")</f>
        <v>Portal</v>
      </c>
      <c r="G478" t="s">
        <v>112</v>
      </c>
      <c r="H478" t="s">
        <v>2804</v>
      </c>
      <c r="I478" t="s">
        <v>2805</v>
      </c>
      <c r="J478" t="s">
        <v>2806</v>
      </c>
      <c r="K478" t="s">
        <v>2806</v>
      </c>
      <c r="L478" t="s">
        <v>2807</v>
      </c>
      <c r="N478" t="s">
        <v>2808</v>
      </c>
      <c r="O478" t="s">
        <v>118</v>
      </c>
      <c r="P478" t="s">
        <v>135</v>
      </c>
      <c r="R478" t="s">
        <v>188</v>
      </c>
      <c r="S478" t="s">
        <v>120</v>
      </c>
      <c r="T478" t="s">
        <v>136</v>
      </c>
      <c r="U478" t="s">
        <v>997</v>
      </c>
      <c r="V478" t="s">
        <v>123</v>
      </c>
      <c r="W478" t="s">
        <v>67</v>
      </c>
      <c r="X478" t="s">
        <v>175</v>
      </c>
      <c r="Y478">
        <v>0</v>
      </c>
      <c r="AI478" t="s">
        <v>190</v>
      </c>
      <c r="AL478" t="s">
        <v>128</v>
      </c>
      <c r="AM478" t="s">
        <v>191</v>
      </c>
      <c r="AS478" t="s">
        <v>127</v>
      </c>
      <c r="BC478" t="s">
        <v>493</v>
      </c>
      <c r="BD478" t="s">
        <v>128</v>
      </c>
      <c r="BG478">
        <v>110</v>
      </c>
      <c r="BM478" t="s">
        <v>129</v>
      </c>
      <c r="BN478">
        <v>0</v>
      </c>
      <c r="BP478" t="s">
        <v>177</v>
      </c>
    </row>
    <row r="479" spans="1:111" x14ac:dyDescent="0.2">
      <c r="A479" t="s">
        <v>111</v>
      </c>
      <c r="B479" t="b">
        <v>1</v>
      </c>
      <c r="C479" t="s">
        <v>128</v>
      </c>
      <c r="E479">
        <v>574</v>
      </c>
      <c r="F479" t="str">
        <f>HYPERLINK("https://portal.dnb.de/opac.htm?method=simpleSearch&amp;cqlMode=true&amp;query=idn%3D1048070697", "Portal")</f>
        <v>Portal</v>
      </c>
      <c r="G479" t="s">
        <v>2809</v>
      </c>
      <c r="H479" t="s">
        <v>2810</v>
      </c>
      <c r="I479" t="s">
        <v>2811</v>
      </c>
      <c r="J479" t="s">
        <v>2812</v>
      </c>
      <c r="K479" t="s">
        <v>2812</v>
      </c>
      <c r="L479" t="s">
        <v>2813</v>
      </c>
      <c r="N479" t="s">
        <v>2814</v>
      </c>
      <c r="O479" t="s">
        <v>118</v>
      </c>
      <c r="S479" t="s">
        <v>120</v>
      </c>
      <c r="AI479" t="s">
        <v>390</v>
      </c>
      <c r="AS479" t="s">
        <v>127</v>
      </c>
      <c r="BG479">
        <v>180</v>
      </c>
      <c r="BM479" t="s">
        <v>206</v>
      </c>
      <c r="BN479">
        <v>2.5</v>
      </c>
      <c r="BS479" t="s">
        <v>1594</v>
      </c>
      <c r="CX479" t="s">
        <v>128</v>
      </c>
      <c r="CZ479" t="s">
        <v>128</v>
      </c>
      <c r="DF479">
        <v>2.5</v>
      </c>
      <c r="DG479" t="s">
        <v>2815</v>
      </c>
    </row>
    <row r="480" spans="1:111" x14ac:dyDescent="0.2">
      <c r="A480" t="s">
        <v>111</v>
      </c>
      <c r="B480" t="b">
        <v>1</v>
      </c>
      <c r="E480">
        <v>575</v>
      </c>
      <c r="F480" t="str">
        <f>HYPERLINK("https://portal.dnb.de/opac.htm?method=simpleSearch&amp;cqlMode=true&amp;query=idn%3D104834181X", "Portal")</f>
        <v>Portal</v>
      </c>
      <c r="G480" t="s">
        <v>2809</v>
      </c>
      <c r="H480" t="s">
        <v>2816</v>
      </c>
      <c r="I480" t="s">
        <v>2817</v>
      </c>
      <c r="J480" t="s">
        <v>2818</v>
      </c>
      <c r="K480" t="s">
        <v>2819</v>
      </c>
      <c r="L480" t="s">
        <v>2820</v>
      </c>
      <c r="N480" t="s">
        <v>2821</v>
      </c>
      <c r="O480" t="s">
        <v>118</v>
      </c>
      <c r="S480" t="s">
        <v>201</v>
      </c>
      <c r="AI480" t="s">
        <v>474</v>
      </c>
      <c r="AS480" t="s">
        <v>127</v>
      </c>
      <c r="BG480">
        <v>180</v>
      </c>
      <c r="BM480" t="s">
        <v>129</v>
      </c>
      <c r="BN480">
        <v>0</v>
      </c>
      <c r="BS480" t="s">
        <v>1594</v>
      </c>
    </row>
    <row r="481" spans="1:72" x14ac:dyDescent="0.2">
      <c r="A481" t="s">
        <v>111</v>
      </c>
      <c r="B481" t="b">
        <v>1</v>
      </c>
      <c r="E481">
        <v>576</v>
      </c>
      <c r="F481" t="str">
        <f>HYPERLINK("https://portal.dnb.de/opac.htm?method=simpleSearch&amp;cqlMode=true&amp;query=idn%3D104846525X", "Portal")</f>
        <v>Portal</v>
      </c>
      <c r="G481" t="s">
        <v>2809</v>
      </c>
      <c r="H481" t="s">
        <v>2822</v>
      </c>
      <c r="I481" t="s">
        <v>2823</v>
      </c>
      <c r="J481" t="s">
        <v>2824</v>
      </c>
      <c r="K481" t="s">
        <v>2825</v>
      </c>
      <c r="L481" t="s">
        <v>2826</v>
      </c>
      <c r="N481" t="s">
        <v>2827</v>
      </c>
      <c r="O481" t="s">
        <v>118</v>
      </c>
      <c r="S481" t="s">
        <v>214</v>
      </c>
      <c r="AI481" t="s">
        <v>390</v>
      </c>
      <c r="AS481" t="s">
        <v>127</v>
      </c>
      <c r="BG481">
        <v>180</v>
      </c>
      <c r="BM481" t="s">
        <v>129</v>
      </c>
      <c r="BN481">
        <v>0</v>
      </c>
      <c r="BT481" t="s">
        <v>128</v>
      </c>
    </row>
    <row r="482" spans="1:72" x14ac:dyDescent="0.2">
      <c r="A482" t="s">
        <v>111</v>
      </c>
      <c r="B482" t="b">
        <v>1</v>
      </c>
      <c r="E482">
        <v>577</v>
      </c>
      <c r="F482" t="str">
        <f>HYPERLINK("https://portal.dnb.de/opac.htm?method=simpleSearch&amp;cqlMode=true&amp;query=idn%3D1056823070", "Portal")</f>
        <v>Portal</v>
      </c>
      <c r="G482" t="s">
        <v>2809</v>
      </c>
      <c r="H482" t="s">
        <v>2828</v>
      </c>
      <c r="I482" t="s">
        <v>2829</v>
      </c>
      <c r="J482" t="s">
        <v>2830</v>
      </c>
      <c r="K482" t="s">
        <v>2831</v>
      </c>
      <c r="L482" t="s">
        <v>2832</v>
      </c>
      <c r="N482" t="s">
        <v>2833</v>
      </c>
      <c r="O482" t="s">
        <v>118</v>
      </c>
      <c r="S482" t="s">
        <v>214</v>
      </c>
      <c r="AI482" t="s">
        <v>474</v>
      </c>
      <c r="AS482" t="s">
        <v>125</v>
      </c>
      <c r="BG482">
        <v>180</v>
      </c>
      <c r="BM482" t="s">
        <v>129</v>
      </c>
      <c r="BN482">
        <v>0</v>
      </c>
      <c r="BS482" t="s">
        <v>1594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C37" sqref="C37"/>
    </sheetView>
  </sheetViews>
  <sheetFormatPr baseColWidth="10" defaultColWidth="11" defaultRowHeight="11.4" x14ac:dyDescent="0.2"/>
  <cols>
    <col min="1" max="2" width="13.59765625" style="57" customWidth="1"/>
    <col min="3" max="3" width="155.59765625" style="57" customWidth="1"/>
    <col min="4" max="6" width="11" style="57" customWidth="1"/>
    <col min="7" max="16384" width="11" style="57"/>
  </cols>
  <sheetData>
    <row r="2" spans="1:3" ht="14.25" customHeight="1" x14ac:dyDescent="0.2">
      <c r="A2" s="67" t="s">
        <v>2834</v>
      </c>
      <c r="B2" s="61"/>
      <c r="C2" s="61"/>
    </row>
    <row r="3" spans="1:3" x14ac:dyDescent="0.2">
      <c r="B3" s="61"/>
      <c r="C3" s="61" t="s">
        <v>1707</v>
      </c>
    </row>
    <row r="4" spans="1:3" x14ac:dyDescent="0.2">
      <c r="A4" s="68" t="s">
        <v>2835</v>
      </c>
      <c r="B4" s="61"/>
      <c r="C4" s="61"/>
    </row>
    <row r="5" spans="1:3" x14ac:dyDescent="0.2">
      <c r="B5" s="61"/>
      <c r="C5" s="61"/>
    </row>
    <row r="6" spans="1:3" x14ac:dyDescent="0.2">
      <c r="A6" s="57" t="s">
        <v>2836</v>
      </c>
      <c r="B6" s="61"/>
      <c r="C6" s="61"/>
    </row>
    <row r="7" spans="1:3" x14ac:dyDescent="0.2">
      <c r="A7" s="57" t="s">
        <v>2837</v>
      </c>
      <c r="B7" s="61"/>
      <c r="C7" s="61"/>
    </row>
    <row r="8" spans="1:3" x14ac:dyDescent="0.2">
      <c r="B8" s="61"/>
      <c r="C8" s="61"/>
    </row>
    <row r="9" spans="1:3" x14ac:dyDescent="0.2">
      <c r="A9" s="57" t="s">
        <v>2838</v>
      </c>
      <c r="B9" s="61"/>
      <c r="C9" s="61"/>
    </row>
    <row r="15" spans="1:3" ht="12.75" customHeight="1" x14ac:dyDescent="0.2">
      <c r="A15" s="69" t="s">
        <v>2839</v>
      </c>
    </row>
    <row r="17" spans="1:3" x14ac:dyDescent="0.2">
      <c r="A17" s="57" t="s">
        <v>2840</v>
      </c>
    </row>
    <row r="19" spans="1:3" x14ac:dyDescent="0.2">
      <c r="A19" s="70" t="s">
        <v>2841</v>
      </c>
    </row>
    <row r="20" spans="1:3" s="71" customFormat="1" x14ac:dyDescent="0.2">
      <c r="A20" s="71" t="s">
        <v>2842</v>
      </c>
    </row>
    <row r="22" spans="1:3" x14ac:dyDescent="0.2">
      <c r="A22" s="57" t="s">
        <v>2843</v>
      </c>
      <c r="B22" s="57" t="s">
        <v>2844</v>
      </c>
      <c r="C22" s="57" t="s">
        <v>2845</v>
      </c>
    </row>
    <row r="24" spans="1:3" x14ac:dyDescent="0.2">
      <c r="A24" s="72">
        <v>44595</v>
      </c>
      <c r="B24" s="57" t="s">
        <v>2846</v>
      </c>
      <c r="C24" s="57" t="s">
        <v>2847</v>
      </c>
    </row>
    <row r="25" spans="1:3" x14ac:dyDescent="0.2">
      <c r="A25" s="72"/>
      <c r="C25" s="57" t="s">
        <v>2848</v>
      </c>
    </row>
    <row r="26" spans="1:3" x14ac:dyDescent="0.2">
      <c r="A26" s="72"/>
      <c r="C26" s="57" t="s">
        <v>2849</v>
      </c>
    </row>
    <row r="27" spans="1:3" x14ac:dyDescent="0.2">
      <c r="A27" s="72"/>
      <c r="C27" s="57" t="s">
        <v>2850</v>
      </c>
    </row>
    <row r="28" spans="1:3" x14ac:dyDescent="0.2">
      <c r="C28" s="57" t="s">
        <v>2851</v>
      </c>
    </row>
    <row r="29" spans="1:3" ht="33.75" customHeight="1" x14ac:dyDescent="0.2">
      <c r="C29" s="56" t="s">
        <v>2852</v>
      </c>
    </row>
    <row r="30" spans="1:3" ht="33.75" customHeight="1" x14ac:dyDescent="0.2">
      <c r="A30" s="72">
        <v>44734</v>
      </c>
      <c r="B30" s="57" t="s">
        <v>2846</v>
      </c>
      <c r="C30" s="56" t="s">
        <v>2853</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48" sqref="B48"/>
    </sheetView>
  </sheetViews>
  <sheetFormatPr baseColWidth="10" defaultColWidth="10.8984375" defaultRowHeight="11.4" x14ac:dyDescent="0.2"/>
  <cols>
    <col min="1" max="1" width="17.5" style="61" bestFit="1" customWidth="1"/>
    <col min="2" max="2" width="75.19921875" style="61" bestFit="1" customWidth="1"/>
    <col min="3" max="5" width="10.8984375" style="61" customWidth="1"/>
    <col min="6" max="16384" width="10.8984375" style="61"/>
  </cols>
  <sheetData>
    <row r="1" spans="1:2" s="58" customFormat="1" x14ac:dyDescent="0.2">
      <c r="A1" s="73" t="s">
        <v>2854</v>
      </c>
      <c r="B1" s="58" t="s">
        <v>2855</v>
      </c>
    </row>
    <row r="3" spans="1:2" x14ac:dyDescent="0.2">
      <c r="A3" s="59" t="s">
        <v>2856</v>
      </c>
    </row>
    <row r="4" spans="1:2" x14ac:dyDescent="0.2">
      <c r="A4" s="61" t="s">
        <v>2857</v>
      </c>
      <c r="B4" s="61" t="s">
        <v>2858</v>
      </c>
    </row>
    <row r="5" spans="1:2" x14ac:dyDescent="0.2">
      <c r="A5" s="61" t="s">
        <v>2859</v>
      </c>
      <c r="B5" s="61" t="s">
        <v>2860</v>
      </c>
    </row>
    <row r="7" spans="1:2" x14ac:dyDescent="0.2">
      <c r="A7" s="59" t="s">
        <v>2861</v>
      </c>
    </row>
    <row r="8" spans="1:2" x14ac:dyDescent="0.2">
      <c r="A8" s="61" t="s">
        <v>127</v>
      </c>
      <c r="B8" t="s">
        <v>147</v>
      </c>
    </row>
    <row r="9" spans="1:2" x14ac:dyDescent="0.2">
      <c r="A9" s="61" t="s">
        <v>1591</v>
      </c>
      <c r="B9" t="s">
        <v>1590</v>
      </c>
    </row>
    <row r="10" spans="1:2" x14ac:dyDescent="0.2">
      <c r="A10" s="61" t="s">
        <v>621</v>
      </c>
      <c r="B10" t="s">
        <v>618</v>
      </c>
    </row>
    <row r="11" spans="1:2" x14ac:dyDescent="0.2">
      <c r="A11" s="61" t="s">
        <v>2079</v>
      </c>
      <c r="B11" t="s">
        <v>2078</v>
      </c>
    </row>
    <row r="12" spans="1:2" x14ac:dyDescent="0.2">
      <c r="A12" s="61" t="s">
        <v>469</v>
      </c>
      <c r="B12" s="61" t="s">
        <v>2862</v>
      </c>
    </row>
    <row r="13" spans="1:2" x14ac:dyDescent="0.2">
      <c r="A13" s="61" t="s">
        <v>190</v>
      </c>
      <c r="B13" t="s">
        <v>188</v>
      </c>
    </row>
    <row r="14" spans="1:2" x14ac:dyDescent="0.2">
      <c r="A14" s="61" t="s">
        <v>338</v>
      </c>
      <c r="B14" t="s">
        <v>286</v>
      </c>
    </row>
    <row r="15" spans="1:2" x14ac:dyDescent="0.2">
      <c r="A15" s="61" t="s">
        <v>125</v>
      </c>
      <c r="B15" t="s">
        <v>119</v>
      </c>
    </row>
    <row r="16" spans="1:2" x14ac:dyDescent="0.2">
      <c r="A16" s="61" t="s">
        <v>149</v>
      </c>
      <c r="B16" t="s">
        <v>162</v>
      </c>
    </row>
    <row r="17" spans="1:2" x14ac:dyDescent="0.2">
      <c r="A17" s="61" t="s">
        <v>1055</v>
      </c>
      <c r="B17" t="s">
        <v>2863</v>
      </c>
    </row>
    <row r="18" spans="1:2" x14ac:dyDescent="0.2">
      <c r="A18" s="61" t="s">
        <v>390</v>
      </c>
      <c r="B18" t="s">
        <v>2864</v>
      </c>
    </row>
    <row r="19" spans="1:2" x14ac:dyDescent="0.2">
      <c r="A19" s="61" t="s">
        <v>474</v>
      </c>
      <c r="B19" s="61" t="s">
        <v>2865</v>
      </c>
    </row>
    <row r="21" spans="1:2" x14ac:dyDescent="0.2">
      <c r="A21" s="59" t="s">
        <v>2866</v>
      </c>
    </row>
    <row r="22" spans="1:2" x14ac:dyDescent="0.2">
      <c r="A22" s="61" t="s">
        <v>191</v>
      </c>
      <c r="B22" s="61" t="s">
        <v>2867</v>
      </c>
    </row>
    <row r="23" spans="1:2" x14ac:dyDescent="0.2">
      <c r="A23" s="61" t="s">
        <v>204</v>
      </c>
      <c r="B23" s="61" t="s">
        <v>2868</v>
      </c>
    </row>
    <row r="24" spans="1:2" x14ac:dyDescent="0.2">
      <c r="A24" s="61" t="s">
        <v>126</v>
      </c>
      <c r="B24" s="61" t="s">
        <v>148</v>
      </c>
    </row>
    <row r="25" spans="1:2" x14ac:dyDescent="0.2">
      <c r="A25" s="61" t="s">
        <v>150</v>
      </c>
      <c r="B25" s="61" t="s">
        <v>2869</v>
      </c>
    </row>
    <row r="27" spans="1:2" x14ac:dyDescent="0.2">
      <c r="A27" s="59" t="s">
        <v>2870</v>
      </c>
    </row>
    <row r="28" spans="1:2" x14ac:dyDescent="0.2">
      <c r="A28" s="61" t="s">
        <v>493</v>
      </c>
      <c r="B28" s="61" t="s">
        <v>2871</v>
      </c>
    </row>
    <row r="29" spans="1:2" x14ac:dyDescent="0.2">
      <c r="A29" s="61" t="s">
        <v>1180</v>
      </c>
      <c r="B29" s="61" t="s">
        <v>2872</v>
      </c>
    </row>
    <row r="30" spans="1:2" x14ac:dyDescent="0.2">
      <c r="A30" s="61" t="s">
        <v>998</v>
      </c>
      <c r="B30" s="61" t="s">
        <v>2873</v>
      </c>
    </row>
    <row r="31" spans="1:2" x14ac:dyDescent="0.2">
      <c r="A31" s="61" t="s">
        <v>1592</v>
      </c>
      <c r="B31" s="61" t="s">
        <v>2874</v>
      </c>
    </row>
    <row r="33" spans="1:2" x14ac:dyDescent="0.2">
      <c r="A33" s="59" t="s">
        <v>2875</v>
      </c>
    </row>
    <row r="34" spans="1:2" x14ac:dyDescent="0.2">
      <c r="A34" s="61" t="s">
        <v>249</v>
      </c>
      <c r="B34" s="61" t="s">
        <v>2876</v>
      </c>
    </row>
    <row r="35" spans="1:2" ht="45" customHeight="1" x14ac:dyDescent="0.2">
      <c r="A35" s="61" t="s">
        <v>2877</v>
      </c>
      <c r="B35" s="65" t="s">
        <v>2878</v>
      </c>
    </row>
    <row r="37" spans="1:2" ht="22.5" customHeight="1" x14ac:dyDescent="0.2">
      <c r="A37" s="60" t="s">
        <v>2879</v>
      </c>
    </row>
    <row r="38" spans="1:2" x14ac:dyDescent="0.2">
      <c r="A38" s="61" t="s">
        <v>483</v>
      </c>
      <c r="B38" s="61" t="s">
        <v>2880</v>
      </c>
    </row>
    <row r="39" spans="1:2" x14ac:dyDescent="0.2">
      <c r="A39" s="61" t="s">
        <v>126</v>
      </c>
      <c r="B39" s="61" t="s">
        <v>2881</v>
      </c>
    </row>
    <row r="40" spans="1:2" x14ac:dyDescent="0.2">
      <c r="A40" s="61" t="s">
        <v>684</v>
      </c>
      <c r="B40" s="61" t="s">
        <v>2882</v>
      </c>
    </row>
    <row r="41" spans="1:2" x14ac:dyDescent="0.2">
      <c r="A41" s="61" t="s">
        <v>903</v>
      </c>
      <c r="B41" s="61" t="s">
        <v>2883</v>
      </c>
    </row>
    <row r="42" spans="1:2" x14ac:dyDescent="0.2">
      <c r="A42" s="61" t="s">
        <v>2884</v>
      </c>
      <c r="B42" s="61" t="s">
        <v>2885</v>
      </c>
    </row>
    <row r="43" spans="1:2" x14ac:dyDescent="0.2">
      <c r="A43" s="61" t="s">
        <v>2886</v>
      </c>
      <c r="B43" s="61" t="s">
        <v>2887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7" workbookViewId="0">
      <selection activeCell="B87" sqref="B87"/>
    </sheetView>
  </sheetViews>
  <sheetFormatPr baseColWidth="10" defaultColWidth="11" defaultRowHeight="11.4" x14ac:dyDescent="0.2"/>
  <cols>
    <col min="1" max="1" width="16.69921875" style="65" customWidth="1"/>
    <col min="2" max="2" width="23.69921875" style="65" bestFit="1" customWidth="1"/>
    <col min="3" max="5" width="11" style="65" customWidth="1"/>
    <col min="6" max="16384" width="11" style="65"/>
  </cols>
  <sheetData>
    <row r="1" spans="1:3" ht="33.75" customHeight="1" x14ac:dyDescent="0.2">
      <c r="A1" s="76" t="s">
        <v>2888</v>
      </c>
      <c r="B1" s="77"/>
    </row>
    <row r="2" spans="1:3" ht="22.5" customHeight="1" x14ac:dyDescent="0.2">
      <c r="A2" s="65" t="s">
        <v>2889</v>
      </c>
      <c r="B2" s="62"/>
      <c r="C2" s="65" t="e">
        <f>Basis!#REF!</f>
        <v>#REF!</v>
      </c>
    </row>
    <row r="3" spans="1:3" ht="22.5" customHeight="1" x14ac:dyDescent="0.2">
      <c r="A3" s="65" t="s">
        <v>2890</v>
      </c>
      <c r="B3" s="62"/>
      <c r="C3" s="65" t="e">
        <f>Basis!#REF!</f>
        <v>#REF!</v>
      </c>
    </row>
    <row r="4" spans="1:3" ht="33.75" customHeight="1" x14ac:dyDescent="0.2">
      <c r="A4" s="65" t="s">
        <v>2891</v>
      </c>
      <c r="B4" s="62"/>
      <c r="C4" s="65" t="e">
        <f>Basis!#REF!</f>
        <v>#REF!</v>
      </c>
    </row>
    <row r="5" spans="1:3" ht="22.5" customHeight="1" x14ac:dyDescent="0.2">
      <c r="A5" s="65" t="s">
        <v>2892</v>
      </c>
      <c r="B5" s="62"/>
      <c r="C5" s="65" t="e">
        <f>Basis!#REF!</f>
        <v>#REF!</v>
      </c>
    </row>
    <row r="6" spans="1:3" x14ac:dyDescent="0.2">
      <c r="A6" s="65" t="s">
        <v>18</v>
      </c>
      <c r="B6" s="62" t="s">
        <v>120</v>
      </c>
      <c r="C6" s="65" t="e">
        <f>Basis!#REF!</f>
        <v>#REF!</v>
      </c>
    </row>
    <row r="7" spans="1:3" x14ac:dyDescent="0.2">
      <c r="B7" s="62" t="s">
        <v>214</v>
      </c>
      <c r="C7" s="65" t="e">
        <f>Basis!#REF!</f>
        <v>#REF!</v>
      </c>
    </row>
    <row r="8" spans="1:3" x14ac:dyDescent="0.2">
      <c r="B8" s="62" t="s">
        <v>201</v>
      </c>
      <c r="C8" s="65" t="e">
        <f>Basis!#REF!</f>
        <v>#REF!</v>
      </c>
    </row>
    <row r="9" spans="1:3" x14ac:dyDescent="0.2">
      <c r="B9" s="62" t="s">
        <v>422</v>
      </c>
      <c r="C9" s="65" t="e">
        <f>Basis!#REF!</f>
        <v>#REF!</v>
      </c>
    </row>
    <row r="10" spans="1:3" x14ac:dyDescent="0.2">
      <c r="A10" s="65" t="s">
        <v>2893</v>
      </c>
      <c r="B10" s="62"/>
      <c r="C10" s="65" t="e">
        <f>Basis!#REF!</f>
        <v>#REF!</v>
      </c>
    </row>
    <row r="11" spans="1:3" x14ac:dyDescent="0.2">
      <c r="A11" s="65" t="s">
        <v>2894</v>
      </c>
      <c r="B11" s="62"/>
      <c r="C11" s="65" t="e">
        <f>Basis!#REF!</f>
        <v>#REF!</v>
      </c>
    </row>
    <row r="12" spans="1:3" ht="22.5" customHeight="1" x14ac:dyDescent="0.2">
      <c r="A12" s="65" t="s">
        <v>32</v>
      </c>
      <c r="B12" s="62"/>
      <c r="C12" s="65" t="e">
        <f>Basis!#REF!</f>
        <v>#REF!</v>
      </c>
    </row>
    <row r="13" spans="1:3" ht="22.5" customHeight="1" x14ac:dyDescent="0.2">
      <c r="A13" s="65" t="s">
        <v>33</v>
      </c>
      <c r="B13" s="62"/>
      <c r="C13" s="65" t="e">
        <f>Basis!#REF!</f>
        <v>#REF!</v>
      </c>
    </row>
    <row r="14" spans="1:3" x14ac:dyDescent="0.2">
      <c r="A14" s="65" t="s">
        <v>2861</v>
      </c>
      <c r="B14" s="75" t="s">
        <v>147</v>
      </c>
      <c r="C14" s="65" t="e">
        <f>Basis!#REF!</f>
        <v>#REF!</v>
      </c>
    </row>
    <row r="15" spans="1:3" x14ac:dyDescent="0.2">
      <c r="B15" s="75" t="s">
        <v>1590</v>
      </c>
      <c r="C15" s="65" t="e">
        <f>Basis!#REF!</f>
        <v>#REF!</v>
      </c>
    </row>
    <row r="16" spans="1:3" x14ac:dyDescent="0.2">
      <c r="B16" s="75" t="s">
        <v>618</v>
      </c>
      <c r="C16" s="65" t="e">
        <f>Basis!#REF!</f>
        <v>#REF!</v>
      </c>
    </row>
    <row r="17" spans="1:3" x14ac:dyDescent="0.2">
      <c r="B17" s="75" t="s">
        <v>2078</v>
      </c>
      <c r="C17" s="65" t="e">
        <f>Basis!#REF!</f>
        <v>#REF!</v>
      </c>
    </row>
    <row r="18" spans="1:3" x14ac:dyDescent="0.2">
      <c r="B18" s="63" t="s">
        <v>2862</v>
      </c>
      <c r="C18" s="65" t="e">
        <f>Basis!#REF!</f>
        <v>#REF!</v>
      </c>
    </row>
    <row r="19" spans="1:3" x14ac:dyDescent="0.2">
      <c r="B19" s="75" t="s">
        <v>188</v>
      </c>
      <c r="C19" s="65" t="e">
        <f>Basis!#REF!</f>
        <v>#REF!</v>
      </c>
    </row>
    <row r="20" spans="1:3" x14ac:dyDescent="0.2">
      <c r="B20" s="75" t="s">
        <v>286</v>
      </c>
      <c r="C20" s="65" t="e">
        <f>Basis!#REF!</f>
        <v>#REF!</v>
      </c>
    </row>
    <row r="21" spans="1:3" x14ac:dyDescent="0.2">
      <c r="B21" s="75" t="s">
        <v>119</v>
      </c>
      <c r="C21" s="64" t="e">
        <f>Basis!#REF!</f>
        <v>#REF!</v>
      </c>
    </row>
    <row r="22" spans="1:3" x14ac:dyDescent="0.2">
      <c r="B22" s="75" t="s">
        <v>162</v>
      </c>
      <c r="C22" s="64" t="e">
        <f>Basis!#REF!</f>
        <v>#REF!</v>
      </c>
    </row>
    <row r="23" spans="1:3" x14ac:dyDescent="0.2">
      <c r="B23" s="75" t="s">
        <v>2863</v>
      </c>
      <c r="C23" s="64" t="e">
        <f>Basis!#REF!</f>
        <v>#REF!</v>
      </c>
    </row>
    <row r="24" spans="1:3" x14ac:dyDescent="0.2">
      <c r="B24" s="75" t="s">
        <v>2864</v>
      </c>
      <c r="C24" s="65" t="e">
        <f>Basis!#REF!</f>
        <v>#REF!</v>
      </c>
    </row>
    <row r="25" spans="1:3" x14ac:dyDescent="0.2">
      <c r="B25" s="63" t="s">
        <v>2865</v>
      </c>
      <c r="C25" s="65" t="e">
        <f>Basis!#REF!</f>
        <v>#REF!</v>
      </c>
    </row>
    <row r="26" spans="1:3" x14ac:dyDescent="0.2">
      <c r="B26" s="63" t="s">
        <v>2895</v>
      </c>
      <c r="C26" s="65" t="e">
        <f>Basis!#REF!</f>
        <v>#REF!</v>
      </c>
    </row>
    <row r="27" spans="1:3" ht="22.5" customHeight="1" x14ac:dyDescent="0.2">
      <c r="A27" s="65" t="s">
        <v>2896</v>
      </c>
      <c r="B27" s="62"/>
      <c r="C27" s="65" t="e">
        <f>Basis!#REF!</f>
        <v>#REF!</v>
      </c>
    </row>
    <row r="28" spans="1:3" ht="22.5" customHeight="1" x14ac:dyDescent="0.2">
      <c r="A28" s="65" t="s">
        <v>2897</v>
      </c>
      <c r="B28" s="62"/>
      <c r="C28" s="65" t="e">
        <f>Basis!#REF!</f>
        <v>#REF!</v>
      </c>
    </row>
    <row r="29" spans="1:3" ht="33.75" customHeight="1" x14ac:dyDescent="0.2">
      <c r="A29" s="65" t="s">
        <v>2898</v>
      </c>
      <c r="B29" s="62"/>
      <c r="C29" s="65" t="e">
        <f>Basis!#REF!</f>
        <v>#REF!</v>
      </c>
    </row>
    <row r="30" spans="1:3" ht="22.5" customHeight="1" x14ac:dyDescent="0.2">
      <c r="A30" s="65" t="s">
        <v>2899</v>
      </c>
      <c r="B30" s="62"/>
      <c r="C30" s="65" t="e">
        <f>Basis!#REF!</f>
        <v>#REF!</v>
      </c>
    </row>
    <row r="31" spans="1:3" ht="22.5" customHeight="1" x14ac:dyDescent="0.2">
      <c r="A31" s="65" t="s">
        <v>2900</v>
      </c>
      <c r="B31" s="62"/>
      <c r="C31" s="65" t="e">
        <f>Basis!#REF!</f>
        <v>#REF!</v>
      </c>
    </row>
    <row r="32" spans="1:3" ht="33.75" customHeight="1" x14ac:dyDescent="0.2">
      <c r="A32" s="65" t="s">
        <v>2901</v>
      </c>
      <c r="B32" s="62"/>
      <c r="C32" s="65" t="e">
        <f>Basis!#REF!</f>
        <v>#REF!</v>
      </c>
    </row>
    <row r="33" spans="1:3" ht="22.5" customHeight="1" x14ac:dyDescent="0.2">
      <c r="A33" s="65" t="s">
        <v>2902</v>
      </c>
      <c r="B33" s="62"/>
      <c r="C33" s="65" t="e">
        <f>Basis!#REF!</f>
        <v>#REF!</v>
      </c>
    </row>
    <row r="34" spans="1:3" ht="22.5" customHeight="1" x14ac:dyDescent="0.2">
      <c r="A34" s="65" t="s">
        <v>2903</v>
      </c>
      <c r="B34" s="62"/>
      <c r="C34" s="65" t="e">
        <f>Basis!#REF!</f>
        <v>#REF!</v>
      </c>
    </row>
    <row r="35" spans="1:3" x14ac:dyDescent="0.2">
      <c r="A35" s="65" t="s">
        <v>2904</v>
      </c>
      <c r="B35" s="62"/>
      <c r="C35" s="65" t="e">
        <f>Basis!#REF!</f>
        <v>#REF!</v>
      </c>
    </row>
    <row r="36" spans="1:3" x14ac:dyDescent="0.2">
      <c r="A36" s="65" t="s">
        <v>2905</v>
      </c>
      <c r="B36" s="62" t="s">
        <v>2906</v>
      </c>
      <c r="C36" s="65" t="e">
        <f>Basis!#REF!</f>
        <v>#REF!</v>
      </c>
    </row>
    <row r="37" spans="1:3" x14ac:dyDescent="0.2">
      <c r="B37" s="62" t="s">
        <v>2907</v>
      </c>
      <c r="C37" s="64" t="e">
        <f>Basis!#REF!</f>
        <v>#REF!</v>
      </c>
    </row>
    <row r="38" spans="1:3" ht="22.5" customHeight="1" x14ac:dyDescent="0.2">
      <c r="A38" s="65" t="s">
        <v>2908</v>
      </c>
      <c r="B38" s="62"/>
      <c r="C38" s="65" t="e">
        <f>Basis!#REF!</f>
        <v>#REF!</v>
      </c>
    </row>
    <row r="39" spans="1:3" x14ac:dyDescent="0.2">
      <c r="A39" s="65" t="s">
        <v>2909</v>
      </c>
      <c r="B39" s="62"/>
      <c r="C39" s="65" t="e">
        <f>Basis!#REF!</f>
        <v>#REF!</v>
      </c>
    </row>
    <row r="40" spans="1:3" x14ac:dyDescent="0.2">
      <c r="A40" s="65" t="s">
        <v>47</v>
      </c>
      <c r="B40" s="62"/>
      <c r="C40" s="65" t="e">
        <f>Basis!#REF!</f>
        <v>#REF!</v>
      </c>
    </row>
    <row r="41" spans="1:3" ht="22.5" customHeight="1" x14ac:dyDescent="0.2">
      <c r="A41" s="65" t="s">
        <v>2910</v>
      </c>
      <c r="B41" s="62"/>
      <c r="C41" s="65" t="e">
        <f>Basis!#REF!</f>
        <v>#REF!</v>
      </c>
    </row>
    <row r="42" spans="1:3" ht="22.5" customHeight="1" x14ac:dyDescent="0.2">
      <c r="A42" s="65" t="s">
        <v>2911</v>
      </c>
      <c r="B42" s="62"/>
      <c r="C42" s="65" t="e">
        <f>Basis!#REF!</f>
        <v>#REF!</v>
      </c>
    </row>
    <row r="43" spans="1:3" ht="22.5" customHeight="1" x14ac:dyDescent="0.2">
      <c r="A43" s="65" t="s">
        <v>2912</v>
      </c>
      <c r="B43" s="62"/>
      <c r="C43" s="65" t="e">
        <f>Basis!#REF!</f>
        <v>#REF!</v>
      </c>
    </row>
    <row r="44" spans="1:3" ht="22.5" customHeight="1" x14ac:dyDescent="0.2">
      <c r="A44" s="65" t="s">
        <v>2913</v>
      </c>
      <c r="B44" s="62"/>
      <c r="C44" s="65" t="e">
        <f>Basis!#REF!</f>
        <v>#REF!</v>
      </c>
    </row>
    <row r="45" spans="1:3" ht="22.5" customHeight="1" x14ac:dyDescent="0.2">
      <c r="A45" s="65" t="s">
        <v>52</v>
      </c>
      <c r="B45" s="62"/>
    </row>
    <row r="46" spans="1:3" x14ac:dyDescent="0.2">
      <c r="A46" s="65" t="s">
        <v>2914</v>
      </c>
      <c r="B46" s="62"/>
      <c r="C46" s="65" t="e">
        <f>Basis!#REF!</f>
        <v>#REF!</v>
      </c>
    </row>
    <row r="47" spans="1:3" ht="45" customHeight="1" x14ac:dyDescent="0.2">
      <c r="A47" s="65" t="s">
        <v>2915</v>
      </c>
      <c r="B47" s="62"/>
      <c r="C47" s="65" t="e">
        <f>Basis!#REF!</f>
        <v>#REF!</v>
      </c>
    </row>
    <row r="48" spans="1:3" ht="22.5" customHeight="1" x14ac:dyDescent="0.2">
      <c r="A48" s="65" t="s">
        <v>2916</v>
      </c>
      <c r="B48" s="62"/>
      <c r="C48" s="65" t="e">
        <f>Basis!#REF!</f>
        <v>#REF!</v>
      </c>
    </row>
    <row r="49" spans="1:3" ht="33.75" customHeight="1" x14ac:dyDescent="0.2">
      <c r="A49" s="65" t="s">
        <v>2917</v>
      </c>
      <c r="B49" s="62"/>
      <c r="C49" s="65" t="e">
        <f>Basis!#REF!</f>
        <v>#REF!</v>
      </c>
    </row>
    <row r="50" spans="1:3" ht="33.75" customHeight="1" x14ac:dyDescent="0.2">
      <c r="A50" s="65" t="s">
        <v>2918</v>
      </c>
      <c r="B50" s="62"/>
    </row>
    <row r="51" spans="1:3" ht="22.5" customHeight="1" x14ac:dyDescent="0.2">
      <c r="A51" s="65" t="s">
        <v>2919</v>
      </c>
      <c r="B51" s="62">
        <v>0</v>
      </c>
      <c r="C51" s="65" t="e">
        <f>Basis!#REF!</f>
        <v>#REF!</v>
      </c>
    </row>
    <row r="52" spans="1:3" x14ac:dyDescent="0.2">
      <c r="B52" s="62">
        <v>45</v>
      </c>
      <c r="C52" s="65" t="e">
        <f>Basis!#REF!</f>
        <v>#REF!</v>
      </c>
    </row>
    <row r="53" spans="1:3" x14ac:dyDescent="0.2">
      <c r="B53" s="62" t="s">
        <v>366</v>
      </c>
      <c r="C53" s="65" t="e">
        <f>Basis!#REF!</f>
        <v>#REF!</v>
      </c>
    </row>
    <row r="54" spans="1:3" x14ac:dyDescent="0.2">
      <c r="B54" s="62">
        <v>60</v>
      </c>
      <c r="C54" s="65" t="e">
        <f>Basis!#REF!</f>
        <v>#REF!</v>
      </c>
    </row>
    <row r="55" spans="1:3" x14ac:dyDescent="0.2">
      <c r="B55" s="62" t="s">
        <v>192</v>
      </c>
      <c r="C55" s="65" t="e">
        <f>Basis!#REF!</f>
        <v>#REF!</v>
      </c>
    </row>
    <row r="56" spans="1:3" x14ac:dyDescent="0.2">
      <c r="B56" s="62">
        <v>80</v>
      </c>
      <c r="C56" s="65" t="e">
        <f>Basis!#REF!</f>
        <v>#REF!</v>
      </c>
    </row>
    <row r="57" spans="1:3" x14ac:dyDescent="0.2">
      <c r="B57" s="62" t="s">
        <v>2920</v>
      </c>
      <c r="C57" s="65" t="e">
        <f>Basis!#REF!</f>
        <v>#REF!</v>
      </c>
    </row>
    <row r="58" spans="1:3" x14ac:dyDescent="0.2">
      <c r="B58" s="62">
        <v>110</v>
      </c>
      <c r="C58" s="65" t="e">
        <f>Basis!#REF!</f>
        <v>#REF!</v>
      </c>
    </row>
    <row r="59" spans="1:3" x14ac:dyDescent="0.2">
      <c r="B59" s="62" t="s">
        <v>176</v>
      </c>
      <c r="C59" s="65" t="e">
        <f>Basis!#REF!</f>
        <v>#REF!</v>
      </c>
    </row>
    <row r="60" spans="1:3" x14ac:dyDescent="0.2">
      <c r="B60" s="62" t="s">
        <v>249</v>
      </c>
      <c r="C60" s="65" t="e">
        <f>Basis!#REF!</f>
        <v>#REF!</v>
      </c>
    </row>
    <row r="61" spans="1:3" x14ac:dyDescent="0.2">
      <c r="B61" s="62">
        <v>180</v>
      </c>
      <c r="C61" s="65" t="e">
        <f>Basis!#REF!</f>
        <v>#REF!</v>
      </c>
    </row>
    <row r="62" spans="1:3" x14ac:dyDescent="0.2">
      <c r="B62" s="62" t="s">
        <v>2921</v>
      </c>
      <c r="C62" s="65" t="e">
        <f>Basis!#REF!</f>
        <v>#REF!</v>
      </c>
    </row>
    <row r="63" spans="1:3" x14ac:dyDescent="0.2">
      <c r="A63" s="65" t="s">
        <v>2922</v>
      </c>
      <c r="B63" s="62"/>
      <c r="C63" s="65" t="e">
        <f>Basis!#REF!</f>
        <v>#REF!</v>
      </c>
    </row>
    <row r="64" spans="1:3" ht="33.75" customHeight="1" x14ac:dyDescent="0.2">
      <c r="A64" s="65" t="s">
        <v>2923</v>
      </c>
      <c r="B64" s="62"/>
      <c r="C64" s="65" t="e">
        <f>Basis!#REF!</f>
        <v>#REF!</v>
      </c>
    </row>
    <row r="65" spans="1:4" x14ac:dyDescent="0.2">
      <c r="A65" s="65" t="s">
        <v>2924</v>
      </c>
      <c r="B65" s="62"/>
      <c r="C65" s="65" t="e">
        <f>Basis!#REF!</f>
        <v>#REF!</v>
      </c>
    </row>
    <row r="66" spans="1:4" ht="22.5" customHeight="1" x14ac:dyDescent="0.2">
      <c r="A66" s="65" t="s">
        <v>2925</v>
      </c>
      <c r="B66" s="62"/>
      <c r="C66" s="65" t="e">
        <f>Basis!#REF!</f>
        <v>#REF!</v>
      </c>
    </row>
    <row r="67" spans="1:4" ht="33.75" customHeight="1" x14ac:dyDescent="0.2">
      <c r="A67" s="65" t="s">
        <v>63</v>
      </c>
      <c r="B67" s="62"/>
      <c r="C67" s="65" t="e">
        <f>Basis!#REF!</f>
        <v>#REF!</v>
      </c>
    </row>
    <row r="68" spans="1:4" ht="22.5" customHeight="1" x14ac:dyDescent="0.2">
      <c r="A68" s="65" t="s">
        <v>2926</v>
      </c>
      <c r="B68" s="62" t="s">
        <v>2927</v>
      </c>
      <c r="C68" s="65" t="e">
        <f>Basis!#REF!</f>
        <v>#REF!</v>
      </c>
    </row>
    <row r="69" spans="1:4" x14ac:dyDescent="0.2">
      <c r="B69" s="62" t="s">
        <v>2928</v>
      </c>
      <c r="C69" s="65" t="e">
        <f>Basis!#REF!</f>
        <v>#REF!</v>
      </c>
    </row>
    <row r="70" spans="1:4" x14ac:dyDescent="0.2">
      <c r="B70" s="62" t="s">
        <v>2929</v>
      </c>
      <c r="C70" s="65" t="e">
        <f>Basis!#REF!</f>
        <v>#REF!</v>
      </c>
    </row>
    <row r="71" spans="1:4" x14ac:dyDescent="0.2">
      <c r="B71" s="62" t="s">
        <v>2930</v>
      </c>
      <c r="C71" s="65" t="e">
        <f>Basis!#REF!</f>
        <v>#REF!</v>
      </c>
    </row>
    <row r="72" spans="1:4" x14ac:dyDescent="0.2">
      <c r="B72" s="62" t="s">
        <v>2931</v>
      </c>
      <c r="C72" s="65" t="e">
        <f>Basis!#REF!</f>
        <v>#REF!</v>
      </c>
    </row>
    <row r="73" spans="1:4" ht="33.75" customHeight="1" x14ac:dyDescent="0.2">
      <c r="A73" s="65" t="s">
        <v>2932</v>
      </c>
      <c r="B73" s="62"/>
      <c r="C73" s="66" t="e">
        <f>Basis!#REF!</f>
        <v>#REF!</v>
      </c>
    </row>
    <row r="74" spans="1:4" ht="22.5" customHeight="1" x14ac:dyDescent="0.2">
      <c r="A74" s="65" t="s">
        <v>2933</v>
      </c>
      <c r="B74" s="62"/>
      <c r="C74" s="65" t="e">
        <f>Basis!#REF!</f>
        <v>#REF!</v>
      </c>
    </row>
    <row r="75" spans="1:4" x14ac:dyDescent="0.2">
      <c r="A75" s="65" t="s">
        <v>67</v>
      </c>
      <c r="B75" s="62"/>
      <c r="C75" s="65" t="e">
        <f>Basis!#REF!</f>
        <v>#REF!</v>
      </c>
    </row>
    <row r="76" spans="1:4" x14ac:dyDescent="0.2">
      <c r="A76" s="65" t="s">
        <v>68</v>
      </c>
      <c r="B76" s="62"/>
      <c r="C76" s="65" t="e">
        <f>Basis!#REF!</f>
        <v>#REF!</v>
      </c>
    </row>
    <row r="77" spans="1:4" x14ac:dyDescent="0.2">
      <c r="A77" s="65" t="s">
        <v>2934</v>
      </c>
      <c r="B77" s="62"/>
      <c r="C77" s="65" t="e">
        <f>Basis!#REF!</f>
        <v>#REF!</v>
      </c>
    </row>
    <row r="78" spans="1:4" x14ac:dyDescent="0.2">
      <c r="A78" s="65" t="s">
        <v>70</v>
      </c>
      <c r="B78" s="62"/>
      <c r="C78" s="65" t="e">
        <f>Basis!#REF!</f>
        <v>#REF!</v>
      </c>
    </row>
    <row r="79" spans="1:4" x14ac:dyDescent="0.2">
      <c r="A79" s="65" t="s">
        <v>547</v>
      </c>
      <c r="B79" s="62"/>
      <c r="C79" s="65" t="e">
        <f>Basis!#REF!</f>
        <v>#REF!</v>
      </c>
      <c r="D79" s="65" t="e">
        <f>C79-Basis!#REF!</f>
        <v>#REF!</v>
      </c>
    </row>
    <row r="80" spans="1:4" x14ac:dyDescent="0.2">
      <c r="A80" s="65" t="s">
        <v>72</v>
      </c>
      <c r="B80" s="62"/>
      <c r="C80" s="65" t="e">
        <f>Basis!#REF!</f>
        <v>#REF!</v>
      </c>
    </row>
    <row r="81" spans="1:3" ht="22.5" customHeight="1" x14ac:dyDescent="0.2">
      <c r="A81" s="65" t="s">
        <v>73</v>
      </c>
      <c r="B81" s="62"/>
      <c r="C81" s="65" t="e">
        <f>Basis!#REF!</f>
        <v>#REF!</v>
      </c>
    </row>
    <row r="82" spans="1:3" ht="22.5" customHeight="1" x14ac:dyDescent="0.2">
      <c r="A82" s="65" t="s">
        <v>74</v>
      </c>
      <c r="B82" s="62" t="s">
        <v>2927</v>
      </c>
      <c r="C82" s="65" t="e">
        <f>Basis!#REF!</f>
        <v>#REF!</v>
      </c>
    </row>
    <row r="83" spans="1:3" x14ac:dyDescent="0.2">
      <c r="B83" s="62" t="s">
        <v>2935</v>
      </c>
      <c r="C83" s="65" t="e">
        <f>Basis!#REF!</f>
        <v>#REF!</v>
      </c>
    </row>
    <row r="84" spans="1:3" x14ac:dyDescent="0.2">
      <c r="B84" s="62" t="s">
        <v>2936</v>
      </c>
      <c r="C84" s="65" t="e">
        <f>Basis!#REF!</f>
        <v>#REF!</v>
      </c>
    </row>
    <row r="85" spans="1:3" ht="22.5" customHeight="1" x14ac:dyDescent="0.2">
      <c r="A85" s="65" t="s">
        <v>2937</v>
      </c>
      <c r="B85" s="62"/>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74" customWidth="1"/>
    <col min="3" max="3" width="44.59765625" style="74" customWidth="1"/>
    <col min="4" max="4" width="34.3984375" style="74" customWidth="1"/>
    <col min="6" max="6" width="36.19921875" style="74" customWidth="1"/>
  </cols>
  <sheetData>
    <row r="1" spans="1:1" ht="14.25" customHeight="1" x14ac:dyDescent="0.25">
      <c r="A1" s="1" t="s">
        <v>2938</v>
      </c>
    </row>
    <row r="6" spans="1:1" x14ac:dyDescent="0.2">
      <c r="A6" t="s">
        <v>2939</v>
      </c>
    </row>
    <row r="7" spans="1:1" x14ac:dyDescent="0.2">
      <c r="A7" t="s">
        <v>2940</v>
      </c>
    </row>
    <row r="9" spans="1:1" x14ac:dyDescent="0.2">
      <c r="A9" s="2" t="s">
        <v>2941</v>
      </c>
    </row>
    <row r="13" spans="1:1" x14ac:dyDescent="0.2">
      <c r="A13" t="s">
        <v>2942</v>
      </c>
    </row>
    <row r="14" spans="1:1" x14ac:dyDescent="0.2">
      <c r="A14" t="s">
        <v>2943</v>
      </c>
    </row>
    <row r="15" spans="1:1" x14ac:dyDescent="0.2">
      <c r="A15" t="s">
        <v>2944</v>
      </c>
    </row>
    <row r="18" spans="1:6" x14ac:dyDescent="0.2">
      <c r="A18" t="s">
        <v>2945</v>
      </c>
    </row>
    <row r="19" spans="1:6" x14ac:dyDescent="0.2">
      <c r="A19" s="40" t="s">
        <v>2946</v>
      </c>
      <c r="B19" s="40" t="s">
        <v>2947</v>
      </c>
      <c r="C19" s="52" t="s">
        <v>20</v>
      </c>
      <c r="D19" s="40" t="s">
        <v>22</v>
      </c>
      <c r="E19" s="40" t="s">
        <v>18</v>
      </c>
      <c r="F19" s="40" t="s">
        <v>2948</v>
      </c>
    </row>
    <row r="20" spans="1:6" x14ac:dyDescent="0.2">
      <c r="A20" s="43"/>
      <c r="B20" s="43" t="s">
        <v>147</v>
      </c>
      <c r="C20" s="43" t="s">
        <v>148</v>
      </c>
      <c r="D20" s="43" t="s">
        <v>68</v>
      </c>
      <c r="E20" s="43" t="s">
        <v>120</v>
      </c>
      <c r="F20" s="43" t="s">
        <v>156</v>
      </c>
    </row>
    <row r="21" spans="1:6" x14ac:dyDescent="0.2">
      <c r="A21" s="43"/>
      <c r="B21" s="43" t="s">
        <v>1590</v>
      </c>
      <c r="C21" s="43" t="s">
        <v>423</v>
      </c>
      <c r="D21" s="43" t="s">
        <v>1014</v>
      </c>
      <c r="E21" s="43" t="s">
        <v>214</v>
      </c>
      <c r="F21" s="43" t="s">
        <v>136</v>
      </c>
    </row>
    <row r="22" spans="1:6" x14ac:dyDescent="0.2">
      <c r="A22" s="43"/>
      <c r="B22" s="43" t="s">
        <v>286</v>
      </c>
      <c r="C22" s="43" t="s">
        <v>1542</v>
      </c>
      <c r="D22" s="43" t="s">
        <v>138</v>
      </c>
      <c r="E22" s="43" t="s">
        <v>201</v>
      </c>
      <c r="F22" s="43" t="s">
        <v>121</v>
      </c>
    </row>
    <row r="23" spans="1:6" x14ac:dyDescent="0.2">
      <c r="A23" s="43"/>
      <c r="B23" s="43" t="s">
        <v>188</v>
      </c>
      <c r="C23" t="s">
        <v>137</v>
      </c>
      <c r="D23" s="43" t="s">
        <v>365</v>
      </c>
      <c r="E23" s="43" t="s">
        <v>422</v>
      </c>
    </row>
    <row r="24" spans="1:6" x14ac:dyDescent="0.2">
      <c r="A24" s="43"/>
      <c r="B24" s="43" t="s">
        <v>618</v>
      </c>
      <c r="C24" s="43" t="s">
        <v>378</v>
      </c>
      <c r="D24" s="43" t="s">
        <v>2949</v>
      </c>
    </row>
    <row r="25" spans="1:6" x14ac:dyDescent="0.2">
      <c r="A25" s="43"/>
      <c r="B25" s="43" t="s">
        <v>2078</v>
      </c>
      <c r="C25" s="43" t="s">
        <v>2564</v>
      </c>
      <c r="D25" s="43" t="s">
        <v>2934</v>
      </c>
    </row>
    <row r="26" spans="1:6" x14ac:dyDescent="0.2">
      <c r="A26" s="43"/>
      <c r="B26" s="43" t="s">
        <v>162</v>
      </c>
      <c r="C26" s="43" t="s">
        <v>2367</v>
      </c>
      <c r="D26" s="43" t="s">
        <v>67</v>
      </c>
    </row>
    <row r="27" spans="1:6" x14ac:dyDescent="0.2">
      <c r="A27" s="43"/>
      <c r="B27" s="43" t="s">
        <v>119</v>
      </c>
      <c r="C27" s="55" t="s">
        <v>2950</v>
      </c>
      <c r="D27" s="43" t="s">
        <v>1302</v>
      </c>
    </row>
    <row r="28" spans="1:6" x14ac:dyDescent="0.2">
      <c r="A28" s="43"/>
      <c r="B28" s="43" t="s">
        <v>2951</v>
      </c>
      <c r="C28" s="43" t="s">
        <v>716</v>
      </c>
      <c r="D28" s="53" t="s">
        <v>2952</v>
      </c>
    </row>
    <row r="29" spans="1:6" x14ac:dyDescent="0.2">
      <c r="A29" s="51"/>
      <c r="B29" s="51" t="s">
        <v>1714</v>
      </c>
      <c r="C29" s="55" t="s">
        <v>2953</v>
      </c>
    </row>
    <row r="30" spans="1:6" s="43" customFormat="1" x14ac:dyDescent="0.2">
      <c r="B30" s="43" t="s">
        <v>2954</v>
      </c>
      <c r="C30" s="43" t="s">
        <v>2955</v>
      </c>
    </row>
    <row r="31" spans="1:6" x14ac:dyDescent="0.2">
      <c r="A31" s="43"/>
      <c r="B31" s="43" t="s">
        <v>2956</v>
      </c>
      <c r="C31" s="43" t="s">
        <v>2957</v>
      </c>
    </row>
    <row r="32" spans="1:6" x14ac:dyDescent="0.2">
      <c r="A32" s="43"/>
      <c r="B32" s="43" t="s">
        <v>2958</v>
      </c>
      <c r="C32" s="43" t="s">
        <v>1179</v>
      </c>
    </row>
    <row r="33" spans="1:4" x14ac:dyDescent="0.2">
      <c r="C33" s="43" t="s">
        <v>2959</v>
      </c>
    </row>
    <row r="34" spans="1:4" x14ac:dyDescent="0.2">
      <c r="C34" s="55" t="s">
        <v>2960</v>
      </c>
    </row>
    <row r="35" spans="1:4" x14ac:dyDescent="0.2">
      <c r="C35" s="43" t="s">
        <v>2961</v>
      </c>
    </row>
    <row r="36" spans="1:4" x14ac:dyDescent="0.2">
      <c r="A36" t="s">
        <v>2962</v>
      </c>
      <c r="C36" s="43" t="s">
        <v>2963</v>
      </c>
    </row>
    <row r="37" spans="1:4" x14ac:dyDescent="0.2">
      <c r="A37" s="40" t="s">
        <v>2964</v>
      </c>
      <c r="B37" s="40" t="s">
        <v>2965</v>
      </c>
      <c r="C37" s="43" t="s">
        <v>2966</v>
      </c>
    </row>
    <row r="38" spans="1:4" x14ac:dyDescent="0.2">
      <c r="A38" s="54"/>
      <c r="B38" s="54" t="s">
        <v>2967</v>
      </c>
      <c r="C38" s="40" t="s">
        <v>2968</v>
      </c>
    </row>
    <row r="39" spans="1:4" x14ac:dyDescent="0.2">
      <c r="A39" s="43"/>
      <c r="B39" s="43" t="s">
        <v>2969</v>
      </c>
      <c r="C39" s="43" t="s">
        <v>123</v>
      </c>
    </row>
    <row r="40" spans="1:4" x14ac:dyDescent="0.2">
      <c r="A40" s="43"/>
      <c r="B40" s="43" t="s">
        <v>2970</v>
      </c>
      <c r="C40" s="43" t="s">
        <v>2971</v>
      </c>
    </row>
    <row r="41" spans="1:4" x14ac:dyDescent="0.2">
      <c r="A41" s="43"/>
      <c r="B41" s="43" t="s">
        <v>2972</v>
      </c>
      <c r="C41" s="43"/>
    </row>
    <row r="42" spans="1:4" x14ac:dyDescent="0.2">
      <c r="A42" s="43"/>
      <c r="B42" s="43" t="s">
        <v>2973</v>
      </c>
      <c r="C42" s="43"/>
    </row>
    <row r="43" spans="1:4" x14ac:dyDescent="0.2">
      <c r="A43" s="43"/>
      <c r="B43" s="43" t="s">
        <v>2974</v>
      </c>
    </row>
    <row r="44" spans="1:4" x14ac:dyDescent="0.2">
      <c r="A44" s="43"/>
      <c r="B44" s="43" t="s">
        <v>2975</v>
      </c>
    </row>
    <row r="45" spans="1:4" x14ac:dyDescent="0.2">
      <c r="A45" s="43"/>
      <c r="B45" s="43" t="s">
        <v>2976</v>
      </c>
    </row>
    <row r="46" spans="1:4" x14ac:dyDescent="0.2">
      <c r="A46" s="43"/>
      <c r="B46" s="43" t="s">
        <v>2977</v>
      </c>
      <c r="D46" s="43" t="s">
        <v>203</v>
      </c>
    </row>
    <row r="47" spans="1:4" x14ac:dyDescent="0.2">
      <c r="A47" s="43"/>
      <c r="B47" s="43"/>
      <c r="D47" s="43" t="s">
        <v>124</v>
      </c>
    </row>
    <row r="48" spans="1:4" x14ac:dyDescent="0.2">
      <c r="A48" s="43"/>
      <c r="B48" s="43" t="s">
        <v>2978</v>
      </c>
      <c r="D48" s="43" t="s">
        <v>175</v>
      </c>
    </row>
    <row r="49" spans="1:6" x14ac:dyDescent="0.2">
      <c r="A49" s="43"/>
      <c r="B49" s="43" t="s">
        <v>2979</v>
      </c>
      <c r="D49" t="s">
        <v>1303</v>
      </c>
    </row>
    <row r="50" spans="1:6" x14ac:dyDescent="0.2">
      <c r="A50" s="43"/>
      <c r="B50" s="43" t="s">
        <v>2980</v>
      </c>
      <c r="D50" t="s">
        <v>135</v>
      </c>
    </row>
    <row r="52" spans="1:6" x14ac:dyDescent="0.2">
      <c r="A52" t="s">
        <v>2981</v>
      </c>
    </row>
    <row r="53" spans="1:6" x14ac:dyDescent="0.2">
      <c r="A53" s="40" t="s">
        <v>2982</v>
      </c>
      <c r="B53" s="40" t="s">
        <v>2983</v>
      </c>
    </row>
    <row r="54" spans="1:6" ht="12.75" customHeight="1" x14ac:dyDescent="0.2">
      <c r="A54" s="44">
        <v>0</v>
      </c>
      <c r="B54" s="45" t="s">
        <v>2984</v>
      </c>
      <c r="D54" s="41"/>
      <c r="E54" s="41"/>
      <c r="F54" s="41"/>
    </row>
    <row r="55" spans="1:6" ht="12.75" customHeight="1" x14ac:dyDescent="0.2">
      <c r="A55" s="44">
        <v>1</v>
      </c>
      <c r="B55" s="45" t="s">
        <v>2985</v>
      </c>
      <c r="D55" s="41"/>
      <c r="E55" s="41"/>
      <c r="F55" s="41"/>
    </row>
    <row r="56" spans="1:6" ht="27.75" customHeight="1" x14ac:dyDescent="0.2">
      <c r="A56" s="44">
        <v>2</v>
      </c>
      <c r="B56" s="45" t="s">
        <v>2986</v>
      </c>
      <c r="D56" s="41"/>
      <c r="E56" s="41"/>
      <c r="F56" s="41"/>
    </row>
    <row r="57" spans="1:6" ht="24.75" customHeight="1" x14ac:dyDescent="0.2">
      <c r="A57" s="46">
        <v>3</v>
      </c>
      <c r="B57" s="45" t="s">
        <v>2987</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74" customWidth="1"/>
    <col min="2" max="3" width="11" style="12" customWidth="1"/>
    <col min="4" max="4" width="12.19921875" style="12" customWidth="1"/>
    <col min="5" max="5" width="11" style="12" customWidth="1"/>
    <col min="6" max="6" width="28.09765625" style="15" customWidth="1"/>
    <col min="7" max="7" width="4.69921875" style="74" customWidth="1"/>
    <col min="13" max="13" width="2.5" style="74" customWidth="1"/>
  </cols>
  <sheetData>
    <row r="1" spans="1:4" ht="14.25" customHeight="1" x14ac:dyDescent="0.25">
      <c r="A1" s="1" t="s">
        <v>2938</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2022-11-26T09:54:27Z</dcterms:modified>
</cp:coreProperties>
</file>