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714" headerRowCount="1">
  <autoFilter ref="A1:DG714"/>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714"/>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t>
        </is>
      </c>
      <c r="B2" t="b">
        <v>0</v>
      </c>
      <c r="C2" t="inlineStr"/>
      <c r="D2" t="inlineStr"/>
      <c r="E2" t="inlineStr"/>
      <c r="F2">
        <f>HYPERLINK("https://portal.dnb.de/opac.htm?method=simpleSearch&amp;cqlMode=true&amp;query=idn%3D", "Portal")</f>
        <v/>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t>
        </is>
      </c>
      <c r="B3" t="b">
        <v>0</v>
      </c>
      <c r="C3" t="inlineStr"/>
      <c r="D3" t="inlineStr"/>
      <c r="E3" t="inlineStr"/>
      <c r="F3">
        <f>HYPERLINK("https://portal.dnb.de/opac.htm?method=simpleSearch&amp;cqlMode=true&amp;query=idn%3D", "Portal")</f>
        <v/>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t>
        </is>
      </c>
      <c r="B4" t="b">
        <v>0</v>
      </c>
      <c r="C4" t="inlineStr"/>
      <c r="D4" t="inlineStr"/>
      <c r="E4" t="inlineStr"/>
      <c r="F4">
        <f>HYPERLINK("https://portal.dnb.de/opac.htm?method=simpleSearch&amp;cqlMode=true&amp;query=idn%3D", "Portal")</f>
        <v/>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t>
        </is>
      </c>
      <c r="B5" t="b">
        <v>0</v>
      </c>
      <c r="C5" t="inlineStr"/>
      <c r="D5" t="inlineStr"/>
      <c r="E5" t="inlineStr"/>
      <c r="F5">
        <f>HYPERLINK("https://portal.dnb.de/opac.htm?method=simpleSearch&amp;cqlMode=true&amp;query=idn%3D", "Portal")</f>
        <v/>
      </c>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t>
        </is>
      </c>
      <c r="B6" t="b">
        <v>0</v>
      </c>
      <c r="C6" t="inlineStr"/>
      <c r="D6" t="inlineStr"/>
      <c r="E6" t="inlineStr"/>
      <c r="F6">
        <f>HYPERLINK("https://portal.dnb.de/opac.htm?method=simpleSearch&amp;cqlMode=true&amp;query=idn%3D", "Portal")</f>
        <v/>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t>
        </is>
      </c>
      <c r="B7" t="b">
        <v>0</v>
      </c>
      <c r="C7" t="inlineStr"/>
      <c r="D7" t="inlineStr"/>
      <c r="E7" t="inlineStr"/>
      <c r="F7">
        <f>HYPERLINK("https://portal.dnb.de/opac.htm?method=simpleSearch&amp;cqlMode=true&amp;query=idn%3D", "Portal")</f>
        <v/>
      </c>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t>
        </is>
      </c>
      <c r="B8" t="b">
        <v>0</v>
      </c>
      <c r="C8" t="inlineStr"/>
      <c r="D8" t="inlineStr"/>
      <c r="E8" t="inlineStr"/>
      <c r="F8">
        <f>HYPERLINK("https://portal.dnb.de/opac.htm?method=simpleSearch&amp;cqlMode=true&amp;query=idn%3D", "Portal")</f>
        <v/>
      </c>
      <c r="G8" t="inlineStr"/>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t>
        </is>
      </c>
      <c r="B9" t="b">
        <v>0</v>
      </c>
      <c r="C9" t="inlineStr"/>
      <c r="D9" t="inlineStr"/>
      <c r="E9" t="inlineStr"/>
      <c r="F9">
        <f>HYPERLINK("https://portal.dnb.de/opac.htm?method=simpleSearch&amp;cqlMode=true&amp;query=idn%3D", "Portal")</f>
        <v/>
      </c>
      <c r="G9" t="inlineStr"/>
      <c r="H9" t="inlineStr"/>
      <c r="I9" t="inlineStr"/>
      <c r="J9" t="inlineStr"/>
      <c r="K9" t="inlineStr"/>
      <c r="L9" t="inlineStr">
        <is>
          <t>II 1,1 a</t>
        </is>
      </c>
      <c r="M9" t="inlineStr">
        <is>
          <t>von FT neu aufgenommen</t>
        </is>
      </c>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is>
          <t>x Silberschließen des Einbandes (4 Teilstücke)</t>
        </is>
      </c>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t>
        </is>
      </c>
      <c r="B10" t="b">
        <v>1</v>
      </c>
      <c r="C10" t="inlineStr"/>
      <c r="D10" t="inlineStr"/>
      <c r="E10" t="n">
        <v>2</v>
      </c>
      <c r="F10">
        <f>HYPERLINK("https://portal.dnb.de/opac.htm?method=simpleSearch&amp;cqlMode=true&amp;query=idn%3D1066966540", "Portal")</f>
        <v/>
      </c>
      <c r="G10" t="inlineStr">
        <is>
          <t>Aa</t>
        </is>
      </c>
      <c r="H10" t="inlineStr">
        <is>
          <t>L-1454-315496827</t>
        </is>
      </c>
      <c r="I10" t="inlineStr">
        <is>
          <t>1066966540</t>
        </is>
      </c>
      <c r="J10" t="inlineStr">
        <is>
          <t>II 1,1 ab - Fragm.</t>
        </is>
      </c>
      <c r="K10" t="inlineStr">
        <is>
          <t>II 1,1 ab - Fragm.</t>
        </is>
      </c>
      <c r="L10" t="inlineStr">
        <is>
          <t>II 1,1ab - Fragm.</t>
        </is>
      </c>
      <c r="M10" t="inlineStr"/>
      <c r="N10" t="inlineStr">
        <is>
          <t xml:space="preserve">Biblia, 42zeilig : </t>
        </is>
      </c>
      <c r="O10" t="inlineStr">
        <is>
          <t xml:space="preserve"> : </t>
        </is>
      </c>
      <c r="P10" t="inlineStr"/>
      <c r="Q10" t="inlineStr">
        <is>
          <t>20.000,00 EUR; 20000,00 EUR</t>
        </is>
      </c>
      <c r="R10" t="inlineStr"/>
      <c r="S10" t="inlineStr"/>
      <c r="T10" t="inlineStr"/>
      <c r="U10" t="inlineStr"/>
      <c r="V10" t="inlineStr"/>
      <c r="W10" t="inlineStr"/>
      <c r="X10" t="inlineStr"/>
      <c r="Y10" t="inlineStr"/>
      <c r="Z10" t="inlineStr"/>
      <c r="AA10" t="inlineStr">
        <is>
          <t>neue DA</t>
        </is>
      </c>
      <c r="AB10" t="inlineStr"/>
      <c r="AC10" t="inlineStr"/>
      <c r="AD10" t="inlineStr">
        <is>
          <t>DA</t>
        </is>
      </c>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n">
        <v>0</v>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t>
        </is>
      </c>
      <c r="B11" t="b">
        <v>1</v>
      </c>
      <c r="C11" t="inlineStr"/>
      <c r="D11" t="inlineStr"/>
      <c r="E11" t="n">
        <v>3</v>
      </c>
      <c r="F11">
        <f>HYPERLINK("https://portal.dnb.de/opac.htm?method=simpleSearch&amp;cqlMode=true&amp;query=idn%3D1066967997", "Portal")</f>
        <v/>
      </c>
      <c r="G11" t="inlineStr">
        <is>
          <t>Aa</t>
        </is>
      </c>
      <c r="H11" t="inlineStr">
        <is>
          <t>L-1459-315498269</t>
        </is>
      </c>
      <c r="I11" t="inlineStr">
        <is>
          <t>1066967997</t>
        </is>
      </c>
      <c r="J11" t="inlineStr">
        <is>
          <t>II 1,2ba - Fragm.</t>
        </is>
      </c>
      <c r="K11" t="inlineStr">
        <is>
          <t>II 1,2ba - Fragm.</t>
        </is>
      </c>
      <c r="L11" t="inlineStr">
        <is>
          <t>II 1,2ba - Fragm.</t>
        </is>
      </c>
      <c r="M11" t="inlineStr"/>
      <c r="N11" t="inlineStr">
        <is>
          <t xml:space="preserve">Rationale divinorum officiorum : </t>
        </is>
      </c>
      <c r="O11" t="inlineStr">
        <is>
          <t xml:space="preserve"> : </t>
        </is>
      </c>
      <c r="P11" t="inlineStr"/>
      <c r="Q11" t="inlineStr"/>
      <c r="R11" t="inlineStr"/>
      <c r="S11" t="inlineStr"/>
      <c r="T11" t="inlineStr"/>
      <c r="U11" t="inlineStr"/>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t>
        </is>
      </c>
      <c r="B12" t="b">
        <v>1</v>
      </c>
      <c r="C12" t="inlineStr"/>
      <c r="D12" t="inlineStr"/>
      <c r="E12" t="n">
        <v>4</v>
      </c>
      <c r="F12">
        <f>HYPERLINK("https://portal.dnb.de/opac.htm?method=simpleSearch&amp;cqlMode=true&amp;query=idn%3D1066966419", "Portal")</f>
        <v/>
      </c>
      <c r="G12" t="inlineStr">
        <is>
          <t>Aa</t>
        </is>
      </c>
      <c r="H12" t="inlineStr">
        <is>
          <t>L-1462-31549669X</t>
        </is>
      </c>
      <c r="I12" t="inlineStr">
        <is>
          <t>1066966419</t>
        </is>
      </c>
      <c r="J12" t="inlineStr">
        <is>
          <t>II 1,2ca - Fragm.</t>
        </is>
      </c>
      <c r="K12" t="inlineStr">
        <is>
          <t>II 1,2ca - Fragm.</t>
        </is>
      </c>
      <c r="L12" t="inlineStr">
        <is>
          <t>II 1,2ca - Fragm.</t>
        </is>
      </c>
      <c r="M12" t="inlineStr"/>
      <c r="N12" t="inlineStr">
        <is>
          <t xml:space="preserve">Biblia, lat. : </t>
        </is>
      </c>
      <c r="O12" t="inlineStr">
        <is>
          <t xml:space="preserve"> : </t>
        </is>
      </c>
      <c r="P12" t="inlineStr"/>
      <c r="Q12" t="inlineStr"/>
      <c r="R12" t="inlineStr"/>
      <c r="S12" t="inlineStr"/>
      <c r="T12" t="inlineStr"/>
      <c r="U12" t="inlineStr"/>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t>
        </is>
      </c>
      <c r="B13" t="b">
        <v>1</v>
      </c>
      <c r="C13" t="inlineStr"/>
      <c r="D13" t="inlineStr"/>
      <c r="E13" t="n">
        <v>5</v>
      </c>
      <c r="F13">
        <f>HYPERLINK("https://portal.dnb.de/opac.htm?method=simpleSearch&amp;cqlMode=true&amp;query=idn%3D106696565X", "Portal")</f>
        <v/>
      </c>
      <c r="G13" t="inlineStr">
        <is>
          <t>Aaf</t>
        </is>
      </c>
      <c r="H13" t="inlineStr">
        <is>
          <t>L-1467-315495871</t>
        </is>
      </c>
      <c r="I13" t="inlineStr">
        <is>
          <t>106696565X</t>
        </is>
      </c>
      <c r="J13" t="inlineStr">
        <is>
          <t>II 1,2e</t>
        </is>
      </c>
      <c r="K13" t="inlineStr">
        <is>
          <t>II 1,2e</t>
        </is>
      </c>
      <c r="L13" t="inlineStr">
        <is>
          <t>II 1,2e</t>
        </is>
      </c>
      <c r="M13" t="inlineStr"/>
      <c r="N13" t="inlineStr">
        <is>
          <t xml:space="preserve">De arte praedicandi [= De doctrina Christiana, liber 4] : </t>
        </is>
      </c>
      <c r="O13" t="inlineStr">
        <is>
          <t xml:space="preserve"> : </t>
        </is>
      </c>
      <c r="P13" t="inlineStr">
        <is>
          <t>X</t>
        </is>
      </c>
      <c r="Q13" t="inlineStr"/>
      <c r="R13" t="inlineStr">
        <is>
          <t>Ledereinband</t>
        </is>
      </c>
      <c r="S13" t="inlineStr">
        <is>
          <t>bis 35 cm</t>
        </is>
      </c>
      <c r="T13" t="inlineStr">
        <is>
          <t>180°</t>
        </is>
      </c>
      <c r="U13" t="inlineStr">
        <is>
          <t>hohler Rücken, erhabene Illuminationen</t>
        </is>
      </c>
      <c r="V13" t="inlineStr">
        <is>
          <t>nicht auflegen</t>
        </is>
      </c>
      <c r="W13" t="inlineStr">
        <is>
          <t>Kassette</t>
        </is>
      </c>
      <c r="X13" t="inlineStr">
        <is>
          <t>Nein</t>
        </is>
      </c>
      <c r="Y13" t="n">
        <v>0</v>
      </c>
      <c r="Z13" t="inlineStr"/>
      <c r="AA13" t="inlineStr"/>
      <c r="AB13" t="inlineStr"/>
      <c r="AC13" t="inlineStr"/>
      <c r="AD13" t="inlineStr"/>
      <c r="AE13" t="inlineStr"/>
      <c r="AF13" t="inlineStr"/>
      <c r="AG13" t="inlineStr"/>
      <c r="AH13" t="inlineStr"/>
      <c r="AI13" t="inlineStr">
        <is>
          <t>L</t>
        </is>
      </c>
      <c r="AJ13" t="inlineStr"/>
      <c r="AK13" t="inlineStr">
        <is>
          <t>x</t>
        </is>
      </c>
      <c r="AL13" t="inlineStr"/>
      <c r="AM13" t="inlineStr">
        <is>
          <t>h/E</t>
        </is>
      </c>
      <c r="AN13" t="inlineStr"/>
      <c r="AO13" t="inlineStr"/>
      <c r="AP13" t="inlineStr"/>
      <c r="AQ13" t="inlineStr"/>
      <c r="AR13" t="inlineStr"/>
      <c r="AS13" t="inlineStr">
        <is>
          <t>Pa</t>
        </is>
      </c>
      <c r="AT13" t="inlineStr">
        <is>
          <t>x</t>
        </is>
      </c>
      <c r="AU13" t="inlineStr"/>
      <c r="AV13" t="inlineStr"/>
      <c r="AW13" t="inlineStr"/>
      <c r="AX13" t="inlineStr"/>
      <c r="AY13" t="inlineStr"/>
      <c r="AZ13" t="inlineStr"/>
      <c r="BA13" t="inlineStr"/>
      <c r="BB13" t="inlineStr"/>
      <c r="BC13" t="inlineStr">
        <is>
          <t>B/I/R</t>
        </is>
      </c>
      <c r="BD13" t="inlineStr">
        <is>
          <t>x</t>
        </is>
      </c>
      <c r="BE13" t="n">
        <v>3</v>
      </c>
      <c r="BF13" t="inlineStr"/>
      <c r="BG13" t="inlineStr">
        <is>
          <t>max 110</t>
        </is>
      </c>
      <c r="BH13" t="inlineStr"/>
      <c r="BI13" t="inlineStr"/>
      <c r="BJ13" t="inlineStr"/>
      <c r="BK13" t="inlineStr"/>
      <c r="BL13" t="inlineStr"/>
      <c r="BM13" t="inlineStr">
        <is>
          <t>n</t>
        </is>
      </c>
      <c r="BN13" t="n">
        <v>0</v>
      </c>
      <c r="BO13" t="inlineStr"/>
      <c r="BP13" t="inlineStr">
        <is>
          <t>Wellpappe</t>
        </is>
      </c>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t>
        </is>
      </c>
      <c r="B14" t="b">
        <v>1</v>
      </c>
      <c r="C14" t="inlineStr"/>
      <c r="D14" t="inlineStr"/>
      <c r="E14" t="n">
        <v>7</v>
      </c>
      <c r="F14">
        <f>HYPERLINK("https://portal.dnb.de/opac.htm?method=simpleSearch&amp;cqlMode=true&amp;query=idn%3D1066967148", "Portal")</f>
        <v/>
      </c>
      <c r="G14" t="inlineStr">
        <is>
          <t>Aaf</t>
        </is>
      </c>
      <c r="H14" t="inlineStr">
        <is>
          <t>L-1492-315497408</t>
        </is>
      </c>
      <c r="I14" t="inlineStr">
        <is>
          <t>1066967148</t>
        </is>
      </c>
      <c r="J14" t="inlineStr">
        <is>
          <t>II 1,3ba kursiv - Fragm.</t>
        </is>
      </c>
      <c r="K14" t="inlineStr">
        <is>
          <t>II 1,3ba kursiv - Fragm.</t>
        </is>
      </c>
      <c r="L14" t="inlineStr">
        <is>
          <t>II 1,3ba kursiv - Fragm.</t>
        </is>
      </c>
      <c r="M14" t="inlineStr"/>
      <c r="N14" t="inlineStr">
        <is>
          <t xml:space="preserve">Cronecken der Sassen : </t>
        </is>
      </c>
      <c r="O14" t="inlineStr">
        <is>
          <t xml:space="preserve"> : </t>
        </is>
      </c>
      <c r="P14" t="inlineStr"/>
      <c r="Q14" t="inlineStr"/>
      <c r="R14" t="inlineStr"/>
      <c r="S14" t="inlineStr"/>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t>
        </is>
      </c>
      <c r="B15" t="b">
        <v>1</v>
      </c>
      <c r="C15" t="inlineStr"/>
      <c r="D15" t="inlineStr"/>
      <c r="E15" t="n">
        <v>8</v>
      </c>
      <c r="F15">
        <f>HYPERLINK("https://portal.dnb.de/opac.htm?method=simpleSearch&amp;cqlMode=true&amp;query=idn%3D1066972710", "Portal")</f>
        <v/>
      </c>
      <c r="G15" t="inlineStr">
        <is>
          <t>Aaf</t>
        </is>
      </c>
      <c r="H15" t="inlineStr">
        <is>
          <t>L-1469-315503122</t>
        </is>
      </c>
      <c r="I15" t="inlineStr">
        <is>
          <t>1066972710</t>
        </is>
      </c>
      <c r="J15" t="inlineStr">
        <is>
          <t>II 1,3c</t>
        </is>
      </c>
      <c r="K15" t="inlineStr">
        <is>
          <t>II 1,3c</t>
        </is>
      </c>
      <c r="L15" t="inlineStr">
        <is>
          <t>II 1,3c</t>
        </is>
      </c>
      <c r="M15" t="inlineStr"/>
      <c r="N15" t="inlineStr">
        <is>
          <t xml:space="preserve">Super quarto libro Sententiarum : </t>
        </is>
      </c>
      <c r="O15" t="inlineStr">
        <is>
          <t xml:space="preserve"> : </t>
        </is>
      </c>
      <c r="P15" t="inlineStr">
        <is>
          <t>X</t>
        </is>
      </c>
      <c r="Q15" t="inlineStr"/>
      <c r="R15" t="inlineStr">
        <is>
          <t>Halbledereinband, Schließen, erhabene Buchbeschläge</t>
        </is>
      </c>
      <c r="S15" t="inlineStr">
        <is>
          <t>bis 42 cm</t>
        </is>
      </c>
      <c r="T15" t="inlineStr">
        <is>
          <t>80° bis 110°, einseitig digitalisierbar?</t>
        </is>
      </c>
      <c r="U15" t="inlineStr">
        <is>
          <t>fester Rücken mit Schmuckprägung, erhabene Illuminationen</t>
        </is>
      </c>
      <c r="V15" t="inlineStr">
        <is>
          <t>nicht auflegen</t>
        </is>
      </c>
      <c r="W15" t="inlineStr"/>
      <c r="X15" t="inlineStr"/>
      <c r="Y15" t="n">
        <v>0</v>
      </c>
      <c r="Z15" t="inlineStr"/>
      <c r="AA15" t="inlineStr"/>
      <c r="AB15" t="inlineStr"/>
      <c r="AC15" t="inlineStr"/>
      <c r="AD15" t="inlineStr"/>
      <c r="AE15" t="inlineStr"/>
      <c r="AF15" t="inlineStr"/>
      <c r="AG15" t="inlineStr"/>
      <c r="AH15" t="inlineStr"/>
      <c r="AI15" t="inlineStr">
        <is>
          <t>HL</t>
        </is>
      </c>
      <c r="AJ15" t="inlineStr"/>
      <c r="AK15" t="inlineStr">
        <is>
          <t>x</t>
        </is>
      </c>
      <c r="AL15" t="inlineStr"/>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I/R</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t>
        </is>
      </c>
      <c r="B16" t="b">
        <v>1</v>
      </c>
      <c r="C16" t="inlineStr"/>
      <c r="D16" t="inlineStr"/>
      <c r="E16" t="n">
        <v>9</v>
      </c>
      <c r="F16">
        <f>HYPERLINK("https://portal.dnb.de/opac.htm?method=simpleSearch&amp;cqlMode=true&amp;query=idn%3D1066970955", "Portal")</f>
        <v/>
      </c>
      <c r="G16" t="inlineStr">
        <is>
          <t>Aaf</t>
        </is>
      </c>
      <c r="H16" t="inlineStr">
        <is>
          <t>L-1493-315501316</t>
        </is>
      </c>
      <c r="I16" t="inlineStr">
        <is>
          <t>1066970955</t>
        </is>
      </c>
      <c r="J16" t="inlineStr">
        <is>
          <t>II 1,3c kursiv</t>
        </is>
      </c>
      <c r="K16" t="inlineStr">
        <is>
          <t>II 1,3c kursiv</t>
        </is>
      </c>
      <c r="L16" t="inlineStr">
        <is>
          <t>II 1,3c kursiv</t>
        </is>
      </c>
      <c r="M16" t="inlineStr"/>
      <c r="N16" t="inlineStr">
        <is>
          <t xml:space="preserve">Missale Moguntinum : </t>
        </is>
      </c>
      <c r="O16" t="inlineStr">
        <is>
          <t xml:space="preserve"> : </t>
        </is>
      </c>
      <c r="P16" t="inlineStr"/>
      <c r="Q16" t="inlineStr"/>
      <c r="R16" t="inlineStr">
        <is>
          <t>Pergamentband</t>
        </is>
      </c>
      <c r="S16" t="inlineStr">
        <is>
          <t>bis 42 cm</t>
        </is>
      </c>
      <c r="T16" t="inlineStr">
        <is>
          <t>180°</t>
        </is>
      </c>
      <c r="U16" t="inlineStr">
        <is>
          <t>hohler Rücken</t>
        </is>
      </c>
      <c r="V16" t="inlineStr"/>
      <c r="W16" t="inlineStr">
        <is>
          <t>Archivkarton</t>
        </is>
      </c>
      <c r="X16" t="inlineStr">
        <is>
          <t>Nein</t>
        </is>
      </c>
      <c r="Y16" t="n">
        <v>0</v>
      </c>
      <c r="Z16" t="inlineStr"/>
      <c r="AA16" t="inlineStr"/>
      <c r="AB16" t="inlineStr"/>
      <c r="AC16" t="inlineStr"/>
      <c r="AD16" t="inlineStr"/>
      <c r="AE16" t="inlineStr"/>
      <c r="AF16" t="inlineStr"/>
      <c r="AG16" t="inlineStr"/>
      <c r="AH16" t="inlineStr"/>
      <c r="AI16" t="inlineStr">
        <is>
          <t>Pg</t>
        </is>
      </c>
      <c r="AJ16" t="inlineStr"/>
      <c r="AK16" t="inlineStr"/>
      <c r="AL16" t="inlineStr">
        <is>
          <t>x</t>
        </is>
      </c>
      <c r="AM16" t="inlineStr">
        <is>
          <t>h/E</t>
        </is>
      </c>
      <c r="AN16" t="inlineStr"/>
      <c r="AO16" t="inlineStr"/>
      <c r="AP16" t="inlineStr"/>
      <c r="AQ16" t="inlineStr"/>
      <c r="AR16" t="inlineStr"/>
      <c r="AS16" t="inlineStr">
        <is>
          <t>Pg</t>
        </is>
      </c>
      <c r="AT16" t="inlineStr"/>
      <c r="AU16" t="inlineStr"/>
      <c r="AV16" t="inlineStr"/>
      <c r="AW16" t="inlineStr"/>
      <c r="AX16" t="inlineStr"/>
      <c r="AY16" t="inlineStr"/>
      <c r="AZ16" t="inlineStr"/>
      <c r="BA16" t="inlineStr"/>
      <c r="BB16" t="inlineStr"/>
      <c r="BC16" t="inlineStr">
        <is>
          <t>I/R</t>
        </is>
      </c>
      <c r="BD16" t="inlineStr">
        <is>
          <t>x</t>
        </is>
      </c>
      <c r="BE16" t="inlineStr"/>
      <c r="BF16" t="inlineStr"/>
      <c r="BG16" t="n">
        <v>180</v>
      </c>
      <c r="BH16" t="inlineStr"/>
      <c r="BI16" t="inlineStr"/>
      <c r="BJ16" t="inlineStr"/>
      <c r="BK16" t="inlineStr"/>
      <c r="BL16" t="inlineStr"/>
      <c r="BM16" t="inlineStr"/>
      <c r="BN16" t="n">
        <v>0</v>
      </c>
      <c r="BO16" t="inlineStr"/>
      <c r="BP16" t="inlineStr"/>
      <c r="BQ16" t="inlineStr"/>
      <c r="BR16" t="inlineStr"/>
      <c r="BS16" t="inlineStr">
        <is>
          <t>x</t>
        </is>
      </c>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II</t>
        </is>
      </c>
      <c r="B17" t="b">
        <v>1</v>
      </c>
      <c r="C17" t="inlineStr"/>
      <c r="D17" t="inlineStr"/>
      <c r="E17" t="n">
        <v>10</v>
      </c>
      <c r="F17">
        <f>HYPERLINK("https://portal.dnb.de/opac.htm?method=simpleSearch&amp;cqlMode=true&amp;query=idn%3D1066969183", "Portal")</f>
        <v/>
      </c>
      <c r="G17" t="inlineStr">
        <is>
          <t>Aaf</t>
        </is>
      </c>
      <c r="H17" t="inlineStr">
        <is>
          <t>L-1470-315499486</t>
        </is>
      </c>
      <c r="I17" t="inlineStr">
        <is>
          <t>1066969183</t>
        </is>
      </c>
      <c r="J17" t="inlineStr">
        <is>
          <t>II 1,3d</t>
        </is>
      </c>
      <c r="K17" t="inlineStr">
        <is>
          <t>II 1,3d</t>
        </is>
      </c>
      <c r="L17" t="inlineStr">
        <is>
          <t>II 1,3d</t>
        </is>
      </c>
      <c r="M17" t="inlineStr">
        <is>
          <t>sehr schwer, zu zweit arbeiten</t>
        </is>
      </c>
      <c r="N17" t="inlineStr">
        <is>
          <t xml:space="preserve">Epistolae : </t>
        </is>
      </c>
      <c r="O17" t="inlineStr">
        <is>
          <t xml:space="preserve"> : </t>
        </is>
      </c>
      <c r="P17" t="inlineStr"/>
      <c r="Q17" t="inlineStr"/>
      <c r="R17" t="inlineStr">
        <is>
          <t>Ledereinband, Schließen, erhabene Buchbeschläge</t>
        </is>
      </c>
      <c r="S17" t="inlineStr">
        <is>
          <t>&gt; 42 cm</t>
        </is>
      </c>
      <c r="T17" t="inlineStr">
        <is>
          <t>80° bis 110°, einseitig digitalisierbar?</t>
        </is>
      </c>
      <c r="U17" t="inlineStr">
        <is>
          <t>fester Rücken mit Schmuckprägung, erhabene Illuminationen</t>
        </is>
      </c>
      <c r="V17" t="inlineStr">
        <is>
          <t>nicht auflegen</t>
        </is>
      </c>
      <c r="W17" t="inlineStr"/>
      <c r="X17" t="inlineStr"/>
      <c r="Y17" t="n">
        <v>1</v>
      </c>
      <c r="Z17" t="inlineStr"/>
      <c r="AA17" t="inlineStr"/>
      <c r="AB17" t="inlineStr"/>
      <c r="AC17" t="inlineStr"/>
      <c r="AD17" t="inlineStr"/>
      <c r="AE17" t="inlineStr"/>
      <c r="AF17" t="inlineStr"/>
      <c r="AG17" t="inlineStr"/>
      <c r="AH17" t="inlineStr">
        <is>
          <t>x</t>
        </is>
      </c>
      <c r="AI17" t="inlineStr">
        <is>
          <t>HD</t>
        </is>
      </c>
      <c r="AJ17" t="inlineStr"/>
      <c r="AK17" t="inlineStr">
        <is>
          <t>x</t>
        </is>
      </c>
      <c r="AL17" t="inlineStr">
        <is>
          <t>x</t>
        </is>
      </c>
      <c r="AM17" t="inlineStr">
        <is>
          <t>h/E</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c r="BC17" t="inlineStr">
        <is>
          <t>B/I/R</t>
        </is>
      </c>
      <c r="BD17" t="inlineStr">
        <is>
          <t>x</t>
        </is>
      </c>
      <c r="BE17" t="inlineStr"/>
      <c r="BF17" t="inlineStr"/>
      <c r="BG17" t="n">
        <v>110</v>
      </c>
      <c r="BH17" t="inlineStr"/>
      <c r="BI17" t="inlineStr"/>
      <c r="BJ17" t="inlineStr"/>
      <c r="BK17" t="inlineStr"/>
      <c r="BL17" t="inlineStr"/>
      <c r="BM17" t="inlineStr">
        <is>
          <t>n</t>
        </is>
      </c>
      <c r="BN17" t="n">
        <v>0</v>
      </c>
      <c r="BO17" t="inlineStr"/>
      <c r="BP17" t="inlineStr"/>
      <c r="BQ17" t="inlineStr"/>
      <c r="BR17" t="inlineStr"/>
      <c r="BS17" t="inlineStr"/>
      <c r="BT17" t="inlineStr"/>
      <c r="BU17" t="inlineStr"/>
      <c r="BV17" t="inlineStr">
        <is>
          <t>Schließe unten, haltendes Teil birgt Verletzungsgefahr --&gt; Ecken mit Hämmerchen niederhalten</t>
        </is>
      </c>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t>
        </is>
      </c>
      <c r="B18" t="b">
        <v>1</v>
      </c>
      <c r="C18" t="inlineStr"/>
      <c r="D18" t="inlineStr"/>
      <c r="E18" t="n">
        <v>11</v>
      </c>
      <c r="F18">
        <f>HYPERLINK("https://portal.dnb.de/opac.htm?method=simpleSearch&amp;cqlMode=true&amp;query=idn%3D106696680X", "Portal")</f>
        <v/>
      </c>
      <c r="G18" t="inlineStr">
        <is>
          <t>Aaf</t>
        </is>
      </c>
      <c r="H18" t="inlineStr">
        <is>
          <t>L-1470-315497106</t>
        </is>
      </c>
      <c r="I18" t="inlineStr">
        <is>
          <t>106696680X</t>
        </is>
      </c>
      <c r="J18" t="inlineStr">
        <is>
          <t>II 1,3d kursiv</t>
        </is>
      </c>
      <c r="K18" t="inlineStr">
        <is>
          <t>II 1,3d kursiv</t>
        </is>
      </c>
      <c r="L18" t="inlineStr">
        <is>
          <t>II 1,3d kursiv</t>
        </is>
      </c>
      <c r="M18" t="inlineStr"/>
      <c r="N18" t="inlineStr">
        <is>
          <t xml:space="preserve">De duobus amantibus : </t>
        </is>
      </c>
      <c r="O18" t="inlineStr">
        <is>
          <t xml:space="preserve"> : </t>
        </is>
      </c>
      <c r="P18" t="inlineStr">
        <is>
          <t>X</t>
        </is>
      </c>
      <c r="Q18" t="inlineStr"/>
      <c r="R18" t="inlineStr">
        <is>
          <t>Halbpergamentband</t>
        </is>
      </c>
      <c r="S18" t="inlineStr">
        <is>
          <t>bis 25 cm</t>
        </is>
      </c>
      <c r="T18" t="inlineStr">
        <is>
          <t>180°</t>
        </is>
      </c>
      <c r="U18" t="inlineStr">
        <is>
          <t>hohler Rücken, erhabene Illuminationen</t>
        </is>
      </c>
      <c r="V18" t="inlineStr">
        <is>
          <t>nicht auflegen</t>
        </is>
      </c>
      <c r="W18" t="inlineStr">
        <is>
          <t>Kassette</t>
        </is>
      </c>
      <c r="X18" t="inlineStr">
        <is>
          <t>Nein</t>
        </is>
      </c>
      <c r="Y18" t="n">
        <v>0</v>
      </c>
      <c r="Z18" t="inlineStr"/>
      <c r="AA18" t="inlineStr"/>
      <c r="AB18" t="inlineStr"/>
      <c r="AC18" t="inlineStr"/>
      <c r="AD18" t="inlineStr"/>
      <c r="AE18" t="inlineStr"/>
      <c r="AF18" t="inlineStr"/>
      <c r="AG18" t="inlineStr"/>
      <c r="AH18" t="inlineStr"/>
      <c r="AI18" t="inlineStr">
        <is>
          <t>HPg</t>
        </is>
      </c>
      <c r="AJ18" t="inlineStr"/>
      <c r="AK18" t="inlineStr">
        <is>
          <t>x</t>
        </is>
      </c>
      <c r="AL18" t="inlineStr"/>
      <c r="AM18" t="inlineStr">
        <is>
          <t>h/E</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c r="BC18" t="inlineStr">
        <is>
          <t>I/R</t>
        </is>
      </c>
      <c r="BD18" t="inlineStr">
        <is>
          <t>x</t>
        </is>
      </c>
      <c r="BE18" t="inlineStr"/>
      <c r="BF18" t="inlineStr"/>
      <c r="BG18" t="n">
        <v>180</v>
      </c>
      <c r="BH18" t="inlineStr"/>
      <c r="BI18" t="inlineStr"/>
      <c r="BJ18" t="inlineStr"/>
      <c r="BK18" t="inlineStr"/>
      <c r="BL18" t="inlineStr"/>
      <c r="BM18" t="inlineStr">
        <is>
          <t>n</t>
        </is>
      </c>
      <c r="BN18" t="n">
        <v>0</v>
      </c>
      <c r="BO18" t="inlineStr"/>
      <c r="BP18" t="inlineStr">
        <is>
          <t>Wellpappe</t>
        </is>
      </c>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t>
        </is>
      </c>
      <c r="B19" t="b">
        <v>1</v>
      </c>
      <c r="C19" t="inlineStr"/>
      <c r="D19" t="inlineStr"/>
      <c r="E19" t="n">
        <v>12</v>
      </c>
      <c r="F19">
        <f>HYPERLINK("https://portal.dnb.de/opac.htm?method=simpleSearch&amp;cqlMode=true&amp;query=idn%3D1066969183", "Portal")</f>
        <v/>
      </c>
      <c r="G19" t="inlineStr">
        <is>
          <t>Aaf</t>
        </is>
      </c>
      <c r="H19" t="inlineStr">
        <is>
          <t>L-1470-315499494</t>
        </is>
      </c>
      <c r="I19" t="inlineStr">
        <is>
          <t>1066969183</t>
        </is>
      </c>
      <c r="J19" t="inlineStr">
        <is>
          <t>II 1,3da - Fragm.</t>
        </is>
      </c>
      <c r="K19" t="inlineStr">
        <is>
          <t>II 1,3da - Fragm.</t>
        </is>
      </c>
      <c r="L19" t="inlineStr">
        <is>
          <t>II 1,3da - Fragm.</t>
        </is>
      </c>
      <c r="M19" t="inlineStr"/>
      <c r="N19" t="inlineStr">
        <is>
          <t xml:space="preserve">Epistolae : </t>
        </is>
      </c>
      <c r="O19" t="inlineStr">
        <is>
          <t xml:space="preserve"> : </t>
        </is>
      </c>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n">
        <v>0</v>
      </c>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t>
        </is>
      </c>
      <c r="B20" t="b">
        <v>1</v>
      </c>
      <c r="C20" t="inlineStr">
        <is>
          <t>x</t>
        </is>
      </c>
      <c r="D20" t="inlineStr"/>
      <c r="E20" t="n">
        <v>13</v>
      </c>
      <c r="F20">
        <f>HYPERLINK("https://portal.dnb.de/opac.htm?method=simpleSearch&amp;cqlMode=true&amp;query=idn%3D1066970254", "Portal")</f>
        <v/>
      </c>
      <c r="G20" t="inlineStr">
        <is>
          <t>Aaf</t>
        </is>
      </c>
      <c r="H20" t="inlineStr">
        <is>
          <t>L-1470-31550059X</t>
        </is>
      </c>
      <c r="I20" t="inlineStr">
        <is>
          <t>1066970254</t>
        </is>
      </c>
      <c r="J20" t="inlineStr">
        <is>
          <t>II 1,3e</t>
        </is>
      </c>
      <c r="K20" t="inlineStr">
        <is>
          <t>II 1,3e</t>
        </is>
      </c>
      <c r="L20" t="inlineStr">
        <is>
          <t>II 1,3e</t>
        </is>
      </c>
      <c r="M20" t="inlineStr"/>
      <c r="N20" t="inlineStr">
        <is>
          <t xml:space="preserve">Mammotrectus super Bibliam : </t>
        </is>
      </c>
      <c r="O20" t="inlineStr">
        <is>
          <t xml:space="preserve"> : </t>
        </is>
      </c>
      <c r="P20" t="inlineStr">
        <is>
          <t>X</t>
        </is>
      </c>
      <c r="Q20" t="inlineStr">
        <is>
          <t>33000,00 EUR</t>
        </is>
      </c>
      <c r="R20" t="inlineStr">
        <is>
          <t>Ledereinband</t>
        </is>
      </c>
      <c r="S20" t="inlineStr">
        <is>
          <t>bis 35 cm</t>
        </is>
      </c>
      <c r="T20" t="inlineStr">
        <is>
          <t>180°</t>
        </is>
      </c>
      <c r="U20" t="inlineStr">
        <is>
          <t>hohler Rücken, stark brüchiges Einbandmaterial, erhabene Illuminationen</t>
        </is>
      </c>
      <c r="V20" t="inlineStr">
        <is>
          <t>nicht auflegen</t>
        </is>
      </c>
      <c r="W20" t="inlineStr">
        <is>
          <t>Kassette</t>
        </is>
      </c>
      <c r="X20" t="inlineStr">
        <is>
          <t>Nein</t>
        </is>
      </c>
      <c r="Y20" t="n">
        <v>3</v>
      </c>
      <c r="Z20" t="inlineStr"/>
      <c r="AA20" t="inlineStr">
        <is>
          <t>Reinigung</t>
        </is>
      </c>
      <c r="AB20" t="inlineStr"/>
      <c r="AC20" t="inlineStr"/>
      <c r="AD20" t="inlineStr"/>
      <c r="AE20" t="inlineStr"/>
      <c r="AF20" t="inlineStr"/>
      <c r="AG20" t="inlineStr"/>
      <c r="AH20" t="inlineStr"/>
      <c r="AI20" t="inlineStr">
        <is>
          <t>L</t>
        </is>
      </c>
      <c r="AJ20" t="inlineStr"/>
      <c r="AK20" t="inlineStr">
        <is>
          <t>x</t>
        </is>
      </c>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is>
          <t>B/I/R</t>
        </is>
      </c>
      <c r="BD20" t="inlineStr">
        <is>
          <t>x</t>
        </is>
      </c>
      <c r="BE20" t="inlineStr"/>
      <c r="BF20" t="inlineStr"/>
      <c r="BG20" t="inlineStr">
        <is>
          <t>max 60</t>
        </is>
      </c>
      <c r="BH20" t="inlineStr"/>
      <c r="BI20" t="inlineStr"/>
      <c r="BJ20" t="inlineStr"/>
      <c r="BK20" t="inlineStr"/>
      <c r="BL20" t="inlineStr"/>
      <c r="BM20" t="inlineStr">
        <is>
          <t>ja nach</t>
        </is>
      </c>
      <c r="BN20" t="n">
        <v>6</v>
      </c>
      <c r="BO20" t="inlineStr"/>
      <c r="BP20" t="inlineStr">
        <is>
          <t>Wellpappe</t>
        </is>
      </c>
      <c r="BQ20" t="inlineStr"/>
      <c r="BR20" t="inlineStr"/>
      <c r="BS20" t="inlineStr"/>
      <c r="BT20" t="inlineStr"/>
      <c r="BU20" t="inlineStr"/>
      <c r="BV20" t="inlineStr"/>
      <c r="BW20" t="inlineStr"/>
      <c r="BX20" t="inlineStr"/>
      <c r="BY20" t="inlineStr"/>
      <c r="BZ20" t="inlineStr"/>
      <c r="CA20" t="inlineStr">
        <is>
          <t>x</t>
        </is>
      </c>
      <c r="CB20" t="inlineStr"/>
      <c r="CC20" t="inlineStr"/>
      <c r="CD20" t="inlineStr">
        <is>
          <t>v/h</t>
        </is>
      </c>
      <c r="CE20" t="inlineStr"/>
      <c r="CF20" t="inlineStr"/>
      <c r="CG20" t="inlineStr"/>
      <c r="CH20" t="inlineStr"/>
      <c r="CI20" t="inlineStr"/>
      <c r="CJ20" t="inlineStr"/>
      <c r="CK20" t="inlineStr"/>
      <c r="CL20" t="inlineStr"/>
      <c r="CM20" t="n">
        <v>6</v>
      </c>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t>
        </is>
      </c>
      <c r="B21" t="b">
        <v>1</v>
      </c>
      <c r="C21" t="inlineStr"/>
      <c r="D21" t="inlineStr"/>
      <c r="E21" t="n">
        <v>14</v>
      </c>
      <c r="F21">
        <f>HYPERLINK("https://portal.dnb.de/opac.htm?method=simpleSearch&amp;cqlMode=true&amp;query=idn%3D1066965072", "Portal")</f>
        <v/>
      </c>
      <c r="G21" t="inlineStr">
        <is>
          <t>Aaf</t>
        </is>
      </c>
      <c r="H21" t="inlineStr">
        <is>
          <t>L-1471-315495219</t>
        </is>
      </c>
      <c r="I21" t="inlineStr">
        <is>
          <t>1066965072</t>
        </is>
      </c>
      <c r="J21" t="inlineStr">
        <is>
          <t>II 1,3g</t>
        </is>
      </c>
      <c r="K21" t="inlineStr">
        <is>
          <t>II 1,3g</t>
        </is>
      </c>
      <c r="L21" t="inlineStr">
        <is>
          <t>II 1,3g</t>
        </is>
      </c>
      <c r="M21" t="inlineStr"/>
      <c r="N21" t="inlineStr">
        <is>
          <t xml:space="preserve">Summa theologiae, P. 2,1 : </t>
        </is>
      </c>
      <c r="O21" t="inlineStr">
        <is>
          <t xml:space="preserve"> : </t>
        </is>
      </c>
      <c r="P21" t="inlineStr">
        <is>
          <t>X</t>
        </is>
      </c>
      <c r="Q21" t="inlineStr"/>
      <c r="R21" t="inlineStr">
        <is>
          <t>Halbledereinband</t>
        </is>
      </c>
      <c r="S21" t="inlineStr">
        <is>
          <t>bis 42 cm</t>
        </is>
      </c>
      <c r="T21" t="inlineStr">
        <is>
          <t>80° bis 110°, einseitig digitalisierbar?</t>
        </is>
      </c>
      <c r="U21" t="inlineStr">
        <is>
          <t>fester Rücken mit Schmuckprägung, erhabene Illuminationen</t>
        </is>
      </c>
      <c r="V21" t="inlineStr">
        <is>
          <t>nicht auflegen</t>
        </is>
      </c>
      <c r="W21" t="inlineStr"/>
      <c r="X21" t="inlineStr"/>
      <c r="Y21" t="n">
        <v>0</v>
      </c>
      <c r="Z21" t="inlineStr"/>
      <c r="AA21" t="inlineStr"/>
      <c r="AB21" t="inlineStr"/>
      <c r="AC21" t="inlineStr"/>
      <c r="AD21" t="inlineStr"/>
      <c r="AE21" t="inlineStr"/>
      <c r="AF21" t="inlineStr"/>
      <c r="AG21" t="inlineStr"/>
      <c r="AH21" t="inlineStr"/>
      <c r="AI21" t="inlineStr">
        <is>
          <t>HL</t>
        </is>
      </c>
      <c r="AJ21" t="inlineStr"/>
      <c r="AK21" t="inlineStr"/>
      <c r="AL21" t="inlineStr">
        <is>
          <t>x</t>
        </is>
      </c>
      <c r="AM21" t="inlineStr">
        <is>
          <t>h/E</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c r="BC21" t="inlineStr">
        <is>
          <t>I/R</t>
        </is>
      </c>
      <c r="BD21" t="inlineStr">
        <is>
          <t>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t>
        </is>
      </c>
      <c r="B22" t="b">
        <v>1</v>
      </c>
      <c r="C22" t="inlineStr">
        <is>
          <t>x</t>
        </is>
      </c>
      <c r="D22" t="inlineStr"/>
      <c r="E22" t="n">
        <v>15</v>
      </c>
      <c r="F22">
        <f>HYPERLINK("https://portal.dnb.de/opac.htm?method=simpleSearch&amp;cqlMode=true&amp;query=idn%3D1066966141", "Portal")</f>
        <v/>
      </c>
      <c r="G22" t="inlineStr">
        <is>
          <t>Aaf</t>
        </is>
      </c>
      <c r="H22" t="inlineStr">
        <is>
          <t>L-1489-315496444</t>
        </is>
      </c>
      <c r="I22" t="inlineStr">
        <is>
          <t>1066966141</t>
        </is>
      </c>
      <c r="J22" t="inlineStr">
        <is>
          <t>II 1,3g kursiv</t>
        </is>
      </c>
      <c r="K22" t="inlineStr">
        <is>
          <t>II 1,3g kursiv</t>
        </is>
      </c>
      <c r="L22" t="inlineStr">
        <is>
          <t>II 1,3g kursiv</t>
        </is>
      </c>
      <c r="M22" t="inlineStr">
        <is>
          <t>Achtung! Kursiv steht nicht auf dem Sig.-Schild</t>
        </is>
      </c>
      <c r="N22" t="inlineStr">
        <is>
          <t xml:space="preserve">De legendis antiquorum libris sive De liberalibus studiis : </t>
        </is>
      </c>
      <c r="O22" t="inlineStr">
        <is>
          <t xml:space="preserve"> : </t>
        </is>
      </c>
      <c r="P22" t="inlineStr">
        <is>
          <t>X</t>
        </is>
      </c>
      <c r="Q22" t="inlineStr"/>
      <c r="R22" t="inlineStr">
        <is>
          <t>Ledereinband, Schließen, erhabene Buchbeschläge</t>
        </is>
      </c>
      <c r="S22" t="inlineStr">
        <is>
          <t>bis 25 cm</t>
        </is>
      </c>
      <c r="T22" t="inlineStr">
        <is>
          <t>180°</t>
        </is>
      </c>
      <c r="U22" t="inlineStr">
        <is>
          <t>hohler Rücken, erhabene Illuminationen</t>
        </is>
      </c>
      <c r="V22" t="inlineStr">
        <is>
          <t>nicht auflegen</t>
        </is>
      </c>
      <c r="W22" t="inlineStr">
        <is>
          <t>Kassette</t>
        </is>
      </c>
      <c r="X22" t="inlineStr">
        <is>
          <t>Nein</t>
        </is>
      </c>
      <c r="Y22" t="n">
        <v>2</v>
      </c>
      <c r="Z22" t="inlineStr"/>
      <c r="AA22" t="inlineStr"/>
      <c r="AB22" t="inlineStr"/>
      <c r="AC22" t="inlineStr"/>
      <c r="AD22" t="inlineStr"/>
      <c r="AE22" t="inlineStr"/>
      <c r="AF22" t="inlineStr"/>
      <c r="AG22" t="inlineStr"/>
      <c r="AH22" t="inlineStr"/>
      <c r="AI22" t="inlineStr">
        <is>
          <t>L</t>
        </is>
      </c>
      <c r="AJ22" t="inlineStr"/>
      <c r="AK22" t="inlineStr">
        <is>
          <t>x</t>
        </is>
      </c>
      <c r="AL22" t="inlineStr"/>
      <c r="AM22" t="inlineStr">
        <is>
          <t>h/E</t>
        </is>
      </c>
      <c r="AN22" t="inlineStr"/>
      <c r="AO22" t="inlineStr"/>
      <c r="AP22" t="inlineStr"/>
      <c r="AQ22" t="inlineStr"/>
      <c r="AR22" t="inlineStr"/>
      <c r="AS22" t="inlineStr">
        <is>
          <t>Pa</t>
        </is>
      </c>
      <c r="AT22" t="inlineStr">
        <is>
          <t>x</t>
        </is>
      </c>
      <c r="AU22" t="inlineStr"/>
      <c r="AV22" t="inlineStr"/>
      <c r="AW22" t="inlineStr"/>
      <c r="AX22" t="inlineStr"/>
      <c r="AY22" t="inlineStr"/>
      <c r="AZ22" t="inlineStr"/>
      <c r="BA22" t="inlineStr"/>
      <c r="BB22" t="inlineStr"/>
      <c r="BC22" t="inlineStr">
        <is>
          <t>I/R</t>
        </is>
      </c>
      <c r="BD22" t="inlineStr">
        <is>
          <t>x</t>
        </is>
      </c>
      <c r="BE22" t="inlineStr"/>
      <c r="BF22" t="inlineStr"/>
      <c r="BG22" t="n">
        <v>110</v>
      </c>
      <c r="BH22" t="inlineStr"/>
      <c r="BI22" t="inlineStr"/>
      <c r="BJ22" t="inlineStr"/>
      <c r="BK22" t="inlineStr"/>
      <c r="BL22" t="inlineStr"/>
      <c r="BM22" t="inlineStr">
        <is>
          <t>ja vor</t>
        </is>
      </c>
      <c r="BN22" t="n">
        <v>1</v>
      </c>
      <c r="BO22" t="inlineStr"/>
      <c r="BP22" t="inlineStr">
        <is>
          <t>Wellpappe</t>
        </is>
      </c>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is>
          <t>x</t>
        </is>
      </c>
      <c r="CW22" t="inlineStr"/>
      <c r="CX22" t="inlineStr"/>
      <c r="CY22" t="inlineStr"/>
      <c r="CZ22" t="inlineStr"/>
      <c r="DA22" t="inlineStr"/>
      <c r="DB22" t="inlineStr"/>
      <c r="DC22" t="inlineStr"/>
      <c r="DD22" t="inlineStr"/>
      <c r="DE22" t="inlineStr"/>
      <c r="DF22" t="n">
        <v>1</v>
      </c>
      <c r="DG22" t="inlineStr"/>
    </row>
    <row r="23">
      <c r="A23" t="inlineStr">
        <is>
          <t>II</t>
        </is>
      </c>
      <c r="B23" t="b">
        <v>1</v>
      </c>
      <c r="C23" t="inlineStr"/>
      <c r="D23" t="inlineStr"/>
      <c r="E23" t="n">
        <v>16</v>
      </c>
      <c r="F23">
        <f>HYPERLINK("https://portal.dnb.de/opac.htm?method=simpleSearch&amp;cqlMode=true&amp;query=idn%3D1066966435", "Portal")</f>
        <v/>
      </c>
      <c r="G23" t="inlineStr">
        <is>
          <t>Aaf</t>
        </is>
      </c>
      <c r="H23" t="inlineStr">
        <is>
          <t>L-1472-315496711</t>
        </is>
      </c>
      <c r="I23" t="inlineStr">
        <is>
          <t>1066966435</t>
        </is>
      </c>
      <c r="J23" t="inlineStr">
        <is>
          <t>II 1,3h</t>
        </is>
      </c>
      <c r="K23" t="inlineStr">
        <is>
          <t>II 1,3h</t>
        </is>
      </c>
      <c r="L23" t="inlineStr">
        <is>
          <t>II 1,3h</t>
        </is>
      </c>
      <c r="M23" t="inlineStr"/>
      <c r="N23" t="inlineStr">
        <is>
          <t xml:space="preserve">Biblia, lat. : </t>
        </is>
      </c>
      <c r="O23" t="inlineStr">
        <is>
          <t xml:space="preserve"> : </t>
        </is>
      </c>
      <c r="P23" t="inlineStr">
        <is>
          <t>X</t>
        </is>
      </c>
      <c r="Q23" t="inlineStr"/>
      <c r="R23" t="inlineStr">
        <is>
          <t>Ledereinband</t>
        </is>
      </c>
      <c r="S23" t="inlineStr">
        <is>
          <t>bis 42 cm</t>
        </is>
      </c>
      <c r="T23" t="inlineStr">
        <is>
          <t>80° bis 110°, einseitig digitalisierbar?</t>
        </is>
      </c>
      <c r="U23" t="inlineStr">
        <is>
          <t>hohler Rücken, erhabene Illuminationen</t>
        </is>
      </c>
      <c r="V23" t="inlineStr">
        <is>
          <t>nicht auflegen</t>
        </is>
      </c>
      <c r="W23" t="inlineStr"/>
      <c r="X23" t="inlineStr"/>
      <c r="Y23" t="n">
        <v>0</v>
      </c>
      <c r="Z23" t="inlineStr"/>
      <c r="AA23" t="inlineStr"/>
      <c r="AB23" t="inlineStr"/>
      <c r="AC23" t="inlineStr"/>
      <c r="AD23" t="inlineStr"/>
      <c r="AE23" t="inlineStr"/>
      <c r="AF23" t="inlineStr"/>
      <c r="AG23" t="inlineStr"/>
      <c r="AH23" t="inlineStr"/>
      <c r="AI23" t="inlineStr">
        <is>
          <t>L</t>
        </is>
      </c>
      <c r="AJ23" t="inlineStr"/>
      <c r="AK23" t="inlineStr">
        <is>
          <t>x</t>
        </is>
      </c>
      <c r="AL23" t="inlineStr"/>
      <c r="AM23" t="inlineStr">
        <is>
          <t>h/E</t>
        </is>
      </c>
      <c r="AN23" t="inlineStr"/>
      <c r="AO23" t="inlineStr"/>
      <c r="AP23" t="inlineStr"/>
      <c r="AQ23" t="inlineStr"/>
      <c r="AR23" t="inlineStr"/>
      <c r="AS23" t="inlineStr">
        <is>
          <t>Pa</t>
        </is>
      </c>
      <c r="AT23" t="inlineStr"/>
      <c r="AU23" t="inlineStr"/>
      <c r="AV23" t="inlineStr"/>
      <c r="AW23" t="inlineStr"/>
      <c r="AX23" t="inlineStr">
        <is>
          <t>x</t>
        </is>
      </c>
      <c r="AY23" t="inlineStr"/>
      <c r="AZ23" t="inlineStr"/>
      <c r="BA23" t="inlineStr"/>
      <c r="BB23" t="inlineStr"/>
      <c r="BC23" t="inlineStr">
        <is>
          <t>I/R</t>
        </is>
      </c>
      <c r="BD23" t="inlineStr">
        <is>
          <t>x</t>
        </is>
      </c>
      <c r="BE23" t="inlineStr"/>
      <c r="BF23" t="inlineStr"/>
      <c r="BG23" t="n">
        <v>110</v>
      </c>
      <c r="BH23" t="inlineStr"/>
      <c r="BI23" t="inlineStr">
        <is>
          <t>ggf. wg. Ausgleich hohler Rücken</t>
        </is>
      </c>
      <c r="BJ23" t="inlineStr"/>
      <c r="BK23" t="inlineStr"/>
      <c r="BL23" t="inlineStr"/>
      <c r="BM23" t="inlineStr">
        <is>
          <t>n</t>
        </is>
      </c>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t>
        </is>
      </c>
      <c r="B24" t="b">
        <v>1</v>
      </c>
      <c r="C24" t="inlineStr"/>
      <c r="D24" t="inlineStr"/>
      <c r="E24" t="n">
        <v>17</v>
      </c>
      <c r="F24">
        <f>HYPERLINK("https://portal.dnb.de/opac.htm?method=simpleSearch&amp;cqlMode=true&amp;query=idn%3D1067434755", "Portal")</f>
        <v/>
      </c>
      <c r="G24" t="inlineStr">
        <is>
          <t>Aal</t>
        </is>
      </c>
      <c r="H24" t="inlineStr">
        <is>
          <t>L-1474-316396664</t>
        </is>
      </c>
      <c r="I24" t="inlineStr">
        <is>
          <t>1067434755</t>
        </is>
      </c>
      <c r="J24" t="inlineStr">
        <is>
          <t>II 1,3h kursiv</t>
        </is>
      </c>
      <c r="K24" t="inlineStr">
        <is>
          <t>II 1,3h kursiv</t>
        </is>
      </c>
      <c r="L24" t="inlineStr">
        <is>
          <t>II 1,3h kursiv</t>
        </is>
      </c>
      <c r="M24" t="inlineStr"/>
      <c r="N24" t="inlineStr">
        <is>
          <t xml:space="preserve">De psalmodia perficienda et modo legendi in choro : </t>
        </is>
      </c>
      <c r="O24" t="inlineStr">
        <is>
          <t xml:space="preserve"> : </t>
        </is>
      </c>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t>
        </is>
      </c>
      <c r="B25" t="b">
        <v>1</v>
      </c>
      <c r="C25" t="inlineStr"/>
      <c r="D25" t="inlineStr"/>
      <c r="E25" t="n">
        <v>18</v>
      </c>
      <c r="F25">
        <f>HYPERLINK("https://portal.dnb.de/opac.htm?method=simpleSearch&amp;cqlMode=true&amp;query=idn%3D1066968527", "Portal")</f>
        <v/>
      </c>
      <c r="G25" t="inlineStr">
        <is>
          <t>Aaf</t>
        </is>
      </c>
      <c r="H25" t="inlineStr">
        <is>
          <t>L-1472-315498781</t>
        </is>
      </c>
      <c r="I25" t="inlineStr">
        <is>
          <t>1066968527</t>
        </is>
      </c>
      <c r="J25" t="inlineStr">
        <is>
          <t>II 1,3i</t>
        </is>
      </c>
      <c r="K25" t="inlineStr">
        <is>
          <t>II 1,3i</t>
        </is>
      </c>
      <c r="L25" t="inlineStr">
        <is>
          <t>II 1,3i</t>
        </is>
      </c>
      <c r="M25" t="inlineStr">
        <is>
          <t>war mir zu schwer --&gt; zu zweit arbeiten</t>
        </is>
      </c>
      <c r="N25" t="inlineStr">
        <is>
          <t xml:space="preserve">Decretum : </t>
        </is>
      </c>
      <c r="O25" t="inlineStr">
        <is>
          <t xml:space="preserve"> : </t>
        </is>
      </c>
      <c r="P25" t="inlineStr"/>
      <c r="Q25" t="inlineStr"/>
      <c r="R25" t="inlineStr">
        <is>
          <t>Halbledereinband, Schließen, erhabene Buchbeschläge</t>
        </is>
      </c>
      <c r="S25" t="inlineStr">
        <is>
          <t>&gt; 42 cm</t>
        </is>
      </c>
      <c r="T25" t="inlineStr">
        <is>
          <t>80° bis 110°, einseitig digitalisierbar?</t>
        </is>
      </c>
      <c r="U25" t="inlineStr">
        <is>
          <t>hohler Rücken, erhabene Illuminationen</t>
        </is>
      </c>
      <c r="V25" t="inlineStr">
        <is>
          <t>nicht auflegen</t>
        </is>
      </c>
      <c r="W25" t="inlineStr"/>
      <c r="X25" t="inlineStr"/>
      <c r="Y25" t="n">
        <v>1</v>
      </c>
      <c r="Z25" t="inlineStr"/>
      <c r="AA25" t="inlineStr"/>
      <c r="AB25" t="inlineStr"/>
      <c r="AC25" t="inlineStr"/>
      <c r="AD25" t="inlineStr"/>
      <c r="AE25" t="inlineStr"/>
      <c r="AF25" t="inlineStr"/>
      <c r="AG25" t="inlineStr"/>
      <c r="AH25" t="inlineStr"/>
      <c r="AI25" t="inlineStr">
        <is>
          <t>Pg</t>
        </is>
      </c>
      <c r="AJ25" t="inlineStr"/>
      <c r="AK25" t="inlineStr">
        <is>
          <t>x</t>
        </is>
      </c>
      <c r="AL25" t="inlineStr"/>
      <c r="AM25" t="inlineStr">
        <is>
          <t>h</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c r="BC25" t="inlineStr">
        <is>
          <t>B/I/R</t>
        </is>
      </c>
      <c r="BD25" t="inlineStr">
        <is>
          <t>x</t>
        </is>
      </c>
      <c r="BE25" t="inlineStr"/>
      <c r="BF25" t="inlineStr"/>
      <c r="BG25" t="n">
        <v>110</v>
      </c>
      <c r="BH25" t="inlineStr"/>
      <c r="BI25" t="inlineStr">
        <is>
          <t>x</t>
        </is>
      </c>
      <c r="BJ25" t="inlineStr">
        <is>
          <t xml:space="preserve">
Rücken muss frei schweben, ggf. ausfüttern</t>
        </is>
      </c>
      <c r="BK25" t="inlineStr"/>
      <c r="BL25" t="inlineStr"/>
      <c r="BM25" t="inlineStr">
        <is>
          <t>n</t>
        </is>
      </c>
      <c r="BN25" t="n">
        <v>0</v>
      </c>
      <c r="BO25" t="inlineStr"/>
      <c r="BP25" t="inlineStr"/>
      <c r="BQ25" t="inlineStr"/>
      <c r="BR25" t="inlineStr">
        <is>
          <t>x</t>
        </is>
      </c>
      <c r="BS25" t="inlineStr"/>
      <c r="BT25" t="inlineStr"/>
      <c r="BU25" t="inlineStr"/>
      <c r="BV25" t="inlineStr">
        <is>
          <t>Schaden stabil</t>
        </is>
      </c>
      <c r="BW25" t="inlineStr"/>
      <c r="BX25" t="inlineStr"/>
      <c r="BY25" t="inlineStr"/>
      <c r="BZ25" t="inlineStr">
        <is>
          <t>x, geht nicht zur Rest., Fotos als Zustandsfotos gedacht</t>
        </is>
      </c>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t>
        </is>
      </c>
      <c r="B26" t="b">
        <v>1</v>
      </c>
      <c r="C26" t="inlineStr">
        <is>
          <t>x</t>
        </is>
      </c>
      <c r="D26" t="inlineStr"/>
      <c r="E26" t="n">
        <v>19</v>
      </c>
      <c r="F26">
        <f>HYPERLINK("https://portal.dnb.de/opac.htm?method=simpleSearch&amp;cqlMode=true&amp;query=idn%3D1066968039", "Portal")</f>
        <v/>
      </c>
      <c r="G26" t="inlineStr">
        <is>
          <t>Aaf</t>
        </is>
      </c>
      <c r="H26" t="inlineStr">
        <is>
          <t>L-1481-315498307</t>
        </is>
      </c>
      <c r="I26" t="inlineStr">
        <is>
          <t>1066968039</t>
        </is>
      </c>
      <c r="J26" t="inlineStr">
        <is>
          <t>II 1,3i kursiv</t>
        </is>
      </c>
      <c r="K26" t="inlineStr">
        <is>
          <t>II 1,3i kursiv</t>
        </is>
      </c>
      <c r="L26" t="inlineStr">
        <is>
          <t>II 1,3i kursiv</t>
        </is>
      </c>
      <c r="M26" t="inlineStr"/>
      <c r="N26" t="inlineStr">
        <is>
          <t xml:space="preserve">Eingang der Himmel : </t>
        </is>
      </c>
      <c r="O26" t="inlineStr">
        <is>
          <t xml:space="preserve"> : </t>
        </is>
      </c>
      <c r="P26" t="inlineStr">
        <is>
          <t>X</t>
        </is>
      </c>
      <c r="Q26" t="inlineStr"/>
      <c r="R26" t="inlineStr">
        <is>
          <t>Halbledereinband, Schließen, erhabene Buchbeschläge</t>
        </is>
      </c>
      <c r="S26" t="inlineStr">
        <is>
          <t>bis 25 cm</t>
        </is>
      </c>
      <c r="T26" t="inlineStr">
        <is>
          <t>180°</t>
        </is>
      </c>
      <c r="U26" t="inlineStr">
        <is>
          <t>hohler Rücken, erhabene Illuminationen</t>
        </is>
      </c>
      <c r="V26" t="inlineStr">
        <is>
          <t>nicht auflegen</t>
        </is>
      </c>
      <c r="W26" t="inlineStr">
        <is>
          <t>Kassette</t>
        </is>
      </c>
      <c r="X26" t="inlineStr">
        <is>
          <t>Nein</t>
        </is>
      </c>
      <c r="Y26" t="n">
        <v>1</v>
      </c>
      <c r="Z26" t="inlineStr"/>
      <c r="AA26" t="inlineStr"/>
      <c r="AB26" t="inlineStr"/>
      <c r="AC26" t="inlineStr"/>
      <c r="AD26" t="inlineStr"/>
      <c r="AE26" t="inlineStr"/>
      <c r="AF26" t="inlineStr"/>
      <c r="AG26" t="inlineStr"/>
      <c r="AH26" t="inlineStr"/>
      <c r="AI26" t="inlineStr">
        <is>
          <t>L</t>
        </is>
      </c>
      <c r="AJ26" t="inlineStr"/>
      <c r="AK26" t="inlineStr">
        <is>
          <t>x</t>
        </is>
      </c>
      <c r="AL26" t="inlineStr"/>
      <c r="AM26" t="inlineStr">
        <is>
          <t>h/E</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inlineStr">
        <is>
          <t>max 60</t>
        </is>
      </c>
      <c r="BH26" t="inlineStr"/>
      <c r="BI26" t="inlineStr"/>
      <c r="BJ26" t="inlineStr"/>
      <c r="BK26" t="inlineStr"/>
      <c r="BL26" t="inlineStr"/>
      <c r="BM26" t="inlineStr">
        <is>
          <t>ja vor</t>
        </is>
      </c>
      <c r="BN26" t="n">
        <v>0.5</v>
      </c>
      <c r="BO26" t="inlineStr"/>
      <c r="BP26" t="inlineStr">
        <is>
          <t>Wellpappe</t>
        </is>
      </c>
      <c r="BQ26" t="inlineStr"/>
      <c r="BR26" t="inlineStr"/>
      <c r="BS26" t="inlineStr"/>
      <c r="BT26" t="inlineStr"/>
      <c r="BU26" t="inlineStr"/>
      <c r="BV26" t="inlineStr">
        <is>
          <t>Holzdeckel mit Intarsienarbeit (s. Foto)</t>
        </is>
      </c>
      <c r="BW26" t="inlineStr"/>
      <c r="BX26" t="inlineStr"/>
      <c r="BY26" t="inlineStr"/>
      <c r="BZ26" t="inlineStr">
        <is>
          <t>x</t>
        </is>
      </c>
      <c r="CA26" t="inlineStr">
        <is>
          <t>x</t>
        </is>
      </c>
      <c r="CB26" t="inlineStr"/>
      <c r="CC26" t="inlineStr"/>
      <c r="CD26" t="inlineStr">
        <is>
          <t>v</t>
        </is>
      </c>
      <c r="CE26" t="inlineStr"/>
      <c r="CF26" t="inlineStr">
        <is>
          <t>x</t>
        </is>
      </c>
      <c r="CG26" t="inlineStr"/>
      <c r="CH26" t="inlineStr"/>
      <c r="CI26" t="inlineStr"/>
      <c r="CJ26" t="inlineStr"/>
      <c r="CK26" t="inlineStr"/>
      <c r="CL26" t="inlineStr"/>
      <c r="CM26" t="n">
        <v>0.5</v>
      </c>
      <c r="CN26" t="inlineStr">
        <is>
          <t>Hülse</t>
        </is>
      </c>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t>
        </is>
      </c>
      <c r="B27" t="b">
        <v>1</v>
      </c>
      <c r="C27" t="inlineStr"/>
      <c r="D27" t="inlineStr"/>
      <c r="E27" t="n">
        <v>20</v>
      </c>
      <c r="F27">
        <f>HYPERLINK("https://portal.dnb.de/opac.htm?method=simpleSearch&amp;cqlMode=true&amp;query=idn%3D1066967008", "Portal")</f>
        <v/>
      </c>
      <c r="G27" t="inlineStr">
        <is>
          <t>Aaf</t>
        </is>
      </c>
      <c r="H27" t="inlineStr">
        <is>
          <t>L-1473-315497300</t>
        </is>
      </c>
      <c r="I27" t="inlineStr">
        <is>
          <t>1066967008</t>
        </is>
      </c>
      <c r="J27" t="inlineStr">
        <is>
          <t>II 1,3k</t>
        </is>
      </c>
      <c r="K27" t="inlineStr">
        <is>
          <t>II 1,3k</t>
        </is>
      </c>
      <c r="L27" t="inlineStr">
        <is>
          <t>II 1,3k</t>
        </is>
      </c>
      <c r="M27" t="inlineStr"/>
      <c r="N27" t="inlineStr">
        <is>
          <t xml:space="preserve">Liber sextus Decretalium : </t>
        </is>
      </c>
      <c r="O27" t="inlineStr">
        <is>
          <t xml:space="preserve"> : </t>
        </is>
      </c>
      <c r="P27" t="inlineStr"/>
      <c r="Q27" t="inlineStr"/>
      <c r="R27" t="inlineStr">
        <is>
          <t>Ledereinband</t>
        </is>
      </c>
      <c r="S27" t="inlineStr">
        <is>
          <t>bis 42 cm</t>
        </is>
      </c>
      <c r="T27" t="inlineStr">
        <is>
          <t>80° bis 110°, einseitig digitalisierbar?</t>
        </is>
      </c>
      <c r="U27" t="inlineStr">
        <is>
          <t>hohler Rücken, welliger Buchblock, erhabene Illuminationen</t>
        </is>
      </c>
      <c r="V27" t="inlineStr">
        <is>
          <t>nicht auflegen</t>
        </is>
      </c>
      <c r="W27" t="inlineStr"/>
      <c r="X27" t="inlineStr"/>
      <c r="Y27" t="n">
        <v>1</v>
      </c>
      <c r="Z27" t="inlineStr"/>
      <c r="AA27" t="inlineStr">
        <is>
          <t>Reinigung</t>
        </is>
      </c>
      <c r="AB27" t="inlineStr">
        <is>
          <t>schwerer Holzdeckel</t>
        </is>
      </c>
      <c r="AC27" t="inlineStr"/>
      <c r="AD27" t="inlineStr"/>
      <c r="AE27" t="inlineStr"/>
      <c r="AF27" t="inlineStr"/>
      <c r="AG27" t="inlineStr"/>
      <c r="AH27" t="inlineStr"/>
      <c r="AI27" t="inlineStr">
        <is>
          <t>L</t>
        </is>
      </c>
      <c r="AJ27" t="inlineStr"/>
      <c r="AK27" t="inlineStr">
        <is>
          <t>x</t>
        </is>
      </c>
      <c r="AL27" t="inlineStr"/>
      <c r="AM27" t="inlineStr">
        <is>
          <t>h/E</t>
        </is>
      </c>
      <c r="AN27" t="inlineStr"/>
      <c r="AO27" t="inlineStr"/>
      <c r="AP27" t="inlineStr"/>
      <c r="AQ27" t="inlineStr"/>
      <c r="AR27" t="inlineStr"/>
      <c r="AS27" t="inlineStr">
        <is>
          <t>Pg</t>
        </is>
      </c>
      <c r="AT27" t="inlineStr"/>
      <c r="AU27" t="inlineStr"/>
      <c r="AV27" t="inlineStr"/>
      <c r="AW27" t="inlineStr"/>
      <c r="AX27" t="inlineStr"/>
      <c r="AY27" t="inlineStr"/>
      <c r="AZ27" t="inlineStr"/>
      <c r="BA27" t="inlineStr"/>
      <c r="BB27" t="inlineStr"/>
      <c r="BC27" t="inlineStr">
        <is>
          <t>B/I/R</t>
        </is>
      </c>
      <c r="BD27" t="inlineStr">
        <is>
          <t>xx</t>
        </is>
      </c>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t>
        </is>
      </c>
      <c r="B28" t="b">
        <v>1</v>
      </c>
      <c r="C28" t="inlineStr"/>
      <c r="D28" t="inlineStr"/>
      <c r="E28" t="n">
        <v>21</v>
      </c>
      <c r="F28">
        <f>HYPERLINK("https://portal.dnb.de/opac.htm?method=simpleSearch&amp;cqlMode=true&amp;query=idn%3D1066965714", "Portal")</f>
        <v/>
      </c>
      <c r="G28" t="inlineStr">
        <is>
          <t>Aaf</t>
        </is>
      </c>
      <c r="H28" t="inlineStr">
        <is>
          <t>L-1473-315495936</t>
        </is>
      </c>
      <c r="I28" t="inlineStr">
        <is>
          <t>1066965714</t>
        </is>
      </c>
      <c r="J28" t="inlineStr">
        <is>
          <t>II 1,3l</t>
        </is>
      </c>
      <c r="K28" t="inlineStr">
        <is>
          <t>II 1,3l</t>
        </is>
      </c>
      <c r="L28" t="inlineStr">
        <is>
          <t>II 1,3l</t>
        </is>
      </c>
      <c r="M28" t="inlineStr"/>
      <c r="N28" t="inlineStr">
        <is>
          <t xml:space="preserve">De civitate Dei : </t>
        </is>
      </c>
      <c r="O28" t="inlineStr">
        <is>
          <t xml:space="preserve"> : </t>
        </is>
      </c>
      <c r="P28" t="inlineStr"/>
      <c r="Q28" t="inlineStr"/>
      <c r="R28" t="inlineStr">
        <is>
          <t>Ledereinband</t>
        </is>
      </c>
      <c r="S28" t="inlineStr">
        <is>
          <t>bis 42 cm</t>
        </is>
      </c>
      <c r="T28" t="inlineStr">
        <is>
          <t>80° bis 110°, einseitig digitalisierbar?</t>
        </is>
      </c>
      <c r="U28" t="inlineStr">
        <is>
          <t>hohler Rücken, erhabene Illuminationen</t>
        </is>
      </c>
      <c r="V28" t="inlineStr">
        <is>
          <t>nicht auflegen</t>
        </is>
      </c>
      <c r="W28" t="inlineStr"/>
      <c r="X28" t="inlineStr">
        <is>
          <t>Signaturfahne austauschen</t>
        </is>
      </c>
      <c r="Y28" t="n">
        <v>0</v>
      </c>
      <c r="Z28" t="inlineStr"/>
      <c r="AA28" t="inlineStr"/>
      <c r="AB28" t="inlineStr"/>
      <c r="AC28" t="inlineStr"/>
      <c r="AD28" t="inlineStr"/>
      <c r="AE28" t="inlineStr"/>
      <c r="AF28" t="inlineStr"/>
      <c r="AG28" t="inlineStr"/>
      <c r="AH28" t="inlineStr"/>
      <c r="AI28" t="inlineStr">
        <is>
          <t>HL</t>
        </is>
      </c>
      <c r="AJ28" t="inlineStr"/>
      <c r="AK28" t="inlineStr">
        <is>
          <t>x</t>
        </is>
      </c>
      <c r="AL28" t="inlineStr"/>
      <c r="AM28" t="inlineStr">
        <is>
          <t>h/E</t>
        </is>
      </c>
      <c r="AN28" t="inlineStr"/>
      <c r="AO28" t="inlineStr"/>
      <c r="AP28" t="inlineStr"/>
      <c r="AQ28" t="inlineStr"/>
      <c r="AR28" t="inlineStr"/>
      <c r="AS28" t="inlineStr">
        <is>
          <t>Pa</t>
        </is>
      </c>
      <c r="AT28" t="inlineStr"/>
      <c r="AU28" t="inlineStr"/>
      <c r="AV28" t="inlineStr"/>
      <c r="AW28" t="inlineStr"/>
      <c r="AX28" t="inlineStr"/>
      <c r="AY28" t="inlineStr"/>
      <c r="AZ28" t="inlineStr"/>
      <c r="BA28" t="inlineStr"/>
      <c r="BB28" t="inlineStr"/>
      <c r="BC28" t="inlineStr">
        <is>
          <t>I/R</t>
        </is>
      </c>
      <c r="BD28" t="inlineStr">
        <is>
          <t>x</t>
        </is>
      </c>
      <c r="BE28" t="inlineStr"/>
      <c r="BF28" t="inlineStr"/>
      <c r="BG28" t="n">
        <v>110</v>
      </c>
      <c r="BH28" t="inlineStr"/>
      <c r="BI28" t="inlineStr"/>
      <c r="BJ28" t="inlineStr"/>
      <c r="BK28" t="inlineStr"/>
      <c r="BL28" t="inlineStr"/>
      <c r="BM28" t="inlineStr">
        <is>
          <t>n</t>
        </is>
      </c>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t>
        </is>
      </c>
      <c r="B29" t="b">
        <v>1</v>
      </c>
      <c r="C29" t="inlineStr"/>
      <c r="D29" t="inlineStr"/>
      <c r="E29" t="n">
        <v>22</v>
      </c>
      <c r="F29">
        <f>HYPERLINK("https://portal.dnb.de/opac.htm?method=simpleSearch&amp;cqlMode=true&amp;query=idn%3D1084605600", "Portal")</f>
        <v/>
      </c>
      <c r="G29" t="inlineStr">
        <is>
          <t>Aa</t>
        </is>
      </c>
      <c r="H29" t="inlineStr">
        <is>
          <t>L-1489-352274506</t>
        </is>
      </c>
      <c r="I29" t="inlineStr">
        <is>
          <t>1084605600</t>
        </is>
      </c>
      <c r="J29" t="inlineStr">
        <is>
          <t>II 1,3l kursiv</t>
        </is>
      </c>
      <c r="K29" t="inlineStr">
        <is>
          <t>II 1,3l kursiv</t>
        </is>
      </c>
      <c r="L29" t="inlineStr">
        <is>
          <t>II 1,3l kursiv</t>
        </is>
      </c>
      <c r="M29" t="inlineStr"/>
      <c r="N29" t="inlineStr">
        <is>
          <t xml:space="preserve">De indulgentiis pro animabus in purgatorio : </t>
        </is>
      </c>
      <c r="O29" t="inlineStr">
        <is>
          <t xml:space="preserve"> : </t>
        </is>
      </c>
      <c r="P29" t="inlineStr">
        <is>
          <t>X</t>
        </is>
      </c>
      <c r="Q29" t="inlineStr"/>
      <c r="R29" t="inlineStr">
        <is>
          <t>Papier- oder Pappeinband, Schließen, erhabene Buchbeschläge</t>
        </is>
      </c>
      <c r="S29" t="inlineStr">
        <is>
          <t>bis 35 cm</t>
        </is>
      </c>
      <c r="T29" t="inlineStr">
        <is>
          <t>180°</t>
        </is>
      </c>
      <c r="U29" t="inlineStr">
        <is>
          <t>hohler Rücken</t>
        </is>
      </c>
      <c r="V29" t="inlineStr"/>
      <c r="W29" t="inlineStr">
        <is>
          <t>Kassette</t>
        </is>
      </c>
      <c r="X29" t="inlineStr">
        <is>
          <t>Nein</t>
        </is>
      </c>
      <c r="Y29" t="n">
        <v>1</v>
      </c>
      <c r="Z29" t="inlineStr"/>
      <c r="AA29" t="inlineStr"/>
      <c r="AB29" t="inlineStr"/>
      <c r="AC29" t="inlineStr"/>
      <c r="AD29" t="inlineStr"/>
      <c r="AE29" t="inlineStr"/>
      <c r="AF29" t="inlineStr"/>
      <c r="AG29" t="inlineStr"/>
      <c r="AH29" t="inlineStr"/>
      <c r="AI29" t="inlineStr">
        <is>
          <t>Pg</t>
        </is>
      </c>
      <c r="AJ29" t="inlineStr"/>
      <c r="AK29" t="inlineStr">
        <is>
          <t>x</t>
        </is>
      </c>
      <c r="AL29" t="inlineStr"/>
      <c r="AM29" t="inlineStr">
        <is>
          <t>h</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c r="BD29" t="inlineStr"/>
      <c r="BE29" t="inlineStr"/>
      <c r="BF29" t="inlineStr"/>
      <c r="BG29" t="n">
        <v>180</v>
      </c>
      <c r="BH29" t="inlineStr"/>
      <c r="BI29" t="inlineStr"/>
      <c r="BJ29" t="inlineStr"/>
      <c r="BK29" t="inlineStr"/>
      <c r="BL29" t="inlineStr"/>
      <c r="BM29" t="inlineStr">
        <is>
          <t>n</t>
        </is>
      </c>
      <c r="BN29" t="n">
        <v>0</v>
      </c>
      <c r="BO29" t="inlineStr"/>
      <c r="BP29" t="inlineStr">
        <is>
          <t>Wellpappe</t>
        </is>
      </c>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t>
        </is>
      </c>
      <c r="B30" t="b">
        <v>1</v>
      </c>
      <c r="C30" t="inlineStr"/>
      <c r="D30" t="inlineStr"/>
      <c r="E30" t="n">
        <v>23</v>
      </c>
      <c r="F30">
        <f>HYPERLINK("https://portal.dnb.de/opac.htm?method=simpleSearch&amp;cqlMode=true&amp;query=idn%3D1066965714", "Portal")</f>
        <v/>
      </c>
      <c r="G30" t="inlineStr">
        <is>
          <t>Aaf</t>
        </is>
      </c>
      <c r="H30" t="inlineStr">
        <is>
          <t>L-1473-315495944</t>
        </is>
      </c>
      <c r="I30" t="inlineStr">
        <is>
          <t>1066965714</t>
        </is>
      </c>
      <c r="J30" t="inlineStr">
        <is>
          <t>II 1,3la - Fragm.</t>
        </is>
      </c>
      <c r="K30" t="inlineStr">
        <is>
          <t>II 1,3la - Fragm.</t>
        </is>
      </c>
      <c r="L30" t="inlineStr">
        <is>
          <t>II 1,3la - Fragm.</t>
        </is>
      </c>
      <c r="M30" t="inlineStr"/>
      <c r="N30" t="inlineStr">
        <is>
          <t xml:space="preserve">De civitate Dei : </t>
        </is>
      </c>
      <c r="O30" t="inlineStr">
        <is>
          <t xml:space="preserve"> : </t>
        </is>
      </c>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n">
        <v>0</v>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t>
        </is>
      </c>
      <c r="B31" t="b">
        <v>1</v>
      </c>
      <c r="C31" t="inlineStr"/>
      <c r="D31" t="inlineStr"/>
      <c r="E31" t="n">
        <v>24</v>
      </c>
      <c r="F31">
        <f>HYPERLINK("https://portal.dnb.de/opac.htm?method=simpleSearch&amp;cqlMode=true&amp;query=idn%3D1066968764", "Portal")</f>
        <v/>
      </c>
      <c r="G31" t="inlineStr">
        <is>
          <t>Aaf</t>
        </is>
      </c>
      <c r="H31" t="inlineStr">
        <is>
          <t>L-1473-31549901X</t>
        </is>
      </c>
      <c r="I31" t="inlineStr">
        <is>
          <t>1066968764</t>
        </is>
      </c>
      <c r="J31" t="inlineStr">
        <is>
          <t>II 1,3m</t>
        </is>
      </c>
      <c r="K31" t="inlineStr">
        <is>
          <t>II 1,3m</t>
        </is>
      </c>
      <c r="L31" t="inlineStr">
        <is>
          <t>II 1,3m</t>
        </is>
      </c>
      <c r="M31" t="inlineStr"/>
      <c r="N31" t="inlineStr">
        <is>
          <t xml:space="preserve">Decretales : </t>
        </is>
      </c>
      <c r="O31" t="inlineStr">
        <is>
          <t xml:space="preserve"> : </t>
        </is>
      </c>
      <c r="P31" t="inlineStr">
        <is>
          <t>X</t>
        </is>
      </c>
      <c r="Q31" t="inlineStr"/>
      <c r="R31" t="inlineStr">
        <is>
          <t>Ledereinband</t>
        </is>
      </c>
      <c r="S31" t="inlineStr">
        <is>
          <t>&gt; 42 cm</t>
        </is>
      </c>
      <c r="T31" t="inlineStr">
        <is>
          <t>80° bis 110°, einseitig digitalisierbar?</t>
        </is>
      </c>
      <c r="U31" t="inlineStr">
        <is>
          <t>hohler Rücken, erhabene Illuminationen</t>
        </is>
      </c>
      <c r="V31" t="inlineStr">
        <is>
          <t>nicht auflegen</t>
        </is>
      </c>
      <c r="W31" t="inlineStr"/>
      <c r="X31" t="inlineStr"/>
      <c r="Y31" t="n">
        <v>0</v>
      </c>
      <c r="Z31" t="inlineStr"/>
      <c r="AA31" t="inlineStr"/>
      <c r="AB31" t="inlineStr"/>
      <c r="AC31" t="inlineStr"/>
      <c r="AD31" t="inlineStr"/>
      <c r="AE31" t="inlineStr"/>
      <c r="AF31" t="inlineStr"/>
      <c r="AG31" t="inlineStr"/>
      <c r="AH31" t="inlineStr"/>
      <c r="AI31" t="inlineStr">
        <is>
          <t>L</t>
        </is>
      </c>
      <c r="AJ31" t="inlineStr"/>
      <c r="AK31" t="inlineStr">
        <is>
          <t>x</t>
        </is>
      </c>
      <c r="AL31" t="inlineStr"/>
      <c r="AM31" t="inlineStr">
        <is>
          <t>h/E</t>
        </is>
      </c>
      <c r="AN31" t="inlineStr"/>
      <c r="AO31" t="inlineStr"/>
      <c r="AP31" t="inlineStr"/>
      <c r="AQ31" t="inlineStr"/>
      <c r="AR31" t="inlineStr"/>
      <c r="AS31" t="inlineStr">
        <is>
          <t>Pa</t>
        </is>
      </c>
      <c r="AT31" t="inlineStr"/>
      <c r="AU31" t="inlineStr"/>
      <c r="AV31" t="inlineStr"/>
      <c r="AW31" t="inlineStr"/>
      <c r="AX31" t="inlineStr">
        <is>
          <t>x</t>
        </is>
      </c>
      <c r="AY31" t="inlineStr"/>
      <c r="AZ31" t="inlineStr"/>
      <c r="BA31" t="inlineStr"/>
      <c r="BB31" t="inlineStr"/>
      <c r="BC31" t="inlineStr">
        <is>
          <t>B/I/R</t>
        </is>
      </c>
      <c r="BD31" t="inlineStr">
        <is>
          <t>x</t>
        </is>
      </c>
      <c r="BE31" t="inlineStr"/>
      <c r="BF31" t="inlineStr"/>
      <c r="BG31" t="n">
        <v>110</v>
      </c>
      <c r="BH31" t="inlineStr"/>
      <c r="BI31" t="inlineStr">
        <is>
          <t>ggf. wg. Ausgleich hohler Rücken</t>
        </is>
      </c>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t>
        </is>
      </c>
      <c r="B32" t="b">
        <v>1</v>
      </c>
      <c r="C32" t="inlineStr"/>
      <c r="D32" t="inlineStr"/>
      <c r="E32" t="n">
        <v>25</v>
      </c>
      <c r="F32">
        <f>HYPERLINK("https://portal.dnb.de/opac.htm?method=simpleSearch&amp;cqlMode=true&amp;query=idn%3D1066971412", "Portal")</f>
        <v/>
      </c>
      <c r="G32" t="inlineStr">
        <is>
          <t>Aaf</t>
        </is>
      </c>
      <c r="H32" t="inlineStr">
        <is>
          <t>L-1490-315501782</t>
        </is>
      </c>
      <c r="I32" t="inlineStr">
        <is>
          <t>1066971412</t>
        </is>
      </c>
      <c r="J32" t="inlineStr">
        <is>
          <t>II 1,3m kursiv</t>
        </is>
      </c>
      <c r="K32" t="inlineStr">
        <is>
          <t>II 1,3m kursiv</t>
        </is>
      </c>
      <c r="L32" t="inlineStr">
        <is>
          <t>II 1,3m kursiv</t>
        </is>
      </c>
      <c r="M32" t="inlineStr">
        <is>
          <t>Achtung! Kursiv steht nicht auf dem Sig.-Schild</t>
        </is>
      </c>
      <c r="N32" t="inlineStr">
        <is>
          <t xml:space="preserve">De conceptione virginis Mariae : </t>
        </is>
      </c>
      <c r="O32" t="inlineStr">
        <is>
          <t xml:space="preserve"> : </t>
        </is>
      </c>
      <c r="P32" t="inlineStr">
        <is>
          <t>X</t>
        </is>
      </c>
      <c r="Q32" t="inlineStr"/>
      <c r="R32" t="inlineStr">
        <is>
          <t>Ledereinband, Schließen, erhabene Buchbeschläge</t>
        </is>
      </c>
      <c r="S32" t="inlineStr">
        <is>
          <t>bis 25 cm</t>
        </is>
      </c>
      <c r="T32" t="inlineStr">
        <is>
          <t>180°</t>
        </is>
      </c>
      <c r="U32" t="inlineStr">
        <is>
          <t>fester Rücken mit Schmuckprägung, erhabene Illuminationen</t>
        </is>
      </c>
      <c r="V32" t="inlineStr">
        <is>
          <t>nicht auflegen</t>
        </is>
      </c>
      <c r="W32" t="inlineStr">
        <is>
          <t>Kassette</t>
        </is>
      </c>
      <c r="X32" t="inlineStr">
        <is>
          <t>Nein</t>
        </is>
      </c>
      <c r="Y32" t="n">
        <v>0</v>
      </c>
      <c r="Z32" t="inlineStr"/>
      <c r="AA32" t="inlineStr"/>
      <c r="AB32" t="inlineStr"/>
      <c r="AC32" t="inlineStr"/>
      <c r="AD32" t="inlineStr"/>
      <c r="AE32" t="inlineStr"/>
      <c r="AF32" t="inlineStr"/>
      <c r="AG32" t="inlineStr"/>
      <c r="AH32" t="inlineStr"/>
      <c r="AI32" t="inlineStr">
        <is>
          <t>L</t>
        </is>
      </c>
      <c r="AJ32" t="inlineStr"/>
      <c r="AK32" t="inlineStr">
        <is>
          <t>x</t>
        </is>
      </c>
      <c r="AL32" t="inlineStr"/>
      <c r="AM32" t="inlineStr">
        <is>
          <t>f</t>
        </is>
      </c>
      <c r="AN32" t="inlineStr"/>
      <c r="AO32" t="inlineStr"/>
      <c r="AP32" t="inlineStr"/>
      <c r="AQ32" t="inlineStr"/>
      <c r="AR32" t="inlineStr"/>
      <c r="AS32" t="inlineStr">
        <is>
          <t>Pa</t>
        </is>
      </c>
      <c r="AT32" t="inlineStr"/>
      <c r="AU32" t="inlineStr"/>
      <c r="AV32" t="inlineStr"/>
      <c r="AW32" t="inlineStr"/>
      <c r="AX32" t="inlineStr"/>
      <c r="AY32" t="inlineStr"/>
      <c r="AZ32" t="inlineStr"/>
      <c r="BA32" t="inlineStr"/>
      <c r="BB32" t="inlineStr"/>
      <c r="BC32" t="inlineStr">
        <is>
          <t>I/R</t>
        </is>
      </c>
      <c r="BD32" t="inlineStr">
        <is>
          <t>x</t>
        </is>
      </c>
      <c r="BE32" t="inlineStr"/>
      <c r="BF32" t="inlineStr"/>
      <c r="BG32" t="n">
        <v>110</v>
      </c>
      <c r="BH32" t="inlineStr"/>
      <c r="BI32" t="inlineStr"/>
      <c r="BJ32" t="inlineStr"/>
      <c r="BK32" t="inlineStr"/>
      <c r="BL32" t="inlineStr"/>
      <c r="BM32" t="inlineStr">
        <is>
          <t>n</t>
        </is>
      </c>
      <c r="BN32" t="n">
        <v>0</v>
      </c>
      <c r="BO32" t="inlineStr"/>
      <c r="BP32" t="inlineStr">
        <is>
          <t>Wellpappe</t>
        </is>
      </c>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t>
        </is>
      </c>
      <c r="B33" t="b">
        <v>1</v>
      </c>
      <c r="C33" t="inlineStr"/>
      <c r="D33" t="inlineStr"/>
      <c r="E33" t="n">
        <v>26</v>
      </c>
      <c r="F33">
        <f>HYPERLINK("https://portal.dnb.de/opac.htm?method=simpleSearch&amp;cqlMode=true&amp;query=idn%3D1066968764", "Portal")</f>
        <v/>
      </c>
      <c r="G33" t="inlineStr">
        <is>
          <t>Aaf</t>
        </is>
      </c>
      <c r="H33" t="inlineStr">
        <is>
          <t>L-1473-315499028</t>
        </is>
      </c>
      <c r="I33" t="inlineStr">
        <is>
          <t>1066968764</t>
        </is>
      </c>
      <c r="J33" t="inlineStr">
        <is>
          <t>II 1,3ma - Fragm.</t>
        </is>
      </c>
      <c r="K33" t="inlineStr">
        <is>
          <t>II 1,3ma - Fragm.</t>
        </is>
      </c>
      <c r="L33" t="inlineStr">
        <is>
          <t>II 1,3ma - Fragm.</t>
        </is>
      </c>
      <c r="M33" t="inlineStr"/>
      <c r="N33" t="inlineStr">
        <is>
          <t xml:space="preserve">Decretales : </t>
        </is>
      </c>
      <c r="O33" t="inlineStr">
        <is>
          <t xml:space="preserve"> : </t>
        </is>
      </c>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II</t>
        </is>
      </c>
      <c r="B34" t="b">
        <v>1</v>
      </c>
      <c r="C34" t="inlineStr"/>
      <c r="D34" t="inlineStr"/>
      <c r="E34" t="n">
        <v>27</v>
      </c>
      <c r="F34">
        <f>HYPERLINK("https://portal.dnb.de/opac.htm?method=simpleSearch&amp;cqlMode=true&amp;query=idn%3D1066969086", "Portal")</f>
        <v/>
      </c>
      <c r="G34" t="inlineStr">
        <is>
          <t>Aaf</t>
        </is>
      </c>
      <c r="H34" t="inlineStr">
        <is>
          <t>L-1474-315499389</t>
        </is>
      </c>
      <c r="I34" t="inlineStr">
        <is>
          <t>1066969086</t>
        </is>
      </c>
      <c r="J34" t="inlineStr">
        <is>
          <t>II 1,3n</t>
        </is>
      </c>
      <c r="K34" t="inlineStr">
        <is>
          <t>II 1,3n</t>
        </is>
      </c>
      <c r="L34" t="inlineStr">
        <is>
          <t>II 1,3n</t>
        </is>
      </c>
      <c r="M34" t="inlineStr"/>
      <c r="N34" t="inlineStr">
        <is>
          <t xml:space="preserve">Speculum aureum decem praeceptorum Dei : </t>
        </is>
      </c>
      <c r="O34" t="inlineStr">
        <is>
          <t xml:space="preserve"> : </t>
        </is>
      </c>
      <c r="P34" t="inlineStr">
        <is>
          <t>X</t>
        </is>
      </c>
      <c r="Q34" t="inlineStr"/>
      <c r="R34" t="inlineStr">
        <is>
          <t>Ledereinband</t>
        </is>
      </c>
      <c r="S34" t="inlineStr">
        <is>
          <t>bis 35 cm</t>
        </is>
      </c>
      <c r="T34" t="inlineStr">
        <is>
          <t>80° bis 110°, einseitig digitalisierbar?</t>
        </is>
      </c>
      <c r="U34" t="inlineStr">
        <is>
          <t>hohler Rücken, welliger Buchblock, erhabene Illuminationen</t>
        </is>
      </c>
      <c r="V34" t="inlineStr">
        <is>
          <t>nicht auflegen</t>
        </is>
      </c>
      <c r="W34" t="inlineStr">
        <is>
          <t>Kassette</t>
        </is>
      </c>
      <c r="X34" t="inlineStr">
        <is>
          <t>Nein</t>
        </is>
      </c>
      <c r="Y34" t="n">
        <v>0</v>
      </c>
      <c r="Z34" t="inlineStr"/>
      <c r="AA34" t="inlineStr"/>
      <c r="AB34" t="inlineStr"/>
      <c r="AC34" t="inlineStr"/>
      <c r="AD34" t="inlineStr"/>
      <c r="AE34" t="inlineStr"/>
      <c r="AF34" t="inlineStr"/>
      <c r="AG34" t="inlineStr"/>
      <c r="AH34" t="inlineStr"/>
      <c r="AI34" t="inlineStr">
        <is>
          <t>L</t>
        </is>
      </c>
      <c r="AJ34" t="inlineStr"/>
      <c r="AK34" t="inlineStr">
        <is>
          <t>x</t>
        </is>
      </c>
      <c r="AL34" t="inlineStr"/>
      <c r="AM34" t="inlineStr">
        <is>
          <t>h/E</t>
        </is>
      </c>
      <c r="AN34" t="inlineStr"/>
      <c r="AO34" t="inlineStr"/>
      <c r="AP34" t="inlineStr"/>
      <c r="AQ34" t="inlineStr"/>
      <c r="AR34" t="inlineStr"/>
      <c r="AS34" t="inlineStr">
        <is>
          <t>Pa</t>
        </is>
      </c>
      <c r="AT34" t="inlineStr"/>
      <c r="AU34" t="inlineStr"/>
      <c r="AV34" t="inlineStr"/>
      <c r="AW34" t="inlineStr"/>
      <c r="AX34" t="inlineStr">
        <is>
          <t>x</t>
        </is>
      </c>
      <c r="AY34" t="inlineStr"/>
      <c r="AZ34" t="inlineStr"/>
      <c r="BA34" t="inlineStr"/>
      <c r="BB34" t="inlineStr"/>
      <c r="BC34" t="inlineStr">
        <is>
          <t>I/R</t>
        </is>
      </c>
      <c r="BD34" t="inlineStr">
        <is>
          <t>x</t>
        </is>
      </c>
      <c r="BE34" t="inlineStr"/>
      <c r="BF34" t="inlineStr"/>
      <c r="BG34" t="n">
        <v>110</v>
      </c>
      <c r="BH34" t="inlineStr"/>
      <c r="BI34" t="inlineStr"/>
      <c r="BJ34" t="inlineStr"/>
      <c r="BK34" t="inlineStr"/>
      <c r="BL34" t="inlineStr"/>
      <c r="BM34" t="inlineStr">
        <is>
          <t>n</t>
        </is>
      </c>
      <c r="BN34" t="n">
        <v>0</v>
      </c>
      <c r="BO34" t="inlineStr"/>
      <c r="BP34" t="inlineStr">
        <is>
          <t>Wellpappe</t>
        </is>
      </c>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t>
        </is>
      </c>
      <c r="B35" t="b">
        <v>1</v>
      </c>
      <c r="C35" t="inlineStr"/>
      <c r="D35" t="inlineStr"/>
      <c r="E35" t="n">
        <v>28</v>
      </c>
      <c r="F35">
        <f>HYPERLINK("https://portal.dnb.de/opac.htm?method=simpleSearch&amp;cqlMode=true&amp;query=idn%3D106697005X", "Portal")</f>
        <v/>
      </c>
      <c r="G35" t="inlineStr">
        <is>
          <t>Aaf</t>
        </is>
      </c>
      <c r="H35" t="inlineStr">
        <is>
          <t>L-1474-315500409</t>
        </is>
      </c>
      <c r="I35" t="inlineStr">
        <is>
          <t>106697005X</t>
        </is>
      </c>
      <c r="J35" t="inlineStr">
        <is>
          <t>II 1,3o</t>
        </is>
      </c>
      <c r="K35" t="inlineStr">
        <is>
          <t>II 1,3o</t>
        </is>
      </c>
      <c r="L35" t="inlineStr">
        <is>
          <t>II 1,3o</t>
        </is>
      </c>
      <c r="M35" t="inlineStr"/>
      <c r="N35" t="inlineStr">
        <is>
          <t xml:space="preserve">Expositio super toto psalterio : </t>
        </is>
      </c>
      <c r="O35" t="inlineStr">
        <is>
          <t xml:space="preserve"> : </t>
        </is>
      </c>
      <c r="P35" t="inlineStr">
        <is>
          <t>X</t>
        </is>
      </c>
      <c r="Q35" t="inlineStr"/>
      <c r="R35" t="inlineStr">
        <is>
          <t>Ledereinband, Schließen, erhabene Buchbeschläge</t>
        </is>
      </c>
      <c r="S35" t="inlineStr">
        <is>
          <t>bis 35 cm</t>
        </is>
      </c>
      <c r="T35" t="inlineStr">
        <is>
          <t>80° bis 110°, einseitig digitalisierbar?</t>
        </is>
      </c>
      <c r="U35" t="inlineStr">
        <is>
          <t>fester Rücken mit Schmuckprägung, erhabene Illuminationen</t>
        </is>
      </c>
      <c r="V35" t="inlineStr">
        <is>
          <t>nicht auflegen</t>
        </is>
      </c>
      <c r="W35" t="inlineStr">
        <is>
          <t>Kassette</t>
        </is>
      </c>
      <c r="X35" t="inlineStr">
        <is>
          <t>Nein</t>
        </is>
      </c>
      <c r="Y35" t="n">
        <v>0</v>
      </c>
      <c r="Z35" t="inlineStr"/>
      <c r="AA35" t="inlineStr">
        <is>
          <t>Kassette enth. zusätzlich Originaleinbd.</t>
        </is>
      </c>
      <c r="AB35" t="inlineStr"/>
      <c r="AC35" t="inlineStr"/>
      <c r="AD35" t="inlineStr"/>
      <c r="AE35" t="inlineStr"/>
      <c r="AF35" t="inlineStr"/>
      <c r="AG35" t="inlineStr"/>
      <c r="AH35" t="inlineStr"/>
      <c r="AI35" t="inlineStr">
        <is>
          <t>L</t>
        </is>
      </c>
      <c r="AJ35" t="inlineStr"/>
      <c r="AK35" t="inlineStr"/>
      <c r="AL35" t="inlineStr">
        <is>
          <t>x</t>
        </is>
      </c>
      <c r="AM35" t="inlineStr">
        <is>
          <t>f</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is>
          <t>I/R</t>
        </is>
      </c>
      <c r="BD35" t="inlineStr">
        <is>
          <t>x</t>
        </is>
      </c>
      <c r="BE35" t="inlineStr"/>
      <c r="BF35" t="inlineStr"/>
      <c r="BG35" t="n">
        <v>110</v>
      </c>
      <c r="BH35" t="inlineStr"/>
      <c r="BI35" t="inlineStr"/>
      <c r="BJ35" t="inlineStr"/>
      <c r="BK35" t="inlineStr"/>
      <c r="BL35" t="inlineStr"/>
      <c r="BM35" t="inlineStr">
        <is>
          <t>n</t>
        </is>
      </c>
      <c r="BN35" t="n">
        <v>0</v>
      </c>
      <c r="BO35" t="inlineStr"/>
      <c r="BP35" t="inlineStr">
        <is>
          <t>Gewebe</t>
        </is>
      </c>
      <c r="BQ35" t="inlineStr"/>
      <c r="BR35" t="inlineStr"/>
      <c r="BS35" t="inlineStr"/>
      <c r="BT35" t="inlineStr"/>
      <c r="BU35" t="inlineStr"/>
      <c r="BV35" t="inlineStr">
        <is>
          <t>Klemm-Einband liegt der Kassette bei</t>
        </is>
      </c>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II</t>
        </is>
      </c>
      <c r="B36" t="b">
        <v>1</v>
      </c>
      <c r="C36" t="inlineStr"/>
      <c r="D36" t="inlineStr"/>
      <c r="E36" t="n">
        <v>29</v>
      </c>
      <c r="F36">
        <f>HYPERLINK("https://portal.dnb.de/opac.htm?method=simpleSearch&amp;cqlMode=true&amp;query=idn%3D1066967652", "Portal")</f>
        <v/>
      </c>
      <c r="G36" t="inlineStr">
        <is>
          <t>Aaf</t>
        </is>
      </c>
      <c r="H36" t="inlineStr">
        <is>
          <t>L-1475-315497912</t>
        </is>
      </c>
      <c r="I36" t="inlineStr">
        <is>
          <t>1066967652</t>
        </is>
      </c>
      <c r="J36" t="inlineStr">
        <is>
          <t>II 1,3p; Großformate</t>
        </is>
      </c>
      <c r="K36" t="inlineStr">
        <is>
          <t>II 1,3p</t>
        </is>
      </c>
      <c r="L36" t="inlineStr">
        <is>
          <t>II 1,3p</t>
        </is>
      </c>
      <c r="M36" t="inlineStr">
        <is>
          <t>war mir zu schwer --&gt; zu zweit arbeiten</t>
        </is>
      </c>
      <c r="N36" t="inlineStr">
        <is>
          <t xml:space="preserve">Corpus iuris civilis. Codex Justinianus : </t>
        </is>
      </c>
      <c r="O36" t="inlineStr">
        <is>
          <t xml:space="preserve"> : </t>
        </is>
      </c>
      <c r="P36" t="inlineStr"/>
      <c r="Q36" t="inlineStr"/>
      <c r="R36" t="inlineStr">
        <is>
          <t>Halbledereinband, Schließen, erhabene Buchbeschläge</t>
        </is>
      </c>
      <c r="S36" t="inlineStr">
        <is>
          <t>&gt; 42 cm</t>
        </is>
      </c>
      <c r="T36" t="inlineStr">
        <is>
          <t>80° bis 110°, einseitig digitalisierbar?</t>
        </is>
      </c>
      <c r="U36" t="inlineStr">
        <is>
          <t>hohler Rücken, erhabene Illuminationen</t>
        </is>
      </c>
      <c r="V36" t="inlineStr">
        <is>
          <t>nicht auflegen</t>
        </is>
      </c>
      <c r="W36" t="inlineStr"/>
      <c r="X36" t="inlineStr"/>
      <c r="Y36" t="n">
        <v>3</v>
      </c>
      <c r="Z36" t="inlineStr">
        <is>
          <t>Einbandsicherung</t>
        </is>
      </c>
      <c r="AA36" t="inlineStr"/>
      <c r="AB36" t="inlineStr">
        <is>
          <t>Einband provisorisch gesichert, 
Kassette wird durch BE.1.2 bestellt, liegend lagern</t>
        </is>
      </c>
      <c r="AC36" t="inlineStr"/>
      <c r="AD36" t="inlineStr"/>
      <c r="AE36" t="inlineStr"/>
      <c r="AF36" t="inlineStr"/>
      <c r="AG36" t="inlineStr"/>
      <c r="AH36" t="inlineStr"/>
      <c r="AI36" t="inlineStr">
        <is>
          <t>HD</t>
        </is>
      </c>
      <c r="AJ36" t="inlineStr"/>
      <c r="AK36" t="inlineStr">
        <is>
          <t>x</t>
        </is>
      </c>
      <c r="AL36" t="inlineStr"/>
      <c r="AM36" t="inlineStr">
        <is>
          <t>h/E</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is>
          <t>B</t>
        </is>
      </c>
      <c r="BD36" t="inlineStr">
        <is>
          <t>x</t>
        </is>
      </c>
      <c r="BE36" t="inlineStr"/>
      <c r="BF36" t="inlineStr"/>
      <c r="BG36" t="n">
        <v>0</v>
      </c>
      <c r="BH36" t="inlineStr">
        <is>
          <t xml:space="preserve">
kein gewöhnlicher HD, VD angebrochen, RD vorn abgebrochen --&gt; Spezielle Verpackung stabilisiert die Deckel</t>
        </is>
      </c>
      <c r="BI36" t="inlineStr"/>
      <c r="BJ36" t="inlineStr"/>
      <c r="BK36" t="inlineStr"/>
      <c r="BL36" t="inlineStr"/>
      <c r="BM36" t="inlineStr">
        <is>
          <t>theoretisch ja, aber…</t>
        </is>
      </c>
      <c r="BN36" t="n">
        <v>0</v>
      </c>
      <c r="BO36" t="inlineStr"/>
      <c r="BP36" t="inlineStr"/>
      <c r="BQ36" t="inlineStr"/>
      <c r="BR36" t="inlineStr"/>
      <c r="BS36" t="inlineStr"/>
      <c r="BT36" t="inlineStr"/>
      <c r="BU36" t="inlineStr"/>
      <c r="BV36" t="inlineStr">
        <is>
          <t>von Restaurierung würde ich absehen, es ist sinnvoll verpackt und kann so bleiben (s. Fotos)</t>
        </is>
      </c>
      <c r="BW36" t="inlineStr"/>
      <c r="BX36" t="inlineStr"/>
      <c r="BY36" t="inlineStr"/>
      <c r="BZ36" t="inlineStr">
        <is>
          <t>x, wird nicht restauriert, Fotos dienen der Dokumentation</t>
        </is>
      </c>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t>
        </is>
      </c>
      <c r="B37" t="b">
        <v>1</v>
      </c>
      <c r="C37" t="inlineStr"/>
      <c r="D37" t="inlineStr"/>
      <c r="E37" t="n">
        <v>30</v>
      </c>
      <c r="F37">
        <f>HYPERLINK("https://portal.dnb.de/opac.htm?method=simpleSearch&amp;cqlMode=true&amp;query=idn%3D1066966281", "Portal")</f>
        <v/>
      </c>
      <c r="G37" t="inlineStr">
        <is>
          <t>Aaf</t>
        </is>
      </c>
      <c r="H37" t="inlineStr">
        <is>
          <t>L-1475-315496576</t>
        </is>
      </c>
      <c r="I37" t="inlineStr">
        <is>
          <t>1066966281</t>
        </is>
      </c>
      <c r="J37" t="inlineStr">
        <is>
          <t>II 1,3q</t>
        </is>
      </c>
      <c r="K37" t="inlineStr">
        <is>
          <t>II 1,3q</t>
        </is>
      </c>
      <c r="L37" t="inlineStr">
        <is>
          <t>II 1,3q</t>
        </is>
      </c>
      <c r="M37" t="inlineStr"/>
      <c r="N37" t="inlineStr">
        <is>
          <t xml:space="preserve">Sermones de tempore et de sanctis et De diversis : </t>
        </is>
      </c>
      <c r="O37" t="inlineStr">
        <is>
          <t xml:space="preserve"> : </t>
        </is>
      </c>
      <c r="P37" t="inlineStr">
        <is>
          <t>X</t>
        </is>
      </c>
      <c r="Q37" t="inlineStr"/>
      <c r="R37" t="inlineStr">
        <is>
          <t>Ledereinband</t>
        </is>
      </c>
      <c r="S37" t="inlineStr">
        <is>
          <t>bis 42 cm</t>
        </is>
      </c>
      <c r="T37" t="inlineStr">
        <is>
          <t>80° bis 110°, einseitig digitalisierbar?</t>
        </is>
      </c>
      <c r="U37" t="inlineStr">
        <is>
          <t>fester Rücken mit Schmuckprägung, erhabene Illuminationen</t>
        </is>
      </c>
      <c r="V37" t="inlineStr">
        <is>
          <t>nicht auflegen</t>
        </is>
      </c>
      <c r="W37" t="inlineStr"/>
      <c r="X37" t="inlineStr"/>
      <c r="Y37" t="n">
        <v>0</v>
      </c>
      <c r="Z37" t="inlineStr"/>
      <c r="AA37" t="inlineStr"/>
      <c r="AB37" t="inlineStr"/>
      <c r="AC37" t="inlineStr"/>
      <c r="AD37" t="inlineStr"/>
      <c r="AE37" t="inlineStr"/>
      <c r="AF37" t="inlineStr"/>
      <c r="AG37" t="inlineStr"/>
      <c r="AH37" t="inlineStr"/>
      <c r="AI37" t="inlineStr">
        <is>
          <t>L</t>
        </is>
      </c>
      <c r="AJ37" t="inlineStr"/>
      <c r="AK37" t="inlineStr">
        <is>
          <t>x</t>
        </is>
      </c>
      <c r="AL37" t="inlineStr"/>
      <c r="AM37" t="inlineStr">
        <is>
          <t>h/E</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is>
          <t>I/R</t>
        </is>
      </c>
      <c r="BD37" t="inlineStr">
        <is>
          <t>x</t>
        </is>
      </c>
      <c r="BE37" t="inlineStr"/>
      <c r="BF37" t="inlineStr"/>
      <c r="BG37" t="n">
        <v>110</v>
      </c>
      <c r="BH37" t="inlineStr"/>
      <c r="BI37" t="inlineStr"/>
      <c r="BJ37" t="inlineStr"/>
      <c r="BK37" t="inlineStr"/>
      <c r="BL37" t="inlineStr"/>
      <c r="BM37" t="inlineStr">
        <is>
          <t>n</t>
        </is>
      </c>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t>
        </is>
      </c>
      <c r="B38" t="b">
        <v>1</v>
      </c>
      <c r="C38" t="inlineStr"/>
      <c r="D38" t="inlineStr"/>
      <c r="E38" t="n">
        <v>32</v>
      </c>
      <c r="F38">
        <f>HYPERLINK("https://portal.dnb.de/opac.htm?method=simpleSearch&amp;cqlMode=true&amp;query=idn%3D1066969566", "Portal")</f>
        <v/>
      </c>
      <c r="G38" t="inlineStr">
        <is>
          <t>Aaf</t>
        </is>
      </c>
      <c r="H38" t="inlineStr">
        <is>
          <t>L-1476-315499885</t>
        </is>
      </c>
      <c r="I38" t="inlineStr">
        <is>
          <t>1066969566</t>
        </is>
      </c>
      <c r="J38" t="inlineStr">
        <is>
          <t>II 1,3t</t>
        </is>
      </c>
      <c r="K38" t="inlineStr">
        <is>
          <t>II 1,3t</t>
        </is>
      </c>
      <c r="L38" t="inlineStr">
        <is>
          <t>II 1,3t</t>
        </is>
      </c>
      <c r="M38" t="inlineStr"/>
      <c r="N38" t="inlineStr">
        <is>
          <t xml:space="preserve">Institutiones : </t>
        </is>
      </c>
      <c r="O38" t="inlineStr">
        <is>
          <t xml:space="preserve"> : </t>
        </is>
      </c>
      <c r="P38" t="inlineStr"/>
      <c r="Q38" t="inlineStr"/>
      <c r="R38" t="inlineStr">
        <is>
          <t>Halbledereinband, Schließen, erhabene Buchbeschläge</t>
        </is>
      </c>
      <c r="S38" t="inlineStr">
        <is>
          <t>bis 42 cm</t>
        </is>
      </c>
      <c r="T38" t="inlineStr">
        <is>
          <t>80° bis 110°, einseitig digitalisierbar?</t>
        </is>
      </c>
      <c r="U38" t="inlineStr">
        <is>
          <t>fester Rücken mit Schmuckprägung, erhabene Illuminationen</t>
        </is>
      </c>
      <c r="V38" t="inlineStr">
        <is>
          <t>nicht auflegen</t>
        </is>
      </c>
      <c r="W38" t="inlineStr"/>
      <c r="X38" t="inlineStr"/>
      <c r="Y38" t="n">
        <v>0</v>
      </c>
      <c r="Z38" t="inlineStr"/>
      <c r="AA38" t="inlineStr"/>
      <c r="AB38" t="inlineStr">
        <is>
          <t>schwerer Holzdeckel</t>
        </is>
      </c>
      <c r="AC38" t="inlineStr"/>
      <c r="AD38" t="inlineStr"/>
      <c r="AE38" t="inlineStr"/>
      <c r="AF38" t="inlineStr"/>
      <c r="AG38" t="inlineStr"/>
      <c r="AH38" t="inlineStr"/>
      <c r="AI38" t="inlineStr">
        <is>
          <t>HD</t>
        </is>
      </c>
      <c r="AJ38" t="inlineStr"/>
      <c r="AK38" t="inlineStr">
        <is>
          <t>x</t>
        </is>
      </c>
      <c r="AL38" t="inlineStr"/>
      <c r="AM38" t="inlineStr">
        <is>
          <t>h/E</t>
        </is>
      </c>
      <c r="AN38" t="inlineStr"/>
      <c r="AO38" t="inlineStr"/>
      <c r="AP38" t="inlineStr"/>
      <c r="AQ38" t="inlineStr"/>
      <c r="AR38" t="inlineStr"/>
      <c r="AS38" t="inlineStr">
        <is>
          <t>Pa</t>
        </is>
      </c>
      <c r="AT38" t="inlineStr"/>
      <c r="AU38" t="inlineStr"/>
      <c r="AV38" t="inlineStr"/>
      <c r="AW38" t="inlineStr">
        <is>
          <t>x</t>
        </is>
      </c>
      <c r="AX38" t="inlineStr"/>
      <c r="AY38" t="inlineStr"/>
      <c r="AZ38" t="inlineStr"/>
      <c r="BA38" t="inlineStr"/>
      <c r="BB38" t="inlineStr"/>
      <c r="BC38" t="inlineStr">
        <is>
          <t>I/R</t>
        </is>
      </c>
      <c r="BD38" t="inlineStr">
        <is>
          <t>x</t>
        </is>
      </c>
      <c r="BE38" t="inlineStr"/>
      <c r="BF38" t="inlineStr"/>
      <c r="BG38" t="n">
        <v>110</v>
      </c>
      <c r="BH38" t="inlineStr"/>
      <c r="BI38" t="inlineStr"/>
      <c r="BJ38" t="inlineStr"/>
      <c r="BK38" t="inlineStr"/>
      <c r="BL38" t="inlineStr"/>
      <c r="BM38" t="inlineStr">
        <is>
          <t>n</t>
        </is>
      </c>
      <c r="BN38" t="n">
        <v>0</v>
      </c>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t>
        </is>
      </c>
      <c r="B39" t="b">
        <v>1</v>
      </c>
      <c r="C39" t="inlineStr">
        <is>
          <t>x</t>
        </is>
      </c>
      <c r="D39" t="inlineStr"/>
      <c r="E39" t="inlineStr"/>
      <c r="F39">
        <f>HYPERLINK("https://portal.dnb.de/opac.htm?method=simpleSearch&amp;cqlMode=true&amp;query=idn%3D1269230115", "Portal")</f>
        <v/>
      </c>
      <c r="G39" t="inlineStr">
        <is>
          <t>Qd</t>
        </is>
      </c>
      <c r="H39" t="inlineStr">
        <is>
          <t>L-1476-834802228</t>
        </is>
      </c>
      <c r="I39" t="inlineStr">
        <is>
          <t>1269230115</t>
        </is>
      </c>
      <c r="J39" t="inlineStr">
        <is>
          <t>II 1,3r und II 1,3u</t>
        </is>
      </c>
      <c r="K39" t="inlineStr">
        <is>
          <t>II 1,3u; II 1,3r</t>
        </is>
      </c>
      <c r="L39" t="inlineStr">
        <is>
          <t>II 1,3u; II 1,3r</t>
        </is>
      </c>
      <c r="M39" t="inlineStr"/>
      <c r="N39" t="inlineStr">
        <is>
          <t xml:space="preserve">Sammelband mit zwei Inkunabeln, gedruckt in Mainz von Peter Schöffer : </t>
        </is>
      </c>
      <c r="O39" t="inlineStr">
        <is>
          <t xml:space="preserve"> : </t>
        </is>
      </c>
      <c r="P39" t="inlineStr">
        <is>
          <t>X</t>
        </is>
      </c>
      <c r="Q39" t="inlineStr"/>
      <c r="R39" t="inlineStr">
        <is>
          <t>Ledereinband, Schließen, erhabene Buchbeschläge</t>
        </is>
      </c>
      <c r="S39" t="inlineStr">
        <is>
          <t>bis 42 cm</t>
        </is>
      </c>
      <c r="T39" t="inlineStr">
        <is>
          <t>80° bis 110°, einseitig digitalisierbar?</t>
        </is>
      </c>
      <c r="U39" t="inlineStr">
        <is>
          <t>fester Rücken mit Schmuckprägung, erhabene Illuminationen</t>
        </is>
      </c>
      <c r="V39" t="inlineStr">
        <is>
          <t>nicht auflegen</t>
        </is>
      </c>
      <c r="W39" t="inlineStr"/>
      <c r="X39" t="inlineStr"/>
      <c r="Y39" t="n">
        <v>0</v>
      </c>
      <c r="Z39" t="inlineStr"/>
      <c r="AA39" t="inlineStr"/>
      <c r="AB39" t="inlineStr"/>
      <c r="AC39" t="inlineStr"/>
      <c r="AD39" t="inlineStr"/>
      <c r="AE39" t="inlineStr"/>
      <c r="AF39" t="inlineStr"/>
      <c r="AG39" t="inlineStr"/>
      <c r="AH39" t="inlineStr"/>
      <c r="AI39" t="inlineStr">
        <is>
          <t>L</t>
        </is>
      </c>
      <c r="AJ39" t="inlineStr"/>
      <c r="AK39" t="inlineStr">
        <is>
          <t>x</t>
        </is>
      </c>
      <c r="AL39" t="inlineStr"/>
      <c r="AM39" t="inlineStr">
        <is>
          <t>h/E</t>
        </is>
      </c>
      <c r="AN39" t="inlineStr"/>
      <c r="AO39" t="inlineStr"/>
      <c r="AP39" t="inlineStr"/>
      <c r="AQ39" t="inlineStr"/>
      <c r="AR39" t="inlineStr"/>
      <c r="AS39" t="inlineStr">
        <is>
          <t>Pa</t>
        </is>
      </c>
      <c r="AT39" t="inlineStr"/>
      <c r="AU39" t="inlineStr"/>
      <c r="AV39" t="inlineStr"/>
      <c r="AW39" t="inlineStr"/>
      <c r="AX39" t="inlineStr">
        <is>
          <t>x</t>
        </is>
      </c>
      <c r="AY39" t="inlineStr"/>
      <c r="AZ39" t="inlineStr"/>
      <c r="BA39" t="inlineStr"/>
      <c r="BB39" t="inlineStr"/>
      <c r="BC39" t="inlineStr">
        <is>
          <t>I/R</t>
        </is>
      </c>
      <c r="BD39" t="inlineStr">
        <is>
          <t>xx</t>
        </is>
      </c>
      <c r="BE39" t="n">
        <v>0</v>
      </c>
      <c r="BF39" t="inlineStr"/>
      <c r="BG39" t="n">
        <v>110</v>
      </c>
      <c r="BH39" t="inlineStr"/>
      <c r="BI39" t="inlineStr"/>
      <c r="BJ39" t="inlineStr"/>
      <c r="BK39" t="inlineStr"/>
      <c r="BL39" t="inlineStr"/>
      <c r="BM39" t="inlineStr">
        <is>
          <t>ja vor</t>
        </is>
      </c>
      <c r="BN39" t="n">
        <v>43</v>
      </c>
      <c r="BO39" t="inlineStr"/>
      <c r="BP39" t="inlineStr"/>
      <c r="BQ39" t="inlineStr"/>
      <c r="BR39" t="inlineStr"/>
      <c r="BS39" t="inlineStr"/>
      <c r="BT39" t="inlineStr"/>
      <c r="BU39" t="inlineStr"/>
      <c r="BV39" t="inlineStr">
        <is>
          <t>Buchblock sehr steif, deshalb Bundsteg=0</t>
        </is>
      </c>
      <c r="BW39" t="inlineStr"/>
      <c r="BX39" t="inlineStr"/>
      <c r="BY39" t="inlineStr"/>
      <c r="BZ39" t="inlineStr"/>
      <c r="CA39" t="inlineStr">
        <is>
          <t>x</t>
        </is>
      </c>
      <c r="CB39" t="inlineStr"/>
      <c r="CC39" t="inlineStr"/>
      <c r="CD39" t="inlineStr">
        <is>
          <t>v/h</t>
        </is>
      </c>
      <c r="CE39" t="inlineStr"/>
      <c r="CF39" t="inlineStr"/>
      <c r="CG39" t="inlineStr"/>
      <c r="CH39" t="inlineStr"/>
      <c r="CI39" t="inlineStr"/>
      <c r="CJ39" t="inlineStr"/>
      <c r="CK39" t="inlineStr"/>
      <c r="CL39" t="inlineStr"/>
      <c r="CM39" t="n">
        <v>3</v>
      </c>
      <c r="CN39" t="inlineStr"/>
      <c r="CO39" t="inlineStr"/>
      <c r="CP39" t="inlineStr"/>
      <c r="CQ39" t="inlineStr">
        <is>
          <t>x</t>
        </is>
      </c>
      <c r="CR39" t="inlineStr"/>
      <c r="CS39" t="inlineStr"/>
      <c r="CT39" t="inlineStr"/>
      <c r="CU39" t="inlineStr"/>
      <c r="CV39" t="inlineStr"/>
      <c r="CW39" t="inlineStr"/>
      <c r="CX39" t="inlineStr"/>
      <c r="CY39" t="inlineStr"/>
      <c r="CZ39" t="inlineStr"/>
      <c r="DA39" t="inlineStr"/>
      <c r="DB39" t="inlineStr"/>
      <c r="DC39" t="inlineStr"/>
      <c r="DD39" t="inlineStr"/>
      <c r="DE39" t="inlineStr"/>
      <c r="DF39" t="n">
        <v>40</v>
      </c>
      <c r="DG39" t="inlineStr"/>
    </row>
    <row r="40">
      <c r="A40" t="inlineStr">
        <is>
          <t>II</t>
        </is>
      </c>
      <c r="B40" t="b">
        <v>1</v>
      </c>
      <c r="C40" t="inlineStr">
        <is>
          <t>x</t>
        </is>
      </c>
      <c r="D40" t="inlineStr"/>
      <c r="E40" t="n">
        <v>34</v>
      </c>
      <c r="F40">
        <f>HYPERLINK("https://portal.dnb.de/opac.htm?method=simpleSearch&amp;cqlMode=true&amp;query=idn%3D1066969574", "Portal")</f>
        <v/>
      </c>
      <c r="G40" t="inlineStr">
        <is>
          <t>Aaf</t>
        </is>
      </c>
      <c r="H40" t="inlineStr">
        <is>
          <t>L-1477-315499893</t>
        </is>
      </c>
      <c r="I40" t="inlineStr">
        <is>
          <t>1066969574</t>
        </is>
      </c>
      <c r="J40" t="inlineStr">
        <is>
          <t>II 1,3v</t>
        </is>
      </c>
      <c r="K40" t="inlineStr">
        <is>
          <t>II 1,3v</t>
        </is>
      </c>
      <c r="L40" t="inlineStr">
        <is>
          <t>II 1,3v</t>
        </is>
      </c>
      <c r="M40" t="inlineStr"/>
      <c r="N40" t="inlineStr">
        <is>
          <t xml:space="preserve">Corpus iuris civilis. Novellae etc. : </t>
        </is>
      </c>
      <c r="O40" t="inlineStr">
        <is>
          <t xml:space="preserve"> : </t>
        </is>
      </c>
      <c r="P40" t="inlineStr">
        <is>
          <t>X</t>
        </is>
      </c>
      <c r="Q40" t="inlineStr">
        <is>
          <t>8000,00 EUR</t>
        </is>
      </c>
      <c r="R40" t="inlineStr">
        <is>
          <t>Ledereinband, Schließen, erhabene Buchbeschläge</t>
        </is>
      </c>
      <c r="S40" t="inlineStr">
        <is>
          <t>bis 42 cm</t>
        </is>
      </c>
      <c r="T40" t="inlineStr">
        <is>
          <t>80° bis 110°, einseitig digitalisierbar?</t>
        </is>
      </c>
      <c r="U40" t="inlineStr">
        <is>
          <t>stark brüchiges Einbandmaterial, erhabene Illuminationen</t>
        </is>
      </c>
      <c r="V40" t="inlineStr">
        <is>
          <t>nicht auflegen</t>
        </is>
      </c>
      <c r="W40" t="inlineStr"/>
      <c r="X40" t="inlineStr"/>
      <c r="Y40" t="n">
        <v>3</v>
      </c>
      <c r="Z40" t="inlineStr"/>
      <c r="AA40" t="inlineStr"/>
      <c r="AB40" t="inlineStr"/>
      <c r="AC40" t="inlineStr"/>
      <c r="AD40" t="inlineStr"/>
      <c r="AE40" t="inlineStr"/>
      <c r="AF40" t="inlineStr"/>
      <c r="AG40" t="inlineStr"/>
      <c r="AH40" t="inlineStr"/>
      <c r="AI40" t="inlineStr">
        <is>
          <t>L</t>
        </is>
      </c>
      <c r="AJ40" t="inlineStr"/>
      <c r="AK40" t="inlineStr">
        <is>
          <t>x</t>
        </is>
      </c>
      <c r="AL40" t="inlineStr"/>
      <c r="AM40" t="inlineStr">
        <is>
          <t>f/V</t>
        </is>
      </c>
      <c r="AN40" t="inlineStr"/>
      <c r="AO40" t="inlineStr">
        <is>
          <t>xx</t>
        </is>
      </c>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is>
          <t>B/I/R</t>
        </is>
      </c>
      <c r="BD40" t="inlineStr">
        <is>
          <t>x</t>
        </is>
      </c>
      <c r="BE40" t="inlineStr"/>
      <c r="BF40" t="inlineStr"/>
      <c r="BG40" t="n">
        <v>60</v>
      </c>
      <c r="BH40" t="inlineStr"/>
      <c r="BI40" t="inlineStr"/>
      <c r="BJ40" t="inlineStr"/>
      <c r="BK40" t="inlineStr"/>
      <c r="BL40" t="inlineStr"/>
      <c r="BM40" t="inlineStr">
        <is>
          <t>ja vor</t>
        </is>
      </c>
      <c r="BN40" t="n">
        <v>3</v>
      </c>
      <c r="BO40" t="inlineStr"/>
      <c r="BP40" t="inlineStr"/>
      <c r="BQ40" t="inlineStr"/>
      <c r="BR40" t="inlineStr">
        <is>
          <t>x</t>
        </is>
      </c>
      <c r="BS40" t="inlineStr"/>
      <c r="BT40" t="inlineStr"/>
      <c r="BU40" t="inlineStr"/>
      <c r="BV40" t="inlineStr"/>
      <c r="BW40" t="inlineStr"/>
      <c r="BX40" t="inlineStr"/>
      <c r="BY40" t="inlineStr">
        <is>
          <t>Umschlag (Leder pudert)</t>
        </is>
      </c>
      <c r="BZ40" t="inlineStr"/>
      <c r="CA40" t="inlineStr">
        <is>
          <t>x</t>
        </is>
      </c>
      <c r="CB40" t="inlineStr">
        <is>
          <t>x</t>
        </is>
      </c>
      <c r="CC40" t="inlineStr">
        <is>
          <t>x</t>
        </is>
      </c>
      <c r="CD40" t="inlineStr"/>
      <c r="CE40" t="inlineStr"/>
      <c r="CF40" t="inlineStr"/>
      <c r="CG40" t="inlineStr"/>
      <c r="CH40" t="inlineStr"/>
      <c r="CI40" t="inlineStr"/>
      <c r="CJ40" t="inlineStr"/>
      <c r="CK40" t="inlineStr"/>
      <c r="CL40" t="inlineStr"/>
      <c r="CM40" t="n">
        <v>3</v>
      </c>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t>
        </is>
      </c>
      <c r="B41" t="b">
        <v>1</v>
      </c>
      <c r="C41" t="inlineStr">
        <is>
          <t>x</t>
        </is>
      </c>
      <c r="D41" t="inlineStr"/>
      <c r="E41" t="n">
        <v>35</v>
      </c>
      <c r="F41">
        <f>HYPERLINK("https://portal.dnb.de/opac.htm?method=simpleSearch&amp;cqlMode=true&amp;query=idn%3D1066966109", "Portal")</f>
        <v/>
      </c>
      <c r="G41" t="inlineStr">
        <is>
          <t>Aaf</t>
        </is>
      </c>
      <c r="H41" t="inlineStr">
        <is>
          <t>L-1478-315496401</t>
        </is>
      </c>
      <c r="I41" t="inlineStr">
        <is>
          <t>1066966109</t>
        </is>
      </c>
      <c r="J41" t="inlineStr">
        <is>
          <t>II 1,3x</t>
        </is>
      </c>
      <c r="K41" t="inlineStr">
        <is>
          <t>II 1,3x</t>
        </is>
      </c>
      <c r="L41" t="inlineStr">
        <is>
          <t>II 1,3x</t>
        </is>
      </c>
      <c r="M41" t="inlineStr"/>
      <c r="N41" t="inlineStr">
        <is>
          <t xml:space="preserve">Interrogatorium sive confessionale : </t>
        </is>
      </c>
      <c r="O41" t="inlineStr">
        <is>
          <t xml:space="preserve"> : </t>
        </is>
      </c>
      <c r="P41" t="inlineStr">
        <is>
          <t>X</t>
        </is>
      </c>
      <c r="Q41" t="inlineStr"/>
      <c r="R41" t="inlineStr">
        <is>
          <t>Ledereinband, Schließen, erhabene Buchbeschläge</t>
        </is>
      </c>
      <c r="S41" t="inlineStr">
        <is>
          <t>bis 25 cm</t>
        </is>
      </c>
      <c r="T41" t="inlineStr">
        <is>
          <t>80° bis 110°, einseitig digitalisierbar?</t>
        </is>
      </c>
      <c r="U41" t="inlineStr">
        <is>
          <t>hohler Rücken, erhabene Illuminationen</t>
        </is>
      </c>
      <c r="V41" t="inlineStr">
        <is>
          <t>nicht auflegen</t>
        </is>
      </c>
      <c r="W41" t="inlineStr">
        <is>
          <t>Kassette</t>
        </is>
      </c>
      <c r="X41" t="inlineStr">
        <is>
          <t>Nein</t>
        </is>
      </c>
      <c r="Y41" t="n">
        <v>1</v>
      </c>
      <c r="Z41" t="inlineStr"/>
      <c r="AA41" t="inlineStr"/>
      <c r="AB41" t="inlineStr"/>
      <c r="AC41" t="inlineStr"/>
      <c r="AD41" t="inlineStr"/>
      <c r="AE41" t="inlineStr"/>
      <c r="AF41" t="inlineStr"/>
      <c r="AG41" t="inlineStr"/>
      <c r="AH41" t="inlineStr"/>
      <c r="AI41" t="inlineStr">
        <is>
          <t>L</t>
        </is>
      </c>
      <c r="AJ41" t="inlineStr"/>
      <c r="AK41" t="inlineStr">
        <is>
          <t>x</t>
        </is>
      </c>
      <c r="AL41" t="inlineStr"/>
      <c r="AM41" t="inlineStr">
        <is>
          <t>f/V</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is>
          <t>I/R</t>
        </is>
      </c>
      <c r="BD41" t="inlineStr">
        <is>
          <t>x</t>
        </is>
      </c>
      <c r="BE41" t="inlineStr"/>
      <c r="BF41" t="inlineStr"/>
      <c r="BG41" t="n">
        <v>110</v>
      </c>
      <c r="BH41" t="inlineStr"/>
      <c r="BI41" t="inlineStr"/>
      <c r="BJ41" t="inlineStr"/>
      <c r="BK41" t="inlineStr"/>
      <c r="BL41" t="inlineStr"/>
      <c r="BM41" t="inlineStr">
        <is>
          <t>n</t>
        </is>
      </c>
      <c r="BN41" t="n">
        <v>0.5</v>
      </c>
      <c r="BO41" t="inlineStr"/>
      <c r="BP41" t="inlineStr">
        <is>
          <t>Wellpappe</t>
        </is>
      </c>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is>
          <t>x</t>
        </is>
      </c>
      <c r="CU41" t="inlineStr"/>
      <c r="CV41" t="inlineStr"/>
      <c r="CW41" t="inlineStr"/>
      <c r="CX41" t="inlineStr"/>
      <c r="CY41" t="inlineStr"/>
      <c r="CZ41" t="inlineStr"/>
      <c r="DA41" t="inlineStr"/>
      <c r="DB41" t="inlineStr"/>
      <c r="DC41" t="inlineStr"/>
      <c r="DD41" t="inlineStr"/>
      <c r="DE41" t="inlineStr"/>
      <c r="DF41" t="n">
        <v>0.5</v>
      </c>
      <c r="DG41" t="inlineStr"/>
    </row>
    <row r="42">
      <c r="A42" t="inlineStr">
        <is>
          <t>II</t>
        </is>
      </c>
      <c r="B42" t="b">
        <v>1</v>
      </c>
      <c r="C42" t="inlineStr"/>
      <c r="D42" t="inlineStr"/>
      <c r="E42" t="n">
        <v>36</v>
      </c>
      <c r="F42">
        <f>HYPERLINK("https://portal.dnb.de/opac.htm?method=simpleSearch&amp;cqlMode=true&amp;query=idn%3D1066968810", "Portal")</f>
        <v/>
      </c>
      <c r="G42" t="inlineStr">
        <is>
          <t>Aaf</t>
        </is>
      </c>
      <c r="H42" t="inlineStr">
        <is>
          <t>L-1479-315499087</t>
        </is>
      </c>
      <c r="I42" t="inlineStr">
        <is>
          <t>1066968810</t>
        </is>
      </c>
      <c r="J42" t="inlineStr">
        <is>
          <t>II 1,3y</t>
        </is>
      </c>
      <c r="K42" t="inlineStr">
        <is>
          <t>II 1,3y</t>
        </is>
      </c>
      <c r="L42" t="inlineStr">
        <is>
          <t>II 1,3y</t>
        </is>
      </c>
      <c r="M42" t="inlineStr"/>
      <c r="N42" t="inlineStr">
        <is>
          <t xml:space="preserve">Decretales : </t>
        </is>
      </c>
      <c r="O42" t="inlineStr">
        <is>
          <t xml:space="preserve"> : </t>
        </is>
      </c>
      <c r="P42" t="inlineStr"/>
      <c r="Q42" t="inlineStr"/>
      <c r="R42" t="inlineStr">
        <is>
          <t>Halbledereinband, Schließen, erhabene Buchbeschläge</t>
        </is>
      </c>
      <c r="S42" t="inlineStr">
        <is>
          <t>&gt; 42 cm</t>
        </is>
      </c>
      <c r="T42" t="inlineStr">
        <is>
          <t>80° bis 110°, einseitig digitalisierbar?</t>
        </is>
      </c>
      <c r="U42" t="inlineStr">
        <is>
          <t>fester Rücken mit Schmuckprägung, Tintenfraß, erhabene Illuminationen</t>
        </is>
      </c>
      <c r="V42" t="inlineStr">
        <is>
          <t>nicht auflegen</t>
        </is>
      </c>
      <c r="W42" t="inlineStr"/>
      <c r="X42" t="inlineStr"/>
      <c r="Y42" t="n">
        <v>0</v>
      </c>
      <c r="Z42" t="inlineStr"/>
      <c r="AA42" t="inlineStr"/>
      <c r="AB42" t="inlineStr">
        <is>
          <t>schwerer Holzdeckel</t>
        </is>
      </c>
      <c r="AC42" t="inlineStr"/>
      <c r="AD42" t="inlineStr"/>
      <c r="AE42" t="inlineStr"/>
      <c r="AF42" t="inlineStr"/>
      <c r="AG42" t="inlineStr"/>
      <c r="AH42" t="inlineStr"/>
      <c r="AI42" t="inlineStr">
        <is>
          <t>HD</t>
        </is>
      </c>
      <c r="AJ42" t="inlineStr"/>
      <c r="AK42" t="inlineStr">
        <is>
          <t>x</t>
        </is>
      </c>
      <c r="AL42" t="inlineStr"/>
      <c r="AM42" t="inlineStr">
        <is>
          <t>h</t>
        </is>
      </c>
      <c r="AN42" t="inlineStr"/>
      <c r="AO42" t="inlineStr"/>
      <c r="AP42" t="inlineStr"/>
      <c r="AQ42" t="inlineStr"/>
      <c r="AR42" t="inlineStr"/>
      <c r="AS42" t="inlineStr">
        <is>
          <t>Pa</t>
        </is>
      </c>
      <c r="AT42" t="inlineStr"/>
      <c r="AU42" t="inlineStr"/>
      <c r="AV42" t="inlineStr"/>
      <c r="AW42" t="inlineStr"/>
      <c r="AX42" t="inlineStr">
        <is>
          <t>x</t>
        </is>
      </c>
      <c r="AY42" t="inlineStr"/>
      <c r="AZ42" t="inlineStr"/>
      <c r="BA42" t="inlineStr"/>
      <c r="BB42" t="inlineStr"/>
      <c r="BC42" t="inlineStr">
        <is>
          <t>I/R</t>
        </is>
      </c>
      <c r="BD42" t="inlineStr">
        <is>
          <t>x</t>
        </is>
      </c>
      <c r="BE42" t="inlineStr"/>
      <c r="BF42" t="inlineStr"/>
      <c r="BG42" t="n">
        <v>110</v>
      </c>
      <c r="BH42" t="inlineStr"/>
      <c r="BI42" t="inlineStr"/>
      <c r="BJ42" t="inlineStr"/>
      <c r="BK42" t="inlineStr"/>
      <c r="BL42" t="inlineStr"/>
      <c r="BM42" t="inlineStr">
        <is>
          <t>n</t>
        </is>
      </c>
      <c r="BN42" t="n">
        <v>0</v>
      </c>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t>
        </is>
      </c>
      <c r="B43" t="b">
        <v>1</v>
      </c>
      <c r="C43" t="inlineStr"/>
      <c r="D43" t="inlineStr"/>
      <c r="E43" t="n">
        <v>37</v>
      </c>
      <c r="F43">
        <f>HYPERLINK("https://portal.dnb.de/opac.htm?method=simpleSearch&amp;cqlMode=true&amp;query=idn%3D1066970181", "Portal")</f>
        <v/>
      </c>
      <c r="G43" t="inlineStr">
        <is>
          <t>Aa</t>
        </is>
      </c>
      <c r="H43" t="inlineStr">
        <is>
          <t>L-1469-315500522</t>
        </is>
      </c>
      <c r="I43" t="inlineStr">
        <is>
          <t>1066970181</t>
        </is>
      </c>
      <c r="J43" t="inlineStr">
        <is>
          <t>II 1,4ab - Fragm.</t>
        </is>
      </c>
      <c r="K43" t="inlineStr">
        <is>
          <t>II 1,4ab - Fragm.</t>
        </is>
      </c>
      <c r="L43" t="inlineStr">
        <is>
          <t>II 1,4ab - Fragm.</t>
        </is>
      </c>
      <c r="M43" t="inlineStr"/>
      <c r="N43" t="inlineStr">
        <is>
          <t xml:space="preserve">Catholicon : </t>
        </is>
      </c>
      <c r="O43" t="inlineStr">
        <is>
          <t xml:space="preserve"> : </t>
        </is>
      </c>
      <c r="P43" t="inlineStr"/>
      <c r="Q43" t="inlineStr"/>
      <c r="R43" t="inlineStr"/>
      <c r="S43" t="inlineStr"/>
      <c r="T43" t="inlineStr"/>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n">
        <v>0</v>
      </c>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t>
        </is>
      </c>
      <c r="B44" t="b">
        <v>1</v>
      </c>
      <c r="C44" t="inlineStr"/>
      <c r="D44" t="inlineStr"/>
      <c r="E44" t="n">
        <v>38</v>
      </c>
      <c r="F44">
        <f>HYPERLINK("https://portal.dnb.de/opac.htm?method=simpleSearch&amp;cqlMode=true&amp;query=idn%3D1066972443", "Portal")</f>
        <v/>
      </c>
      <c r="G44" t="inlineStr">
        <is>
          <t>Aaf</t>
        </is>
      </c>
      <c r="H44" t="inlineStr">
        <is>
          <t>L-1469-31550286X</t>
        </is>
      </c>
      <c r="I44" t="inlineStr">
        <is>
          <t>1066972443</t>
        </is>
      </c>
      <c r="J44" t="inlineStr">
        <is>
          <t>II 1,4b</t>
        </is>
      </c>
      <c r="K44" t="inlineStr">
        <is>
          <t>II 1,4b</t>
        </is>
      </c>
      <c r="L44" t="inlineStr">
        <is>
          <t>II 1,4b</t>
        </is>
      </c>
      <c r="M44" t="inlineStr"/>
      <c r="N44" t="inlineStr">
        <is>
          <t xml:space="preserve">De articulis fidei et ecclesiae sacramentis : </t>
        </is>
      </c>
      <c r="O44" t="inlineStr">
        <is>
          <t xml:space="preserve"> : </t>
        </is>
      </c>
      <c r="P44" t="inlineStr">
        <is>
          <t>X</t>
        </is>
      </c>
      <c r="Q44" t="inlineStr"/>
      <c r="R44" t="inlineStr">
        <is>
          <t>Ledereinband, Schließen, erhabene Buchbeschläge</t>
        </is>
      </c>
      <c r="S44" t="inlineStr">
        <is>
          <t>bis 25 cm</t>
        </is>
      </c>
      <c r="T44" t="inlineStr">
        <is>
          <t>180°</t>
        </is>
      </c>
      <c r="U44" t="inlineStr">
        <is>
          <t>fester Rücken mit Schmuckprägung, erhabene Illuminationen</t>
        </is>
      </c>
      <c r="V44" t="inlineStr">
        <is>
          <t>nicht auflegen</t>
        </is>
      </c>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L</t>
        </is>
      </c>
      <c r="AJ44" t="inlineStr"/>
      <c r="AK44" t="inlineStr">
        <is>
          <t>x</t>
        </is>
      </c>
      <c r="AL44" t="inlineStr"/>
      <c r="AM44" t="inlineStr">
        <is>
          <t>f</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is>
          <t>I/R</t>
        </is>
      </c>
      <c r="BD44" t="inlineStr">
        <is>
          <t>x</t>
        </is>
      </c>
      <c r="BE44" t="inlineStr"/>
      <c r="BF44" t="inlineStr"/>
      <c r="BG44" t="n">
        <v>110</v>
      </c>
      <c r="BH44" t="inlineStr"/>
      <c r="BI44" t="inlineStr"/>
      <c r="BJ44" t="inlineStr"/>
      <c r="BK44" t="inlineStr"/>
      <c r="BL44" t="inlineStr"/>
      <c r="BM44" t="inlineStr">
        <is>
          <t>n</t>
        </is>
      </c>
      <c r="BN44" t="n">
        <v>0</v>
      </c>
      <c r="BO44" t="inlineStr"/>
      <c r="BP44" t="inlineStr">
        <is>
          <t>Wellpappe</t>
        </is>
      </c>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t>
        </is>
      </c>
      <c r="B45" t="b">
        <v>1</v>
      </c>
      <c r="C45" t="inlineStr">
        <is>
          <t>x</t>
        </is>
      </c>
      <c r="D45" t="inlineStr"/>
      <c r="E45" t="n">
        <v>39</v>
      </c>
      <c r="F45">
        <f>HYPERLINK("https://portal.dnb.de/opac.htm?method=simpleSearch&amp;cqlMode=true&amp;query=idn%3D1066970378", "Portal")</f>
        <v/>
      </c>
      <c r="G45" t="inlineStr">
        <is>
          <t>Aaf</t>
        </is>
      </c>
      <c r="H45" t="inlineStr">
        <is>
          <t>L-1480-315500719</t>
        </is>
      </c>
      <c r="I45" t="inlineStr">
        <is>
          <t>1066970378</t>
        </is>
      </c>
      <c r="J45" t="inlineStr">
        <is>
          <t>II 1,5a</t>
        </is>
      </c>
      <c r="K45" t="inlineStr">
        <is>
          <t>II 1,5a</t>
        </is>
      </c>
      <c r="L45" t="inlineStr">
        <is>
          <t>II 1,5a</t>
        </is>
      </c>
      <c r="M45" t="inlineStr"/>
      <c r="N45" t="inlineStr">
        <is>
          <t xml:space="preserve">Klagen und nützliche Lehre aus gemeinen beschriebenen Rechten der kaiserlichen Gesetze : </t>
        </is>
      </c>
      <c r="O45" t="inlineStr">
        <is>
          <t xml:space="preserve"> : </t>
        </is>
      </c>
      <c r="P45" t="inlineStr">
        <is>
          <t>X</t>
        </is>
      </c>
      <c r="Q45" t="inlineStr"/>
      <c r="R45" t="inlineStr">
        <is>
          <t>Ledereinband, Schließen, erhabene Buchbeschläge</t>
        </is>
      </c>
      <c r="S45" t="inlineStr">
        <is>
          <t>bis 35 cm</t>
        </is>
      </c>
      <c r="T45" t="inlineStr">
        <is>
          <t>80° bis 110°, einseitig digitalisierbar?</t>
        </is>
      </c>
      <c r="U45" t="inlineStr">
        <is>
          <t>hohler Rücken, welliger Buchblock, erhabene Illuminationen</t>
        </is>
      </c>
      <c r="V45" t="inlineStr">
        <is>
          <t>nicht auflegen</t>
        </is>
      </c>
      <c r="W45" t="inlineStr">
        <is>
          <t>Kassette</t>
        </is>
      </c>
      <c r="X45" t="inlineStr">
        <is>
          <t>Nein</t>
        </is>
      </c>
      <c r="Y45" t="n">
        <v>2</v>
      </c>
      <c r="Z45" t="inlineStr"/>
      <c r="AA45" t="inlineStr"/>
      <c r="AB45" t="inlineStr"/>
      <c r="AC45" t="inlineStr"/>
      <c r="AD45" t="inlineStr"/>
      <c r="AE45" t="inlineStr"/>
      <c r="AF45" t="inlineStr"/>
      <c r="AG45" t="inlineStr"/>
      <c r="AH45" t="inlineStr"/>
      <c r="AI45" t="inlineStr">
        <is>
          <t>L</t>
        </is>
      </c>
      <c r="AJ45" t="inlineStr"/>
      <c r="AK45" t="inlineStr">
        <is>
          <t>x</t>
        </is>
      </c>
      <c r="AL45" t="inlineStr"/>
      <c r="AM45" t="inlineStr">
        <is>
          <t>h/E</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is>
          <t>I/R</t>
        </is>
      </c>
      <c r="BD45" t="inlineStr">
        <is>
          <t>x</t>
        </is>
      </c>
      <c r="BE45" t="inlineStr"/>
      <c r="BF45" t="inlineStr"/>
      <c r="BG45" t="inlineStr">
        <is>
          <t>max 60</t>
        </is>
      </c>
      <c r="BH45" t="inlineStr"/>
      <c r="BI45" t="inlineStr"/>
      <c r="BJ45" t="inlineStr"/>
      <c r="BK45" t="inlineStr"/>
      <c r="BL45" t="inlineStr"/>
      <c r="BM45" t="inlineStr">
        <is>
          <t>ja vor</t>
        </is>
      </c>
      <c r="BN45" t="n">
        <v>2</v>
      </c>
      <c r="BO45" t="inlineStr"/>
      <c r="BP45" t="inlineStr">
        <is>
          <t>Wellpappe</t>
        </is>
      </c>
      <c r="BQ45" t="inlineStr"/>
      <c r="BR45" t="inlineStr"/>
      <c r="BS45" t="inlineStr"/>
      <c r="BT45" t="inlineStr"/>
      <c r="BU45" t="inlineStr"/>
      <c r="BV45" t="inlineStr"/>
      <c r="BW45" t="inlineStr"/>
      <c r="BX45" t="inlineStr"/>
      <c r="BY45" t="inlineStr"/>
      <c r="BZ45" t="inlineStr"/>
      <c r="CA45" t="inlineStr">
        <is>
          <t>x</t>
        </is>
      </c>
      <c r="CB45" t="inlineStr"/>
      <c r="CC45" t="inlineStr"/>
      <c r="CD45" t="inlineStr">
        <is>
          <t>v/h</t>
        </is>
      </c>
      <c r="CE45" t="inlineStr"/>
      <c r="CF45" t="inlineStr"/>
      <c r="CG45" t="inlineStr"/>
      <c r="CH45" t="inlineStr"/>
      <c r="CI45" t="inlineStr"/>
      <c r="CJ45" t="inlineStr"/>
      <c r="CK45" t="inlineStr"/>
      <c r="CL45" t="inlineStr"/>
      <c r="CM45" t="n">
        <v>2</v>
      </c>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t>
        </is>
      </c>
      <c r="B46" t="b">
        <v>1</v>
      </c>
      <c r="C46" t="inlineStr"/>
      <c r="D46" t="inlineStr"/>
      <c r="E46" t="n">
        <v>40</v>
      </c>
      <c r="F46">
        <f>HYPERLINK("https://portal.dnb.de/opac.htm?method=simpleSearch&amp;cqlMode=true&amp;query=idn%3D106696923X", "Portal")</f>
        <v/>
      </c>
      <c r="G46" t="inlineStr">
        <is>
          <t>Aaf</t>
        </is>
      </c>
      <c r="H46" t="inlineStr">
        <is>
          <t>L-1491-315499540</t>
        </is>
      </c>
      <c r="I46" t="inlineStr">
        <is>
          <t>106696923X</t>
        </is>
      </c>
      <c r="J46" t="inlineStr">
        <is>
          <t>II 1,8ab - Fragm.</t>
        </is>
      </c>
      <c r="K46" t="inlineStr">
        <is>
          <t>II 1,8ab - Fragm.</t>
        </is>
      </c>
      <c r="L46" t="inlineStr">
        <is>
          <t>II 1,8ab - Fragm.</t>
        </is>
      </c>
      <c r="M46" t="inlineStr"/>
      <c r="N46" t="inlineStr">
        <is>
          <t xml:space="preserve">Hortus sanitatis : </t>
        </is>
      </c>
      <c r="O46" t="inlineStr">
        <is>
          <t xml:space="preserve"> : </t>
        </is>
      </c>
      <c r="P46" t="inlineStr"/>
      <c r="Q46" t="inlineStr"/>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t>
        </is>
      </c>
      <c r="B47" t="b">
        <v>1</v>
      </c>
      <c r="C47" t="inlineStr">
        <is>
          <t>x</t>
        </is>
      </c>
      <c r="D47" t="inlineStr"/>
      <c r="E47" t="n">
        <v>41</v>
      </c>
      <c r="F47">
        <f>HYPERLINK("https://portal.dnb.de/opac.htm?method=simpleSearch&amp;cqlMode=true&amp;query=idn%3D1066972877", "Portal")</f>
        <v/>
      </c>
      <c r="G47" t="inlineStr">
        <is>
          <t>Aaf</t>
        </is>
      </c>
      <c r="H47" t="inlineStr">
        <is>
          <t>L-1494-315503262</t>
        </is>
      </c>
      <c r="I47" t="inlineStr">
        <is>
          <t>1066972877</t>
        </is>
      </c>
      <c r="J47" t="inlineStr">
        <is>
          <t>II 1,9a</t>
        </is>
      </c>
      <c r="K47" t="inlineStr">
        <is>
          <t>II 1,9a</t>
        </is>
      </c>
      <c r="L47" t="inlineStr">
        <is>
          <t>II 1,9a</t>
        </is>
      </c>
      <c r="M47" t="inlineStr"/>
      <c r="N47" t="inlineStr">
        <is>
          <t xml:space="preserve">De laudibus s. Annae : </t>
        </is>
      </c>
      <c r="O47" t="inlineStr">
        <is>
          <t xml:space="preserve"> : </t>
        </is>
      </c>
      <c r="P47" t="inlineStr">
        <is>
          <t>X</t>
        </is>
      </c>
      <c r="Q47" t="inlineStr">
        <is>
          <t>4000,00 EUR</t>
        </is>
      </c>
      <c r="R47" t="inlineStr">
        <is>
          <t>Halbledereinband, Schließen, erhabene Buchbeschläge</t>
        </is>
      </c>
      <c r="S47" t="inlineStr">
        <is>
          <t>bis 25 cm</t>
        </is>
      </c>
      <c r="T47" t="inlineStr">
        <is>
          <t>180°</t>
        </is>
      </c>
      <c r="U47" t="inlineStr">
        <is>
          <t>hohler Rücken</t>
        </is>
      </c>
      <c r="V47" t="inlineStr"/>
      <c r="W47" t="inlineStr">
        <is>
          <t>Kassette</t>
        </is>
      </c>
      <c r="X47" t="inlineStr">
        <is>
          <t>Nein</t>
        </is>
      </c>
      <c r="Y47" t="n">
        <v>2</v>
      </c>
      <c r="Z47" t="inlineStr"/>
      <c r="AA47" t="inlineStr"/>
      <c r="AB47" t="inlineStr"/>
      <c r="AC47" t="inlineStr"/>
      <c r="AD47" t="inlineStr"/>
      <c r="AE47" t="inlineStr"/>
      <c r="AF47" t="inlineStr"/>
      <c r="AG47" t="inlineStr"/>
      <c r="AH47" t="inlineStr"/>
      <c r="AI47" t="inlineStr">
        <is>
          <t>HL</t>
        </is>
      </c>
      <c r="AJ47" t="inlineStr"/>
      <c r="AK47" t="inlineStr">
        <is>
          <t>x</t>
        </is>
      </c>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ja nach</t>
        </is>
      </c>
      <c r="BN47" t="n">
        <v>1</v>
      </c>
      <c r="BO47" t="inlineStr"/>
      <c r="BP47" t="inlineStr">
        <is>
          <t>Wellpappe</t>
        </is>
      </c>
      <c r="BQ47" t="inlineStr"/>
      <c r="BR47" t="inlineStr"/>
      <c r="BS47" t="inlineStr"/>
      <c r="BT47" t="inlineStr"/>
      <c r="BU47" t="inlineStr"/>
      <c r="BV47" t="inlineStr"/>
      <c r="BW47" t="inlineStr"/>
      <c r="BX47" t="inlineStr"/>
      <c r="BY47" t="inlineStr"/>
      <c r="BZ47" t="inlineStr"/>
      <c r="CA47" t="inlineStr">
        <is>
          <t>x</t>
        </is>
      </c>
      <c r="CB47" t="inlineStr"/>
      <c r="CC47" t="inlineStr"/>
      <c r="CD47" t="inlineStr">
        <is>
          <t>v/h</t>
        </is>
      </c>
      <c r="CE47" t="inlineStr"/>
      <c r="CF47" t="inlineStr"/>
      <c r="CG47" t="inlineStr"/>
      <c r="CH47" t="inlineStr"/>
      <c r="CI47" t="inlineStr"/>
      <c r="CJ47" t="inlineStr"/>
      <c r="CK47" t="inlineStr"/>
      <c r="CL47" t="inlineStr"/>
      <c r="CM47" t="n">
        <v>1</v>
      </c>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t>
        </is>
      </c>
      <c r="B48" t="b">
        <v>1</v>
      </c>
      <c r="C48" t="inlineStr"/>
      <c r="D48" t="inlineStr"/>
      <c r="E48" t="n">
        <v>42</v>
      </c>
      <c r="F48">
        <f>HYPERLINK("https://portal.dnb.de/opac.htm?method=simpleSearch&amp;cqlMode=true&amp;query=idn%3D1069138924", "Portal")</f>
        <v/>
      </c>
      <c r="G48" t="inlineStr">
        <is>
          <t>Aaf</t>
        </is>
      </c>
      <c r="H48" t="inlineStr">
        <is>
          <t>L-1494-315503270</t>
        </is>
      </c>
      <c r="I48" t="inlineStr">
        <is>
          <t>1069138924</t>
        </is>
      </c>
      <c r="J48" t="inlineStr">
        <is>
          <t>II 1,9ab</t>
        </is>
      </c>
      <c r="K48" t="inlineStr">
        <is>
          <t>II 1,9ab</t>
        </is>
      </c>
      <c r="L48" t="inlineStr">
        <is>
          <t>II 1,9ab</t>
        </is>
      </c>
      <c r="M48" t="inlineStr"/>
      <c r="N48" t="inlineStr">
        <is>
          <t xml:space="preserve">De laudibus s. Annae : </t>
        </is>
      </c>
      <c r="O48" t="inlineStr">
        <is>
          <t xml:space="preserve"> : </t>
        </is>
      </c>
      <c r="P48" t="inlineStr">
        <is>
          <t>X</t>
        </is>
      </c>
      <c r="Q48" t="inlineStr"/>
      <c r="R48" t="inlineStr">
        <is>
          <t>Pergamentband, Schließen, erhabene Buchbeschläge</t>
        </is>
      </c>
      <c r="S48" t="inlineStr">
        <is>
          <t>bis 25 cm</t>
        </is>
      </c>
      <c r="T48" t="inlineStr">
        <is>
          <t>180°</t>
        </is>
      </c>
      <c r="U48" t="inlineStr">
        <is>
          <t>hohler Rücken, erhabene Illuminationen</t>
        </is>
      </c>
      <c r="V48" t="inlineStr">
        <is>
          <t>nicht auflegen</t>
        </is>
      </c>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Pg</t>
        </is>
      </c>
      <c r="AJ48" t="inlineStr"/>
      <c r="AK48" t="inlineStr">
        <is>
          <t>x</t>
        </is>
      </c>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t>
        </is>
      </c>
      <c r="B49" t="b">
        <v>1</v>
      </c>
      <c r="C49" t="inlineStr"/>
      <c r="D49" t="inlineStr"/>
      <c r="E49" t="n">
        <v>43</v>
      </c>
      <c r="F49">
        <f>HYPERLINK("https://portal.dnb.de/opac.htm?method=simpleSearch&amp;cqlMode=true&amp;query=idn%3D1066968829", "Portal")</f>
        <v/>
      </c>
      <c r="G49" t="inlineStr">
        <is>
          <t>Aaf</t>
        </is>
      </c>
      <c r="H49" t="inlineStr">
        <is>
          <t>L-1494-315499095</t>
        </is>
      </c>
      <c r="I49" t="inlineStr">
        <is>
          <t>1066968829</t>
        </is>
      </c>
      <c r="J49" t="inlineStr">
        <is>
          <t>II 1,9b</t>
        </is>
      </c>
      <c r="K49" t="inlineStr">
        <is>
          <t>II 1,9b</t>
        </is>
      </c>
      <c r="L49" t="inlineStr">
        <is>
          <t>II 1,9b</t>
        </is>
      </c>
      <c r="M49" t="inlineStr"/>
      <c r="N49" t="inlineStr">
        <is>
          <t xml:space="preserve">Lucubratiunculae : </t>
        </is>
      </c>
      <c r="O49" t="inlineStr">
        <is>
          <t xml:space="preserve"> : </t>
        </is>
      </c>
      <c r="P49" t="inlineStr">
        <is>
          <t>X</t>
        </is>
      </c>
      <c r="Q49" t="inlineStr"/>
      <c r="R49" t="inlineStr">
        <is>
          <t>Halbledereinband, Schließen, erhabene Buchbeschläge</t>
        </is>
      </c>
      <c r="S49" t="inlineStr">
        <is>
          <t>bis 25 cm</t>
        </is>
      </c>
      <c r="T49" t="inlineStr">
        <is>
          <t>80° bis 110°, einseitig digitalisierbar?</t>
        </is>
      </c>
      <c r="U49" t="inlineStr">
        <is>
          <t>hohler Rücken, welliger Buchblock, 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HL</t>
        </is>
      </c>
      <c r="AJ49" t="inlineStr"/>
      <c r="AK49" t="inlineStr">
        <is>
          <t>x</t>
        </is>
      </c>
      <c r="AL49" t="inlineStr"/>
      <c r="AM49" t="inlineStr">
        <is>
          <t>h/E</t>
        </is>
      </c>
      <c r="AN49" t="inlineStr"/>
      <c r="AO49" t="inlineStr"/>
      <c r="AP49" t="inlineStr"/>
      <c r="AQ49" t="inlineStr"/>
      <c r="AR49" t="inlineStr"/>
      <c r="AS49" t="inlineStr">
        <is>
          <t>Pa</t>
        </is>
      </c>
      <c r="AT49" t="inlineStr">
        <is>
          <t>x</t>
        </is>
      </c>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t>
        </is>
      </c>
      <c r="B50" t="b">
        <v>1</v>
      </c>
      <c r="C50" t="inlineStr">
        <is>
          <t>x</t>
        </is>
      </c>
      <c r="D50" t="inlineStr"/>
      <c r="E50" t="n">
        <v>44</v>
      </c>
      <c r="F50">
        <f>HYPERLINK("https://portal.dnb.de/opac.htm?method=simpleSearch&amp;cqlMode=true&amp;query=idn%3D1066971781", "Portal")</f>
        <v/>
      </c>
      <c r="G50" t="inlineStr">
        <is>
          <t>Aaf</t>
        </is>
      </c>
      <c r="H50" t="inlineStr">
        <is>
          <t>L-1494-315502177</t>
        </is>
      </c>
      <c r="I50" t="inlineStr">
        <is>
          <t>1066971781</t>
        </is>
      </c>
      <c r="J50" t="inlineStr">
        <is>
          <t>II 1,9c</t>
        </is>
      </c>
      <c r="K50" t="inlineStr">
        <is>
          <t>II 1,9c</t>
        </is>
      </c>
      <c r="L50" t="inlineStr">
        <is>
          <t>II 1,9c</t>
        </is>
      </c>
      <c r="M50" t="inlineStr"/>
      <c r="N50" t="inlineStr">
        <is>
          <t xml:space="preserve">Epigrammata de virtutibus et vitiis : </t>
        </is>
      </c>
      <c r="O50" t="inlineStr">
        <is>
          <t xml:space="preserve"> : </t>
        </is>
      </c>
      <c r="P50" t="inlineStr">
        <is>
          <t>X</t>
        </is>
      </c>
      <c r="Q50" t="inlineStr">
        <is>
          <t>1300,00 EUR</t>
        </is>
      </c>
      <c r="R50" t="inlineStr">
        <is>
          <t>Halbledereinband, Schließen, erhabene Buchbeschläge</t>
        </is>
      </c>
      <c r="S50" t="inlineStr">
        <is>
          <t>bis 25 cm</t>
        </is>
      </c>
      <c r="T50" t="inlineStr">
        <is>
          <t>180°</t>
        </is>
      </c>
      <c r="U50" t="inlineStr">
        <is>
          <t>hohler Rücken, welliger Buchblock, erhabene Illuminationen</t>
        </is>
      </c>
      <c r="V50" t="inlineStr">
        <is>
          <t>nicht auflegen</t>
        </is>
      </c>
      <c r="W50" t="inlineStr">
        <is>
          <t>Kassette</t>
        </is>
      </c>
      <c r="X50" t="inlineStr">
        <is>
          <t>Nein</t>
        </is>
      </c>
      <c r="Y50" t="n">
        <v>0</v>
      </c>
      <c r="Z50" t="inlineStr"/>
      <c r="AA50" t="inlineStr"/>
      <c r="AB50" t="inlineStr"/>
      <c r="AC50" t="inlineStr"/>
      <c r="AD50" t="inlineStr"/>
      <c r="AE50" t="inlineStr"/>
      <c r="AF50" t="inlineStr"/>
      <c r="AG50" t="inlineStr"/>
      <c r="AH50" t="inlineStr"/>
      <c r="AI50" t="inlineStr">
        <is>
          <t>HL</t>
        </is>
      </c>
      <c r="AJ50" t="inlineStr"/>
      <c r="AK50" t="inlineStr">
        <is>
          <t>x</t>
        </is>
      </c>
      <c r="AL50" t="inlineStr"/>
      <c r="AM50" t="inlineStr">
        <is>
          <t>h/E</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is>
          <t>I/R</t>
        </is>
      </c>
      <c r="BD50" t="inlineStr">
        <is>
          <t>x</t>
        </is>
      </c>
      <c r="BE50" t="inlineStr"/>
      <c r="BF50" t="inlineStr"/>
      <c r="BG50" t="n">
        <v>110</v>
      </c>
      <c r="BH50" t="inlineStr"/>
      <c r="BI50" t="inlineStr"/>
      <c r="BJ50" t="inlineStr"/>
      <c r="BK50" t="inlineStr"/>
      <c r="BL50" t="inlineStr"/>
      <c r="BM50" t="inlineStr">
        <is>
          <t>ja nach</t>
        </is>
      </c>
      <c r="BN50" t="n">
        <v>2</v>
      </c>
      <c r="BO50" t="inlineStr"/>
      <c r="BP50" t="inlineStr">
        <is>
          <t>Wellpappe</t>
        </is>
      </c>
      <c r="BQ50" t="inlineStr"/>
      <c r="BR50" t="inlineStr"/>
      <c r="BS50" t="inlineStr"/>
      <c r="BT50" t="inlineStr"/>
      <c r="BU50" t="inlineStr"/>
      <c r="BV50" t="inlineStr"/>
      <c r="BW50" t="inlineStr"/>
      <c r="BX50" t="inlineStr"/>
      <c r="BY50" t="inlineStr"/>
      <c r="BZ50" t="inlineStr"/>
      <c r="CA50" t="inlineStr">
        <is>
          <t>x</t>
        </is>
      </c>
      <c r="CB50" t="inlineStr"/>
      <c r="CC50" t="inlineStr"/>
      <c r="CD50" t="inlineStr">
        <is>
          <t>v/h</t>
        </is>
      </c>
      <c r="CE50" t="inlineStr"/>
      <c r="CF50" t="inlineStr"/>
      <c r="CG50" t="inlineStr"/>
      <c r="CH50" t="inlineStr"/>
      <c r="CI50" t="inlineStr"/>
      <c r="CJ50" t="inlineStr"/>
      <c r="CK50" t="inlineStr"/>
      <c r="CL50" t="inlineStr"/>
      <c r="CM50" t="n">
        <v>2</v>
      </c>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t>
        </is>
      </c>
      <c r="B51" t="b">
        <v>1</v>
      </c>
      <c r="C51" t="inlineStr"/>
      <c r="D51" t="inlineStr"/>
      <c r="E51" t="n">
        <v>45</v>
      </c>
      <c r="F51">
        <f>HYPERLINK("https://portal.dnb.de/opac.htm?method=simpleSearch&amp;cqlMode=true&amp;query=idn%3D1066972869", "Portal")</f>
        <v/>
      </c>
      <c r="G51" t="inlineStr">
        <is>
          <t>Aaf</t>
        </is>
      </c>
      <c r="H51" t="inlineStr">
        <is>
          <t>L-1494-315503254</t>
        </is>
      </c>
      <c r="I51" t="inlineStr">
        <is>
          <t>1066972869</t>
        </is>
      </c>
      <c r="J51" t="inlineStr">
        <is>
          <t>II 1,9d</t>
        </is>
      </c>
      <c r="K51" t="inlineStr">
        <is>
          <t>II 1,9d</t>
        </is>
      </c>
      <c r="L51" t="inlineStr">
        <is>
          <t>II 1,9d</t>
        </is>
      </c>
      <c r="M51" t="inlineStr"/>
      <c r="N51" t="inlineStr">
        <is>
          <t xml:space="preserve">De laude scriptorum : </t>
        </is>
      </c>
      <c r="O51" t="inlineStr">
        <is>
          <t xml:space="preserve"> : </t>
        </is>
      </c>
      <c r="P51" t="inlineStr">
        <is>
          <t>X</t>
        </is>
      </c>
      <c r="Q51" t="inlineStr"/>
      <c r="R51" t="inlineStr">
        <is>
          <t>Halbledereinband, Schließen, erhabene Buchbeschläge</t>
        </is>
      </c>
      <c r="S51" t="inlineStr">
        <is>
          <t>bis 25 cm</t>
        </is>
      </c>
      <c r="T51" t="inlineStr"/>
      <c r="U51" t="inlineStr">
        <is>
          <t>hohler Rücken, erhabene Illuminationen</t>
        </is>
      </c>
      <c r="V51" t="inlineStr">
        <is>
          <t>nicht auflegen</t>
        </is>
      </c>
      <c r="W51" t="inlineStr">
        <is>
          <t>Kassette</t>
        </is>
      </c>
      <c r="X51" t="inlineStr">
        <is>
          <t>Nein</t>
        </is>
      </c>
      <c r="Y51" t="n">
        <v>0</v>
      </c>
      <c r="Z51" t="inlineStr"/>
      <c r="AA51" t="inlineStr"/>
      <c r="AB51" t="inlineStr"/>
      <c r="AC51" t="inlineStr"/>
      <c r="AD51" t="inlineStr"/>
      <c r="AE51" t="inlineStr"/>
      <c r="AF51" t="inlineStr"/>
      <c r="AG51" t="inlineStr"/>
      <c r="AH51" t="inlineStr"/>
      <c r="AI51" t="inlineStr">
        <is>
          <t>HL</t>
        </is>
      </c>
      <c r="AJ51" t="inlineStr"/>
      <c r="AK51" t="inlineStr">
        <is>
          <t>x</t>
        </is>
      </c>
      <c r="AL51" t="inlineStr"/>
      <c r="AM51" t="inlineStr">
        <is>
          <t>h/E</t>
        </is>
      </c>
      <c r="AN51" t="inlineStr"/>
      <c r="AO51" t="inlineStr"/>
      <c r="AP51" t="inlineStr"/>
      <c r="AQ51" t="inlineStr"/>
      <c r="AR51" t="inlineStr"/>
      <c r="AS51" t="inlineStr">
        <is>
          <t>Pa</t>
        </is>
      </c>
      <c r="AT51" t="inlineStr">
        <is>
          <t>x</t>
        </is>
      </c>
      <c r="AU51" t="inlineStr"/>
      <c r="AV51" t="inlineStr"/>
      <c r="AW51" t="inlineStr"/>
      <c r="AX51" t="inlineStr"/>
      <c r="AY51" t="inlineStr"/>
      <c r="AZ51" t="inlineStr"/>
      <c r="BA51" t="inlineStr"/>
      <c r="BB51" t="inlineStr"/>
      <c r="BC51" t="inlineStr">
        <is>
          <t>I/R</t>
        </is>
      </c>
      <c r="BD51" t="inlineStr">
        <is>
          <t>x</t>
        </is>
      </c>
      <c r="BE51" t="inlineStr"/>
      <c r="BF51" t="inlineStr"/>
      <c r="BG51" t="n">
        <v>110</v>
      </c>
      <c r="BH51" t="inlineStr"/>
      <c r="BI51" t="inlineStr"/>
      <c r="BJ51" t="inlineStr"/>
      <c r="BK51" t="inlineStr"/>
      <c r="BL51" t="inlineStr"/>
      <c r="BM51" t="inlineStr">
        <is>
          <t>n</t>
        </is>
      </c>
      <c r="BN51" t="n">
        <v>0</v>
      </c>
      <c r="BO51" t="inlineStr"/>
      <c r="BP51" t="inlineStr">
        <is>
          <t>Wellpappe</t>
        </is>
      </c>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t>
        </is>
      </c>
      <c r="B52" t="b">
        <v>1</v>
      </c>
      <c r="C52" t="inlineStr"/>
      <c r="D52" t="inlineStr"/>
      <c r="E52" t="n">
        <v>46</v>
      </c>
      <c r="F52">
        <f>HYPERLINK("https://portal.dnb.de/opac.htm?method=simpleSearch&amp;cqlMode=true&amp;query=idn%3D1066970505", "Portal")</f>
        <v/>
      </c>
      <c r="G52" t="inlineStr">
        <is>
          <t>Aaf</t>
        </is>
      </c>
      <c r="H52" t="inlineStr">
        <is>
          <t>L-1495-315500867</t>
        </is>
      </c>
      <c r="I52" t="inlineStr">
        <is>
          <t>1066970505</t>
        </is>
      </c>
      <c r="J52" t="inlineStr">
        <is>
          <t>II 1,9e</t>
        </is>
      </c>
      <c r="K52" t="inlineStr">
        <is>
          <t>II 1,9e</t>
        </is>
      </c>
      <c r="L52" t="inlineStr">
        <is>
          <t>II 1,9e</t>
        </is>
      </c>
      <c r="M52" t="inlineStr"/>
      <c r="N52" t="inlineStr">
        <is>
          <t xml:space="preserve">De fraternitate et rosario beatae Mariae virginis : </t>
        </is>
      </c>
      <c r="O52" t="inlineStr">
        <is>
          <t xml:space="preserve"> : </t>
        </is>
      </c>
      <c r="P52" t="inlineStr">
        <is>
          <t>X</t>
        </is>
      </c>
      <c r="Q52" t="inlineStr"/>
      <c r="R52" t="inlineStr">
        <is>
          <t>Halbledereinband, Schließen, erhabene Buchbeschläge</t>
        </is>
      </c>
      <c r="S52" t="inlineStr">
        <is>
          <t>bis 25 cm</t>
        </is>
      </c>
      <c r="T52" t="inlineStr"/>
      <c r="U52" t="inlineStr">
        <is>
          <t>hohler Rücken, erhabene Illuminationen</t>
        </is>
      </c>
      <c r="V52" t="inlineStr">
        <is>
          <t>nicht auflegen</t>
        </is>
      </c>
      <c r="W52" t="inlineStr">
        <is>
          <t>Kassette</t>
        </is>
      </c>
      <c r="X52" t="inlineStr">
        <is>
          <t>Nein</t>
        </is>
      </c>
      <c r="Y52" t="n">
        <v>0</v>
      </c>
      <c r="Z52" t="inlineStr"/>
      <c r="AA52" t="inlineStr"/>
      <c r="AB52" t="inlineStr"/>
      <c r="AC52" t="inlineStr"/>
      <c r="AD52" t="inlineStr"/>
      <c r="AE52" t="inlineStr"/>
      <c r="AF52" t="inlineStr"/>
      <c r="AG52" t="inlineStr"/>
      <c r="AH52" t="inlineStr"/>
      <c r="AI52" t="inlineStr">
        <is>
          <t>HL</t>
        </is>
      </c>
      <c r="AJ52" t="inlineStr"/>
      <c r="AK52" t="inlineStr">
        <is>
          <t>x</t>
        </is>
      </c>
      <c r="AL52" t="inlineStr"/>
      <c r="AM52" t="inlineStr">
        <is>
          <t>h/E</t>
        </is>
      </c>
      <c r="AN52" t="inlineStr"/>
      <c r="AO52" t="inlineStr"/>
      <c r="AP52" t="inlineStr"/>
      <c r="AQ52" t="inlineStr"/>
      <c r="AR52" t="inlineStr"/>
      <c r="AS52" t="inlineStr">
        <is>
          <t>Pa</t>
        </is>
      </c>
      <c r="AT52" t="inlineStr">
        <is>
          <t>x</t>
        </is>
      </c>
      <c r="AU52" t="inlineStr"/>
      <c r="AV52" t="inlineStr"/>
      <c r="AW52" t="inlineStr"/>
      <c r="AX52" t="inlineStr"/>
      <c r="AY52" t="inlineStr"/>
      <c r="AZ52" t="inlineStr"/>
      <c r="BA52" t="inlineStr"/>
      <c r="BB52" t="inlineStr"/>
      <c r="BC52" t="inlineStr"/>
      <c r="BD52" t="inlineStr"/>
      <c r="BE52" t="inlineStr"/>
      <c r="BF52" t="inlineStr"/>
      <c r="BG52" t="n">
        <v>110</v>
      </c>
      <c r="BH52" t="inlineStr"/>
      <c r="BI52" t="inlineStr"/>
      <c r="BJ52" t="inlineStr"/>
      <c r="BK52" t="inlineStr"/>
      <c r="BL52" t="inlineStr"/>
      <c r="BM52" t="inlineStr">
        <is>
          <t>n</t>
        </is>
      </c>
      <c r="BN52" t="n">
        <v>0</v>
      </c>
      <c r="BO52" t="inlineStr"/>
      <c r="BP52" t="inlineStr">
        <is>
          <t>Gewebe</t>
        </is>
      </c>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t>
        </is>
      </c>
      <c r="B53" t="b">
        <v>1</v>
      </c>
      <c r="C53" t="inlineStr"/>
      <c r="D53" t="inlineStr"/>
      <c r="E53" t="n">
        <v>47</v>
      </c>
      <c r="F53">
        <f>HYPERLINK("https://portal.dnb.de/opac.htm?method=simpleSearch&amp;cqlMode=true&amp;query=idn%3D1066972893", "Portal")</f>
        <v/>
      </c>
      <c r="G53" t="inlineStr">
        <is>
          <t>Aaf</t>
        </is>
      </c>
      <c r="H53" t="inlineStr">
        <is>
          <t>L-1495-315503289</t>
        </is>
      </c>
      <c r="I53" t="inlineStr">
        <is>
          <t>1066972893</t>
        </is>
      </c>
      <c r="J53" t="inlineStr">
        <is>
          <t>II 1,9f</t>
        </is>
      </c>
      <c r="K53" t="inlineStr">
        <is>
          <t>II 1,9f</t>
        </is>
      </c>
      <c r="L53" t="inlineStr">
        <is>
          <t>II 1,9f</t>
        </is>
      </c>
      <c r="M53" t="inlineStr"/>
      <c r="N53" t="inlineStr">
        <is>
          <t xml:space="preserve">De proprietate monachorum : </t>
        </is>
      </c>
      <c r="O53" t="inlineStr">
        <is>
          <t xml:space="preserve"> : </t>
        </is>
      </c>
      <c r="P53" t="inlineStr">
        <is>
          <t>X</t>
        </is>
      </c>
      <c r="Q53" t="inlineStr"/>
      <c r="R53" t="inlineStr">
        <is>
          <t>Pergamentband, Schließen, erhabene Buchbeschläge</t>
        </is>
      </c>
      <c r="S53" t="inlineStr">
        <is>
          <t>bis 25 cm</t>
        </is>
      </c>
      <c r="T53" t="inlineStr">
        <is>
          <t>180°</t>
        </is>
      </c>
      <c r="U53" t="inlineStr">
        <is>
          <t>hohler Rücken, erhabene Illuminationen</t>
        </is>
      </c>
      <c r="V53" t="inlineStr">
        <is>
          <t>nicht auflegen</t>
        </is>
      </c>
      <c r="W53" t="inlineStr">
        <is>
          <t>Kassette</t>
        </is>
      </c>
      <c r="X53" t="inlineStr">
        <is>
          <t>Nein</t>
        </is>
      </c>
      <c r="Y53" t="n">
        <v>1</v>
      </c>
      <c r="Z53" t="inlineStr"/>
      <c r="AA53" t="inlineStr"/>
      <c r="AB53" t="inlineStr"/>
      <c r="AC53" t="inlineStr"/>
      <c r="AD53" t="inlineStr"/>
      <c r="AE53" t="inlineStr"/>
      <c r="AF53" t="inlineStr"/>
      <c r="AG53" t="inlineStr"/>
      <c r="AH53" t="inlineStr"/>
      <c r="AI53" t="inlineStr">
        <is>
          <t>Pg</t>
        </is>
      </c>
      <c r="AJ53" t="inlineStr"/>
      <c r="AK53" t="inlineStr">
        <is>
          <t>x</t>
        </is>
      </c>
      <c r="AL53" t="inlineStr"/>
      <c r="AM53" t="inlineStr">
        <is>
          <t>h</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is>
          <t>I/R</t>
        </is>
      </c>
      <c r="BD53" t="inlineStr">
        <is>
          <t>x</t>
        </is>
      </c>
      <c r="BE53" t="inlineStr"/>
      <c r="BF53" t="inlineStr"/>
      <c r="BG53" t="n">
        <v>110</v>
      </c>
      <c r="BH53" t="inlineStr"/>
      <c r="BI53" t="inlineStr"/>
      <c r="BJ53" t="inlineStr"/>
      <c r="BK53" t="inlineStr"/>
      <c r="BL53" t="inlineStr"/>
      <c r="BM53" t="inlineStr">
        <is>
          <t>n</t>
        </is>
      </c>
      <c r="BN53" t="n">
        <v>0</v>
      </c>
      <c r="BO53" t="inlineStr"/>
      <c r="BP53" t="inlineStr">
        <is>
          <t>Wellpappe</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t>
        </is>
      </c>
      <c r="B54" t="b">
        <v>1</v>
      </c>
      <c r="C54" t="inlineStr"/>
      <c r="D54" t="inlineStr"/>
      <c r="E54" t="n">
        <v>48</v>
      </c>
      <c r="F54">
        <f>HYPERLINK("https://portal.dnb.de/opac.htm?method=simpleSearch&amp;cqlMode=true&amp;query=idn%3D1066972958", "Portal")</f>
        <v/>
      </c>
      <c r="G54" t="inlineStr">
        <is>
          <t>Aaf</t>
        </is>
      </c>
      <c r="H54" t="inlineStr">
        <is>
          <t>L-1495-315503335</t>
        </is>
      </c>
      <c r="I54" t="inlineStr">
        <is>
          <t>1066972958</t>
        </is>
      </c>
      <c r="J54" t="inlineStr">
        <is>
          <t>II 1,9g</t>
        </is>
      </c>
      <c r="K54" t="inlineStr">
        <is>
          <t>II 1,9g</t>
        </is>
      </c>
      <c r="L54" t="inlineStr">
        <is>
          <t>II 1,9g</t>
        </is>
      </c>
      <c r="M54" t="inlineStr"/>
      <c r="N54" t="inlineStr">
        <is>
          <t xml:space="preserve">De vanitate et miseria vitae humanae : </t>
        </is>
      </c>
      <c r="O54" t="inlineStr">
        <is>
          <t xml:space="preserve"> : </t>
        </is>
      </c>
      <c r="P54" t="inlineStr">
        <is>
          <t>X</t>
        </is>
      </c>
      <c r="Q54" t="inlineStr"/>
      <c r="R54" t="inlineStr">
        <is>
          <t>Pergamentband, Schließen, erhabene Buchbeschläge</t>
        </is>
      </c>
      <c r="S54" t="inlineStr">
        <is>
          <t>bis 25 cm</t>
        </is>
      </c>
      <c r="T54" t="inlineStr">
        <is>
          <t>180°</t>
        </is>
      </c>
      <c r="U54" t="inlineStr">
        <is>
          <t>hohler Rücken, erhabene Illuminationen</t>
        </is>
      </c>
      <c r="V54" t="inlineStr">
        <is>
          <t>nicht auflegen</t>
        </is>
      </c>
      <c r="W54" t="inlineStr">
        <is>
          <t>Kassette</t>
        </is>
      </c>
      <c r="X54" t="inlineStr">
        <is>
          <t>Nein</t>
        </is>
      </c>
      <c r="Y54" t="n">
        <v>0</v>
      </c>
      <c r="Z54" t="inlineStr"/>
      <c r="AA54" t="inlineStr"/>
      <c r="AB54" t="inlineStr"/>
      <c r="AC54" t="inlineStr"/>
      <c r="AD54" t="inlineStr"/>
      <c r="AE54" t="inlineStr"/>
      <c r="AF54" t="inlineStr"/>
      <c r="AG54" t="inlineStr"/>
      <c r="AH54" t="inlineStr"/>
      <c r="AI54" t="inlineStr">
        <is>
          <t>Pg</t>
        </is>
      </c>
      <c r="AJ54" t="inlineStr"/>
      <c r="AK54" t="inlineStr">
        <is>
          <t>x</t>
        </is>
      </c>
      <c r="AL54" t="inlineStr"/>
      <c r="AM54" t="inlineStr">
        <is>
          <t>h</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is>
          <t>I/R</t>
        </is>
      </c>
      <c r="BD54" t="inlineStr">
        <is>
          <t>x</t>
        </is>
      </c>
      <c r="BE54" t="inlineStr"/>
      <c r="BF54" t="inlineStr"/>
      <c r="BG54" t="n">
        <v>180</v>
      </c>
      <c r="BH54" t="inlineStr"/>
      <c r="BI54" t="inlineStr"/>
      <c r="BJ54" t="inlineStr"/>
      <c r="BK54" t="inlineStr"/>
      <c r="BL54" t="inlineStr"/>
      <c r="BM54" t="inlineStr">
        <is>
          <t>n</t>
        </is>
      </c>
      <c r="BN54" t="n">
        <v>0</v>
      </c>
      <c r="BO54" t="inlineStr"/>
      <c r="BP54" t="inlineStr">
        <is>
          <t>Wellpappe</t>
        </is>
      </c>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t>
        </is>
      </c>
      <c r="B55" t="b">
        <v>1</v>
      </c>
      <c r="C55" t="inlineStr"/>
      <c r="D55" t="inlineStr"/>
      <c r="E55" t="inlineStr"/>
      <c r="F55">
        <f>HYPERLINK("https://portal.dnb.de/opac.htm?method=simpleSearch&amp;cqlMode=true&amp;query=idn%3D126894694X", "Portal")</f>
        <v/>
      </c>
      <c r="G55" t="inlineStr">
        <is>
          <t>Qd</t>
        </is>
      </c>
      <c r="H55" t="inlineStr">
        <is>
          <t>L-1493-834329093</t>
        </is>
      </c>
      <c r="I55" t="inlineStr">
        <is>
          <t>126894694X</t>
        </is>
      </c>
      <c r="J55" t="inlineStr">
        <is>
          <t>II 1,9i</t>
        </is>
      </c>
      <c r="K55" t="inlineStr">
        <is>
          <t>II 1,9i</t>
        </is>
      </c>
      <c r="L55" t="inlineStr">
        <is>
          <t>II 1,9i</t>
        </is>
      </c>
      <c r="M55" t="inlineStr"/>
      <c r="N55" t="inlineStr">
        <is>
          <t xml:space="preserve">Sammelband mit zwei Inkunabeln, gedruckt in Mainz : </t>
        </is>
      </c>
      <c r="O55" t="inlineStr">
        <is>
          <t xml:space="preserve"> : </t>
        </is>
      </c>
      <c r="P55" t="inlineStr">
        <is>
          <t>X</t>
        </is>
      </c>
      <c r="Q55" t="inlineStr"/>
      <c r="R55" t="inlineStr">
        <is>
          <t>Ledereinband</t>
        </is>
      </c>
      <c r="S55" t="inlineStr">
        <is>
          <t>bis 25 cm</t>
        </is>
      </c>
      <c r="T55" t="inlineStr">
        <is>
          <t>80° bis 110°, einseitig digitalisierbar?</t>
        </is>
      </c>
      <c r="U55" t="inlineStr">
        <is>
          <t>hohler Rücken, erhabene Illuminationen</t>
        </is>
      </c>
      <c r="V55" t="inlineStr">
        <is>
          <t>nicht auflegen</t>
        </is>
      </c>
      <c r="W55" t="inlineStr">
        <is>
          <t>Kassette</t>
        </is>
      </c>
      <c r="X55" t="inlineStr">
        <is>
          <t>Nein</t>
        </is>
      </c>
      <c r="Y55" t="n">
        <v>0</v>
      </c>
      <c r="Z55" t="inlineStr"/>
      <c r="AA55" t="inlineStr"/>
      <c r="AB55" t="inlineStr"/>
      <c r="AC55" t="inlineStr"/>
      <c r="AD55" t="inlineStr"/>
      <c r="AE55" t="inlineStr"/>
      <c r="AF55" t="inlineStr"/>
      <c r="AG55" t="inlineStr"/>
      <c r="AH55" t="inlineStr"/>
      <c r="AI55" t="inlineStr">
        <is>
          <t>L</t>
        </is>
      </c>
      <c r="AJ55" t="inlineStr"/>
      <c r="AK55" t="inlineStr">
        <is>
          <t>x</t>
        </is>
      </c>
      <c r="AL55" t="inlineStr"/>
      <c r="AM55" t="inlineStr">
        <is>
          <t>h/E</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is>
          <t>I/R</t>
        </is>
      </c>
      <c r="BD55" t="inlineStr">
        <is>
          <t>x</t>
        </is>
      </c>
      <c r="BE55" t="inlineStr"/>
      <c r="BF55" t="inlineStr"/>
      <c r="BG55" t="n">
        <v>110</v>
      </c>
      <c r="BH55" t="inlineStr"/>
      <c r="BI55" t="inlineStr"/>
      <c r="BJ55" t="inlineStr"/>
      <c r="BK55" t="inlineStr"/>
      <c r="BL55" t="inlineStr"/>
      <c r="BM55" t="inlineStr">
        <is>
          <t>n</t>
        </is>
      </c>
      <c r="BN55" t="n">
        <v>0</v>
      </c>
      <c r="BO55" t="inlineStr"/>
      <c r="BP55" t="inlineStr">
        <is>
          <t>Wellpappe</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t>
        </is>
      </c>
      <c r="B56" t="b">
        <v>1</v>
      </c>
      <c r="C56" t="inlineStr"/>
      <c r="D56" t="inlineStr"/>
      <c r="E56" t="n">
        <v>51</v>
      </c>
      <c r="F56">
        <f>HYPERLINK("https://portal.dnb.de/opac.htm?method=simpleSearch&amp;cqlMode=true&amp;query=idn%3D1066972907", "Portal")</f>
        <v/>
      </c>
      <c r="G56" t="inlineStr">
        <is>
          <t>Aaf</t>
        </is>
      </c>
      <c r="H56" t="inlineStr">
        <is>
          <t>L-1493-315503297</t>
        </is>
      </c>
      <c r="I56" t="inlineStr">
        <is>
          <t>1066972907</t>
        </is>
      </c>
      <c r="J56" t="inlineStr">
        <is>
          <t>II 1,9k</t>
        </is>
      </c>
      <c r="K56" t="inlineStr">
        <is>
          <t>II 1,9k</t>
        </is>
      </c>
      <c r="L56" t="inlineStr">
        <is>
          <t>II 1,9k</t>
        </is>
      </c>
      <c r="M56" t="inlineStr"/>
      <c r="N56" t="inlineStr">
        <is>
          <t xml:space="preserve">De republica ecclesiae et monachorum ordinis divi patris Benedicti, Köln, 1. September 1493 : </t>
        </is>
      </c>
      <c r="O56" t="inlineStr">
        <is>
          <t xml:space="preserve"> : </t>
        </is>
      </c>
      <c r="P56" t="inlineStr">
        <is>
          <t>X</t>
        </is>
      </c>
      <c r="Q56" t="inlineStr"/>
      <c r="R56" t="inlineStr">
        <is>
          <t>Pergamentband</t>
        </is>
      </c>
      <c r="S56" t="inlineStr">
        <is>
          <t>bis 25 cm</t>
        </is>
      </c>
      <c r="T56" t="inlineStr">
        <is>
          <t>80° bis 110°, einseitig digitalisierbar?</t>
        </is>
      </c>
      <c r="U56" t="inlineStr">
        <is>
          <t>erhabene Illuminationen</t>
        </is>
      </c>
      <c r="V56" t="inlineStr">
        <is>
          <t>nicht auflegen</t>
        </is>
      </c>
      <c r="W56" t="inlineStr">
        <is>
          <t>Kassette</t>
        </is>
      </c>
      <c r="X56" t="inlineStr">
        <is>
          <t>Nein</t>
        </is>
      </c>
      <c r="Y56" t="n">
        <v>0</v>
      </c>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t>
        </is>
      </c>
      <c r="B57" t="b">
        <v>1</v>
      </c>
      <c r="C57" t="inlineStr"/>
      <c r="D57" t="inlineStr"/>
      <c r="E57" t="n">
        <v>52</v>
      </c>
      <c r="F57">
        <f>HYPERLINK("https://portal.dnb.de/opac.htm?method=simpleSearch&amp;cqlMode=true&amp;query=idn%3D1072051036", "Portal")</f>
        <v/>
      </c>
      <c r="G57" t="inlineStr">
        <is>
          <t>Aa</t>
        </is>
      </c>
      <c r="H57" t="inlineStr">
        <is>
          <t>L-1497-326851682</t>
        </is>
      </c>
      <c r="I57" t="inlineStr">
        <is>
          <t>1072051036</t>
        </is>
      </c>
      <c r="J57" t="inlineStr">
        <is>
          <t>II 1,9l</t>
        </is>
      </c>
      <c r="K57" t="inlineStr">
        <is>
          <t>II 1,9l</t>
        </is>
      </c>
      <c r="L57" t="inlineStr">
        <is>
          <t>II 1,9l</t>
        </is>
      </c>
      <c r="M57" t="inlineStr"/>
      <c r="N57" t="inlineStr">
        <is>
          <t xml:space="preserve">De  operatione divini amoris : </t>
        </is>
      </c>
      <c r="O57" t="inlineStr">
        <is>
          <t xml:space="preserve"> : </t>
        </is>
      </c>
      <c r="P57" t="inlineStr">
        <is>
          <t>X</t>
        </is>
      </c>
      <c r="Q57" t="inlineStr"/>
      <c r="R57" t="inlineStr">
        <is>
          <t>Halbledereinband, Schließen, erhabene Buchbeschläge</t>
        </is>
      </c>
      <c r="S57" t="inlineStr">
        <is>
          <t>bis 25 cm</t>
        </is>
      </c>
      <c r="T57" t="inlineStr">
        <is>
          <t>80° bis 110°, einseitig digitalisierbar?</t>
        </is>
      </c>
      <c r="U57" t="inlineStr">
        <is>
          <t>fester Rücken mit Schmuckprägung</t>
        </is>
      </c>
      <c r="V57" t="inlineStr"/>
      <c r="W57" t="inlineStr">
        <is>
          <t>Kassette</t>
        </is>
      </c>
      <c r="X57" t="inlineStr">
        <is>
          <t>Nein</t>
        </is>
      </c>
      <c r="Y57" t="n">
        <v>1</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t>
        </is>
      </c>
      <c r="B58" t="b">
        <v>1</v>
      </c>
      <c r="C58" t="inlineStr"/>
      <c r="D58" t="inlineStr"/>
      <c r="E58" t="n">
        <v>53</v>
      </c>
      <c r="F58">
        <f>HYPERLINK("https://portal.dnb.de/opac.htm?method=simpleSearch&amp;cqlMode=true&amp;query=idn%3D1066972923", "Portal")</f>
        <v/>
      </c>
      <c r="G58" t="inlineStr">
        <is>
          <t>Aaf</t>
        </is>
      </c>
      <c r="H58" t="inlineStr">
        <is>
          <t>L-1493-315503300</t>
        </is>
      </c>
      <c r="I58" t="inlineStr">
        <is>
          <t>1066972923</t>
        </is>
      </c>
      <c r="J58" t="inlineStr">
        <is>
          <t>II 1,9m - 1. Ex.</t>
        </is>
      </c>
      <c r="K58" t="inlineStr">
        <is>
          <t>II 1,9m - 1. Ex.</t>
        </is>
      </c>
      <c r="L58" t="inlineStr">
        <is>
          <t>II 1,9m - 1. Ex.</t>
        </is>
      </c>
      <c r="M58" t="inlineStr"/>
      <c r="N58" t="inlineStr">
        <is>
          <t xml:space="preserve">De statu et ruina monastici ordinis : </t>
        </is>
      </c>
      <c r="O58" t="inlineStr">
        <is>
          <t xml:space="preserve"> : </t>
        </is>
      </c>
      <c r="P58" t="inlineStr">
        <is>
          <t>X</t>
        </is>
      </c>
      <c r="Q58" t="inlineStr"/>
      <c r="R58" t="inlineStr">
        <is>
          <t>Halbledereinband, Schließen, erhabene Buchbeschläge</t>
        </is>
      </c>
      <c r="S58" t="inlineStr">
        <is>
          <t>bis 25 cm</t>
        </is>
      </c>
      <c r="T58" t="inlineStr">
        <is>
          <t>80° bis 110°, einseitig digitalisierbar?</t>
        </is>
      </c>
      <c r="U58" t="inlineStr">
        <is>
          <t>fester Rücken mit Schmuckprägung</t>
        </is>
      </c>
      <c r="V58" t="inlineStr"/>
      <c r="W58" t="inlineStr">
        <is>
          <t>Kassette</t>
        </is>
      </c>
      <c r="X58" t="inlineStr">
        <is>
          <t>Nein</t>
        </is>
      </c>
      <c r="Y58" t="n">
        <v>1</v>
      </c>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t>
        </is>
      </c>
      <c r="B59" t="b">
        <v>1</v>
      </c>
      <c r="C59" t="inlineStr"/>
      <c r="D59" t="inlineStr"/>
      <c r="E59" t="n">
        <v>54</v>
      </c>
      <c r="F59">
        <f>HYPERLINK("https://portal.dnb.de/opac.htm?method=simpleSearch&amp;cqlMode=true&amp;query=idn%3D1066972923", "Portal")</f>
        <v/>
      </c>
      <c r="G59" t="inlineStr">
        <is>
          <t>Aaf</t>
        </is>
      </c>
      <c r="H59" t="inlineStr">
        <is>
          <t>L-1493-478322305</t>
        </is>
      </c>
      <c r="I59" t="inlineStr">
        <is>
          <t>1066972923</t>
        </is>
      </c>
      <c r="J59" t="inlineStr">
        <is>
          <t>II 1,9m - 2. Ex.</t>
        </is>
      </c>
      <c r="K59" t="inlineStr">
        <is>
          <t>II 1,9m - 2. Ex.</t>
        </is>
      </c>
      <c r="L59" t="inlineStr">
        <is>
          <t>II 1,9m - 2. Ex.</t>
        </is>
      </c>
      <c r="M59" t="inlineStr"/>
      <c r="N59" t="inlineStr">
        <is>
          <t xml:space="preserve">De statu et ruina monastici ordinis : </t>
        </is>
      </c>
      <c r="O59" t="inlineStr">
        <is>
          <t xml:space="preserve"> : </t>
        </is>
      </c>
      <c r="P59" t="inlineStr">
        <is>
          <t>X</t>
        </is>
      </c>
      <c r="Q59" t="inlineStr"/>
      <c r="R59" t="inlineStr">
        <is>
          <t>Pergamentband, Schließen, erhabene Buchbeschläge</t>
        </is>
      </c>
      <c r="S59" t="inlineStr">
        <is>
          <t>bis 25 cm</t>
        </is>
      </c>
      <c r="T59" t="inlineStr">
        <is>
          <t>80° bis 110°, einseitig digitalisierbar?</t>
        </is>
      </c>
      <c r="U59" t="inlineStr">
        <is>
          <t>hohler Rücken</t>
        </is>
      </c>
      <c r="V59" t="inlineStr"/>
      <c r="W59" t="inlineStr">
        <is>
          <t>Kassette</t>
        </is>
      </c>
      <c r="X59" t="inlineStr">
        <is>
          <t>Nein</t>
        </is>
      </c>
      <c r="Y59" t="n">
        <v>0</v>
      </c>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t>
        </is>
      </c>
      <c r="B60" t="b">
        <v>1</v>
      </c>
      <c r="C60" t="inlineStr"/>
      <c r="D60" t="inlineStr"/>
      <c r="E60" t="n">
        <v>56</v>
      </c>
      <c r="F60">
        <f>HYPERLINK("https://portal.dnb.de/opac.htm?method=simpleSearch&amp;cqlMode=true&amp;query=idn%3D1066966923", "Portal")</f>
        <v/>
      </c>
      <c r="G60" t="inlineStr">
        <is>
          <t>Aaf</t>
        </is>
      </c>
      <c r="H60" t="inlineStr">
        <is>
          <t>L-1468-31549722X</t>
        </is>
      </c>
      <c r="I60" t="inlineStr">
        <is>
          <t>1066966923</t>
        </is>
      </c>
      <c r="J60" t="inlineStr">
        <is>
          <t>II 2,1a</t>
        </is>
      </c>
      <c r="K60" t="inlineStr">
        <is>
          <t>II 2,1a</t>
        </is>
      </c>
      <c r="L60" t="inlineStr">
        <is>
          <t>II 2,1a</t>
        </is>
      </c>
      <c r="M60" t="inlineStr"/>
      <c r="N60" t="inlineStr">
        <is>
          <t xml:space="preserve">Meditationes vitae Christi : </t>
        </is>
      </c>
      <c r="O60" t="inlineStr">
        <is>
          <t xml:space="preserve"> : </t>
        </is>
      </c>
      <c r="P60" t="inlineStr">
        <is>
          <t>X</t>
        </is>
      </c>
      <c r="Q60" t="inlineStr"/>
      <c r="R60" t="inlineStr">
        <is>
          <t>Ledereinband, Schließen, erhabene Buchbeschläge</t>
        </is>
      </c>
      <c r="S60" t="inlineStr">
        <is>
          <t>bis 35 cm</t>
        </is>
      </c>
      <c r="T60" t="inlineStr">
        <is>
          <t>80° bis 110°, einseitig digitalisierbar?</t>
        </is>
      </c>
      <c r="U60" t="inlineStr">
        <is>
          <t>fester Rücken mit Schmuckprägung, stark brüchiges Einbandmaterial, erhabene Illuminationen</t>
        </is>
      </c>
      <c r="V60" t="inlineStr">
        <is>
          <t>nicht auflegen</t>
        </is>
      </c>
      <c r="W60" t="inlineStr">
        <is>
          <t>Kassette</t>
        </is>
      </c>
      <c r="X60" t="inlineStr">
        <is>
          <t>Nein</t>
        </is>
      </c>
      <c r="Y60" t="n">
        <v>3</v>
      </c>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t>
        </is>
      </c>
      <c r="B61" t="b">
        <v>1</v>
      </c>
      <c r="C61" t="inlineStr"/>
      <c r="D61" t="inlineStr"/>
      <c r="E61" t="n">
        <v>57</v>
      </c>
      <c r="F61">
        <f>HYPERLINK("https://portal.dnb.de/opac.htm?method=simpleSearch&amp;cqlMode=true&amp;query=idn%3D1067435948", "Portal")</f>
        <v/>
      </c>
      <c r="G61" t="inlineStr">
        <is>
          <t>Aal</t>
        </is>
      </c>
      <c r="H61" t="inlineStr">
        <is>
          <t>L-1469-316397148</t>
        </is>
      </c>
      <c r="I61" t="inlineStr">
        <is>
          <t>1067435948</t>
        </is>
      </c>
      <c r="J61" t="inlineStr">
        <is>
          <t>II 2,1b - Fragm.</t>
        </is>
      </c>
      <c r="K61" t="inlineStr">
        <is>
          <t>II 2,1b - Fragm.</t>
        </is>
      </c>
      <c r="L61" t="inlineStr">
        <is>
          <t>II 2,1b - Fragm.</t>
        </is>
      </c>
      <c r="M61" t="inlineStr"/>
      <c r="N61" t="inlineStr">
        <is>
          <t xml:space="preserve">Catholicon : </t>
        </is>
      </c>
      <c r="O61" t="inlineStr">
        <is>
          <t xml:space="preserve"> : </t>
        </is>
      </c>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t>
        </is>
      </c>
      <c r="B62" t="b">
        <v>1</v>
      </c>
      <c r="C62" t="inlineStr"/>
      <c r="D62" t="inlineStr"/>
      <c r="E62" t="n">
        <v>58</v>
      </c>
      <c r="F62">
        <f>HYPERLINK("https://portal.dnb.de/opac.htm?method=simpleSearch&amp;cqlMode=true&amp;query=idn%3D1067435948", "Portal")</f>
        <v/>
      </c>
      <c r="G62" t="inlineStr">
        <is>
          <t>Aal</t>
        </is>
      </c>
      <c r="H62" t="inlineStr">
        <is>
          <t>L-1469-316397156</t>
        </is>
      </c>
      <c r="I62" t="inlineStr">
        <is>
          <t>1067435948</t>
        </is>
      </c>
      <c r="J62" t="inlineStr">
        <is>
          <t>II 2,1ba - Fragm.</t>
        </is>
      </c>
      <c r="K62" t="inlineStr">
        <is>
          <t>II 2,1ba - Fragm.</t>
        </is>
      </c>
      <c r="L62" t="inlineStr">
        <is>
          <t>II 2,1ba - Fragm.</t>
        </is>
      </c>
      <c r="M62" t="inlineStr"/>
      <c r="N62" t="inlineStr">
        <is>
          <t xml:space="preserve">Catholicon : </t>
        </is>
      </c>
      <c r="O62" t="inlineStr">
        <is>
          <t xml:space="preserve"> : </t>
        </is>
      </c>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t>
        </is>
      </c>
      <c r="B63" t="b">
        <v>1</v>
      </c>
      <c r="C63" t="inlineStr"/>
      <c r="D63" t="inlineStr"/>
      <c r="E63" t="n">
        <v>59</v>
      </c>
      <c r="F63">
        <f>HYPERLINK("https://portal.dnb.de/opac.htm?method=simpleSearch&amp;cqlMode=true&amp;query=idn%3D1066969930", "Portal")</f>
        <v/>
      </c>
      <c r="G63" t="inlineStr">
        <is>
          <t>Aaf</t>
        </is>
      </c>
      <c r="H63" t="inlineStr">
        <is>
          <t>L-1469-315500271</t>
        </is>
      </c>
      <c r="I63" t="inlineStr">
        <is>
          <t>1066969930</t>
        </is>
      </c>
      <c r="J63" t="inlineStr">
        <is>
          <t>II 2,1c</t>
        </is>
      </c>
      <c r="K63" t="inlineStr">
        <is>
          <t>II 2,1c</t>
        </is>
      </c>
      <c r="L63" t="inlineStr">
        <is>
          <t>II 2,1c</t>
        </is>
      </c>
      <c r="M63" t="inlineStr"/>
      <c r="N63" t="inlineStr">
        <is>
          <t xml:space="preserve">Summa de sacramentis : </t>
        </is>
      </c>
      <c r="O63" t="inlineStr">
        <is>
          <t xml:space="preserve"> : </t>
        </is>
      </c>
      <c r="P63" t="inlineStr">
        <is>
          <t>X</t>
        </is>
      </c>
      <c r="Q63" t="inlineStr"/>
      <c r="R63" t="inlineStr">
        <is>
          <t>Pergamentband</t>
        </is>
      </c>
      <c r="S63" t="inlineStr">
        <is>
          <t>bis 35 cm</t>
        </is>
      </c>
      <c r="T63" t="inlineStr">
        <is>
          <t>80° bis 110°, einseitig digitalisierbar?</t>
        </is>
      </c>
      <c r="U63" t="inlineStr">
        <is>
          <t>hohler Rücken, erhabene Illuminationen</t>
        </is>
      </c>
      <c r="V63" t="inlineStr">
        <is>
          <t>nicht auflegen</t>
        </is>
      </c>
      <c r="W63" t="inlineStr">
        <is>
          <t>Kassette</t>
        </is>
      </c>
      <c r="X63" t="inlineStr">
        <is>
          <t>Nein</t>
        </is>
      </c>
      <c r="Y63" t="n">
        <v>0</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t>
        </is>
      </c>
      <c r="B64" t="b">
        <v>1</v>
      </c>
      <c r="C64" t="inlineStr">
        <is>
          <t>x</t>
        </is>
      </c>
      <c r="D64" t="inlineStr"/>
      <c r="E64" t="n">
        <v>60</v>
      </c>
      <c r="F64">
        <f>HYPERLINK("https://portal.dnb.de/opac.htm?method=simpleSearch&amp;cqlMode=true&amp;query=idn%3D1066967903", "Portal")</f>
        <v/>
      </c>
      <c r="G64" t="inlineStr">
        <is>
          <t>Aaf</t>
        </is>
      </c>
      <c r="H64" t="inlineStr">
        <is>
          <t>L-1470-315498153</t>
        </is>
      </c>
      <c r="I64" t="inlineStr">
        <is>
          <t>1066967903</t>
        </is>
      </c>
      <c r="J64" t="inlineStr">
        <is>
          <t>II 2,1d</t>
        </is>
      </c>
      <c r="K64" t="inlineStr">
        <is>
          <t>II 2,1d</t>
        </is>
      </c>
      <c r="L64" t="inlineStr">
        <is>
          <t>II 2,1d</t>
        </is>
      </c>
      <c r="M64" t="inlineStr"/>
      <c r="N64" t="inlineStr">
        <is>
          <t xml:space="preserve">Rationale divinorum officiorum : </t>
        </is>
      </c>
      <c r="O64" t="inlineStr">
        <is>
          <t xml:space="preserve"> : </t>
        </is>
      </c>
      <c r="P64" t="inlineStr">
        <is>
          <t>X</t>
        </is>
      </c>
      <c r="Q64" t="inlineStr">
        <is>
          <t>2800,00 EUR</t>
        </is>
      </c>
      <c r="R64" t="inlineStr">
        <is>
          <t>Ledereinband, Schließen, erhabene Buchbeschläge</t>
        </is>
      </c>
      <c r="S64" t="inlineStr">
        <is>
          <t>bis 42 cm</t>
        </is>
      </c>
      <c r="T64" t="inlineStr">
        <is>
          <t>80° bis 110°, einseitig digitalisierbar?</t>
        </is>
      </c>
      <c r="U64" t="inlineStr">
        <is>
          <t>hohler Rücken, stark brüchiges Einbandmaterial, erhabene Illuminationen</t>
        </is>
      </c>
      <c r="V64" t="inlineStr">
        <is>
          <t>nicht auflegen</t>
        </is>
      </c>
      <c r="W64" t="inlineStr"/>
      <c r="X64" t="inlineStr">
        <is>
          <t>Signaturfahne austauschen</t>
        </is>
      </c>
      <c r="Y64" t="n">
        <v>2</v>
      </c>
      <c r="Z64" t="inlineStr"/>
      <c r="AA64" t="inlineStr"/>
      <c r="AB64" t="inlineStr"/>
      <c r="AC64" t="inlineStr"/>
      <c r="AD64" t="inlineStr"/>
      <c r="AE64" t="inlineStr"/>
      <c r="AF64" t="inlineStr"/>
      <c r="AG64" t="inlineStr"/>
      <c r="AH64" t="inlineStr"/>
      <c r="AI64" t="inlineStr">
        <is>
          <t>L</t>
        </is>
      </c>
      <c r="AJ64" t="inlineStr"/>
      <c r="AK64" t="inlineStr">
        <is>
          <t>x</t>
        </is>
      </c>
      <c r="AL64" t="inlineStr"/>
      <c r="AM64" t="inlineStr">
        <is>
          <t>h/E</t>
        </is>
      </c>
      <c r="AN64" t="inlineStr"/>
      <c r="AO64" t="inlineStr">
        <is>
          <t>x</t>
        </is>
      </c>
      <c r="AP64" t="inlineStr"/>
      <c r="AQ64" t="inlineStr"/>
      <c r="AR64" t="inlineStr"/>
      <c r="AS64" t="inlineStr">
        <is>
          <t>Pa</t>
        </is>
      </c>
      <c r="AT64" t="inlineStr"/>
      <c r="AU64" t="inlineStr"/>
      <c r="AV64" t="inlineStr"/>
      <c r="AW64" t="inlineStr"/>
      <c r="AX64" t="inlineStr"/>
      <c r="AY64" t="inlineStr"/>
      <c r="AZ64" t="inlineStr"/>
      <c r="BA64" t="inlineStr"/>
      <c r="BB64" t="inlineStr"/>
      <c r="BC64" t="inlineStr">
        <is>
          <t>I/R</t>
        </is>
      </c>
      <c r="BD64" t="inlineStr">
        <is>
          <t>x</t>
        </is>
      </c>
      <c r="BE64" t="inlineStr"/>
      <c r="BF64" t="inlineStr"/>
      <c r="BG64" t="n">
        <v>110</v>
      </c>
      <c r="BH64" t="inlineStr"/>
      <c r="BI64" t="inlineStr"/>
      <c r="BJ64" t="inlineStr"/>
      <c r="BK64" t="inlineStr"/>
      <c r="BL64" t="inlineStr"/>
      <c r="BM64" t="inlineStr">
        <is>
          <t>ja vor</t>
        </is>
      </c>
      <c r="BN64" t="n">
        <v>3</v>
      </c>
      <c r="BO64" t="inlineStr"/>
      <c r="BP64" t="inlineStr"/>
      <c r="BQ64" t="inlineStr"/>
      <c r="BR64" t="inlineStr">
        <is>
          <t>x</t>
        </is>
      </c>
      <c r="BS64" t="inlineStr"/>
      <c r="BT64" t="inlineStr"/>
      <c r="BU64" t="inlineStr"/>
      <c r="BV64" t="inlineStr"/>
      <c r="BW64" t="inlineStr"/>
      <c r="BX64" t="inlineStr"/>
      <c r="BY64" t="inlineStr">
        <is>
          <t>Umschlag (Leder pudert)</t>
        </is>
      </c>
      <c r="BZ64" t="inlineStr"/>
      <c r="CA64" t="inlineStr">
        <is>
          <t>x</t>
        </is>
      </c>
      <c r="CB64" t="inlineStr"/>
      <c r="CC64" t="inlineStr">
        <is>
          <t>x</t>
        </is>
      </c>
      <c r="CD64" t="inlineStr">
        <is>
          <t>v</t>
        </is>
      </c>
      <c r="CE64" t="inlineStr"/>
      <c r="CF64" t="inlineStr"/>
      <c r="CG64" t="inlineStr"/>
      <c r="CH64" t="inlineStr"/>
      <c r="CI64" t="inlineStr"/>
      <c r="CJ64" t="inlineStr"/>
      <c r="CK64" t="inlineStr"/>
      <c r="CL64" t="inlineStr"/>
      <c r="CM64" t="n">
        <v>3</v>
      </c>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t>
        </is>
      </c>
      <c r="B65" t="b">
        <v>1</v>
      </c>
      <c r="C65" t="inlineStr"/>
      <c r="D65" t="inlineStr"/>
      <c r="E65" t="n">
        <v>61</v>
      </c>
      <c r="F65">
        <f>HYPERLINK("https://portal.dnb.de/opac.htm?method=simpleSearch&amp;cqlMode=true&amp;query=idn%3D106697201X", "Portal")</f>
        <v/>
      </c>
      <c r="G65" t="inlineStr">
        <is>
          <t>Aaf</t>
        </is>
      </c>
      <c r="H65" t="inlineStr">
        <is>
          <t>L-1471-315502436</t>
        </is>
      </c>
      <c r="I65" t="inlineStr">
        <is>
          <t>106697201X</t>
        </is>
      </c>
      <c r="J65" t="inlineStr">
        <is>
          <t>II 2,1e</t>
        </is>
      </c>
      <c r="K65" t="inlineStr">
        <is>
          <t>II 2,1e</t>
        </is>
      </c>
      <c r="L65" t="inlineStr">
        <is>
          <t>II 2,1e</t>
        </is>
      </c>
      <c r="M65" t="inlineStr"/>
      <c r="N65" t="inlineStr">
        <is>
          <t xml:space="preserve">Speculum vitae humanae : </t>
        </is>
      </c>
      <c r="O65" t="inlineStr">
        <is>
          <t xml:space="preserve"> : </t>
        </is>
      </c>
      <c r="P65" t="inlineStr">
        <is>
          <t>X</t>
        </is>
      </c>
      <c r="Q65" t="inlineStr"/>
      <c r="R65" t="inlineStr">
        <is>
          <t>Pergamentband</t>
        </is>
      </c>
      <c r="S65" t="inlineStr">
        <is>
          <t>bis 35 cm</t>
        </is>
      </c>
      <c r="T65" t="inlineStr">
        <is>
          <t>80° bis 110°, einseitig digitalisierbar?</t>
        </is>
      </c>
      <c r="U65" t="inlineStr">
        <is>
          <t>hohler Rücken, Einband mit Schutz- oder Stoßkanten, erhabene Illuminationen</t>
        </is>
      </c>
      <c r="V65" t="inlineStr">
        <is>
          <t>nicht auflegen</t>
        </is>
      </c>
      <c r="W65" t="inlineStr">
        <is>
          <t>Kassette</t>
        </is>
      </c>
      <c r="X65" t="inlineStr">
        <is>
          <t>Nein</t>
        </is>
      </c>
      <c r="Y65" t="n">
        <v>0</v>
      </c>
      <c r="Z65" t="inlineStr"/>
      <c r="AA65" t="inlineStr">
        <is>
          <t>Originaleinband separat</t>
        </is>
      </c>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t>
        </is>
      </c>
      <c r="B66" t="b">
        <v>1</v>
      </c>
      <c r="C66" t="inlineStr"/>
      <c r="D66" t="inlineStr"/>
      <c r="E66" t="n">
        <v>62</v>
      </c>
      <c r="F66">
        <f>HYPERLINK("https://portal.dnb.de/opac.htm?method=simpleSearch&amp;cqlMode=true&amp;query=idn%3D1066969477", "Portal")</f>
        <v/>
      </c>
      <c r="G66" t="inlineStr">
        <is>
          <t>Aaf</t>
        </is>
      </c>
      <c r="H66" t="inlineStr">
        <is>
          <t>L-1472-31549980X</t>
        </is>
      </c>
      <c r="I66" t="inlineStr">
        <is>
          <t>1066969477</t>
        </is>
      </c>
      <c r="J66" t="inlineStr">
        <is>
          <t>II 2,1f</t>
        </is>
      </c>
      <c r="K66" t="inlineStr">
        <is>
          <t>II 2,1f</t>
        </is>
      </c>
      <c r="L66" t="inlineStr">
        <is>
          <t>II 2,1f</t>
        </is>
      </c>
      <c r="M66" t="inlineStr"/>
      <c r="N66" t="inlineStr">
        <is>
          <t xml:space="preserve">Etymologiae : </t>
        </is>
      </c>
      <c r="O66" t="inlineStr">
        <is>
          <t xml:space="preserve"> : </t>
        </is>
      </c>
      <c r="P66" t="inlineStr">
        <is>
          <t>X</t>
        </is>
      </c>
      <c r="Q66" t="inlineStr"/>
      <c r="R66" t="inlineStr">
        <is>
          <t>Ledereinband, Schließen, erhabene Buchbeschläge</t>
        </is>
      </c>
      <c r="S66" t="inlineStr">
        <is>
          <t>bis 35 cm</t>
        </is>
      </c>
      <c r="T66" t="inlineStr">
        <is>
          <t>80° bis 110°, einseitig digitalisierbar?</t>
        </is>
      </c>
      <c r="U66" t="inlineStr">
        <is>
          <t>erhabene Illuminationen</t>
        </is>
      </c>
      <c r="V66" t="inlineStr">
        <is>
          <t>nicht auflegen</t>
        </is>
      </c>
      <c r="W66" t="inlineStr">
        <is>
          <t>Kassette</t>
        </is>
      </c>
      <c r="X66" t="inlineStr">
        <is>
          <t>Nein</t>
        </is>
      </c>
      <c r="Y66" t="n">
        <v>0</v>
      </c>
      <c r="Z66" t="inlineStr"/>
      <c r="AA66" t="inlineStr">
        <is>
          <t>Originaleinband separat</t>
        </is>
      </c>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t>
        </is>
      </c>
      <c r="B67" t="b">
        <v>1</v>
      </c>
      <c r="C67" t="inlineStr"/>
      <c r="D67" t="inlineStr"/>
      <c r="E67" t="n">
        <v>63</v>
      </c>
      <c r="F67">
        <f>HYPERLINK("https://portal.dnb.de/opac.htm?method=simpleSearch&amp;cqlMode=true&amp;query=idn%3D1066969469", "Portal")</f>
        <v/>
      </c>
      <c r="G67" t="inlineStr">
        <is>
          <t>Aaf</t>
        </is>
      </c>
      <c r="H67" t="inlineStr">
        <is>
          <t>L-1472-315499796</t>
        </is>
      </c>
      <c r="I67" t="inlineStr">
        <is>
          <t>1066969469</t>
        </is>
      </c>
      <c r="J67" t="inlineStr">
        <is>
          <t>II 2,1g</t>
        </is>
      </c>
      <c r="K67" t="inlineStr">
        <is>
          <t>II 2,1g</t>
        </is>
      </c>
      <c r="L67" t="inlineStr">
        <is>
          <t>II 2,1g</t>
        </is>
      </c>
      <c r="M67" t="inlineStr"/>
      <c r="N67" t="inlineStr">
        <is>
          <t xml:space="preserve">De responsione mundi et de astrorum ordinatione : </t>
        </is>
      </c>
      <c r="O67" t="inlineStr">
        <is>
          <t xml:space="preserve"> : </t>
        </is>
      </c>
      <c r="P67" t="inlineStr">
        <is>
          <t>X</t>
        </is>
      </c>
      <c r="Q67" t="inlineStr"/>
      <c r="R67" t="inlineStr">
        <is>
          <t>Ledereinband, Schließen, erhabene Buchbeschläge</t>
        </is>
      </c>
      <c r="S67" t="inlineStr">
        <is>
          <t>bis 35 cm</t>
        </is>
      </c>
      <c r="T67" t="inlineStr">
        <is>
          <t>80° bis 110°, einseitig digitalisierbar?</t>
        </is>
      </c>
      <c r="U67" t="inlineStr">
        <is>
          <t>hohler Rücken, erhabene Illuminationen</t>
        </is>
      </c>
      <c r="V67" t="inlineStr">
        <is>
          <t>nicht auflegen</t>
        </is>
      </c>
      <c r="W67" t="inlineStr">
        <is>
          <t>Kassette</t>
        </is>
      </c>
      <c r="X67" t="inlineStr">
        <is>
          <t>Nein</t>
        </is>
      </c>
      <c r="Y67" t="n">
        <v>2</v>
      </c>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t>
        </is>
      </c>
      <c r="B68" t="b">
        <v>1</v>
      </c>
      <c r="C68" t="inlineStr"/>
      <c r="D68" t="inlineStr"/>
      <c r="E68" t="n">
        <v>64</v>
      </c>
      <c r="F68">
        <f>HYPERLINK("https://portal.dnb.de/opac.htm?method=simpleSearch&amp;cqlMode=true&amp;query=idn%3D106696887X", "Portal")</f>
        <v/>
      </c>
      <c r="G68" t="inlineStr">
        <is>
          <t>Aaf</t>
        </is>
      </c>
      <c r="H68" t="inlineStr">
        <is>
          <t>L-1472-315499141</t>
        </is>
      </c>
      <c r="I68" t="inlineStr">
        <is>
          <t>106696887X</t>
        </is>
      </c>
      <c r="J68" t="inlineStr">
        <is>
          <t>II 2,1i</t>
        </is>
      </c>
      <c r="K68" t="inlineStr">
        <is>
          <t>II 2,1i</t>
        </is>
      </c>
      <c r="L68" t="inlineStr">
        <is>
          <t>II 2,1i</t>
        </is>
      </c>
      <c r="M68" t="inlineStr"/>
      <c r="N68" t="inlineStr">
        <is>
          <t xml:space="preserve">Postilla super epistolas et evangelia : </t>
        </is>
      </c>
      <c r="O68" t="inlineStr">
        <is>
          <t xml:space="preserve"> : </t>
        </is>
      </c>
      <c r="P68" t="inlineStr">
        <is>
          <t>X</t>
        </is>
      </c>
      <c r="Q68" t="inlineStr"/>
      <c r="R68" t="inlineStr">
        <is>
          <t>Halbledereinband, Schließen, erhabene Buchbeschläge</t>
        </is>
      </c>
      <c r="S68" t="inlineStr">
        <is>
          <t>bis 35 cm</t>
        </is>
      </c>
      <c r="T68" t="inlineStr">
        <is>
          <t>80° bis 110°, einseitig digitalisierbar?</t>
        </is>
      </c>
      <c r="U68" t="inlineStr">
        <is>
          <t>hohler Rücken</t>
        </is>
      </c>
      <c r="V68" t="inlineStr"/>
      <c r="W68" t="inlineStr">
        <is>
          <t>Kassette</t>
        </is>
      </c>
      <c r="X68" t="inlineStr">
        <is>
          <t>Nein</t>
        </is>
      </c>
      <c r="Y68" t="n">
        <v>1</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t>
        </is>
      </c>
      <c r="B69" t="b">
        <v>1</v>
      </c>
      <c r="C69" t="inlineStr"/>
      <c r="D69" t="inlineStr"/>
      <c r="E69" t="inlineStr"/>
      <c r="F69">
        <f>HYPERLINK("https://portal.dnb.de/opac.htm?method=simpleSearch&amp;cqlMode=true&amp;query=idn%3D1268947989", "Portal")</f>
        <v/>
      </c>
      <c r="G69" t="inlineStr">
        <is>
          <t>Qd</t>
        </is>
      </c>
      <c r="H69" t="inlineStr">
        <is>
          <t>L-1470-834330342</t>
        </is>
      </c>
      <c r="I69" t="inlineStr">
        <is>
          <t>1268947989</t>
        </is>
      </c>
      <c r="J69" t="inlineStr">
        <is>
          <t>II 2,1k</t>
        </is>
      </c>
      <c r="K69" t="inlineStr">
        <is>
          <t>II 2,1k</t>
        </is>
      </c>
      <c r="L69" t="inlineStr">
        <is>
          <t>II 2,1k</t>
        </is>
      </c>
      <c r="M69" t="inlineStr"/>
      <c r="N69" t="inlineStr">
        <is>
          <t xml:space="preserve">Sammelband mit 9 Werken, gedruckt in Augsburg von Günther Zainer : </t>
        </is>
      </c>
      <c r="O69" t="inlineStr">
        <is>
          <t xml:space="preserve"> : </t>
        </is>
      </c>
      <c r="P69" t="inlineStr">
        <is>
          <t>X</t>
        </is>
      </c>
      <c r="Q69" t="inlineStr"/>
      <c r="R69" t="inlineStr">
        <is>
          <t>Ledereinband, Schließen, erhabene Buchbeschläge</t>
        </is>
      </c>
      <c r="S69" t="inlineStr">
        <is>
          <t>bis 35 cm</t>
        </is>
      </c>
      <c r="T69" t="inlineStr">
        <is>
          <t>180°</t>
        </is>
      </c>
      <c r="U69" t="inlineStr">
        <is>
          <t>fester Rücken mit Schmuckprägung, stark brüchiges Einbandmaterial, erhabene Illuminationen</t>
        </is>
      </c>
      <c r="V69" t="inlineStr">
        <is>
          <t>nicht auflegen</t>
        </is>
      </c>
      <c r="W69" t="inlineStr">
        <is>
          <t>Kassette</t>
        </is>
      </c>
      <c r="X69" t="inlineStr">
        <is>
          <t>Nein</t>
        </is>
      </c>
      <c r="Y69" t="n">
        <v>3</v>
      </c>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t>
        </is>
      </c>
      <c r="B70" t="b">
        <v>1</v>
      </c>
      <c r="C70" t="inlineStr"/>
      <c r="D70" t="inlineStr"/>
      <c r="E70" t="n">
        <v>74</v>
      </c>
      <c r="F70">
        <f>HYPERLINK("https://portal.dnb.de/opac.htm?method=simpleSearch&amp;cqlMode=true&amp;query=idn%3D1066972435", "Portal")</f>
        <v/>
      </c>
      <c r="G70" t="inlineStr">
        <is>
          <t>Aaf</t>
        </is>
      </c>
      <c r="H70" t="inlineStr">
        <is>
          <t>L-1475-315502851</t>
        </is>
      </c>
      <c r="I70" t="inlineStr">
        <is>
          <t>1066972435</t>
        </is>
      </c>
      <c r="J70" t="inlineStr">
        <is>
          <t>II 2,1m</t>
        </is>
      </c>
      <c r="K70" t="inlineStr">
        <is>
          <t>II 2,1m</t>
        </is>
      </c>
      <c r="L70" t="inlineStr">
        <is>
          <t>II 2,1m</t>
        </is>
      </c>
      <c r="M70" t="inlineStr"/>
      <c r="N70" t="inlineStr">
        <is>
          <t xml:space="preserve">Catena aurea super quattuor evangelistas : </t>
        </is>
      </c>
      <c r="O70" t="inlineStr">
        <is>
          <t xml:space="preserve"> : </t>
        </is>
      </c>
      <c r="P70" t="inlineStr">
        <is>
          <t>X</t>
        </is>
      </c>
      <c r="Q70" t="inlineStr"/>
      <c r="R70" t="inlineStr">
        <is>
          <t>Halbledereinband, Schließen, erhabene Buchbeschläge</t>
        </is>
      </c>
      <c r="S70" t="inlineStr">
        <is>
          <t>bis 42 cm</t>
        </is>
      </c>
      <c r="T70" t="inlineStr">
        <is>
          <t>80° bis 110°, einseitig digitalisierbar?</t>
        </is>
      </c>
      <c r="U70" t="inlineStr">
        <is>
          <t>erhabene Illuminationen</t>
        </is>
      </c>
      <c r="V70" t="inlineStr">
        <is>
          <t>nicht auflegen</t>
        </is>
      </c>
      <c r="W70" t="inlineStr"/>
      <c r="X70" t="inlineStr"/>
      <c r="Y70" t="n">
        <v>2</v>
      </c>
      <c r="Z70" t="inlineStr"/>
      <c r="AA70" t="inlineStr"/>
      <c r="AB70" t="inlineStr">
        <is>
          <t>schwerer Holzdeckel</t>
        </is>
      </c>
      <c r="AC70" t="inlineStr"/>
      <c r="AD70" t="inlineStr"/>
      <c r="AE70" t="inlineStr"/>
      <c r="AF70" t="inlineStr"/>
      <c r="AG70" t="n">
        <v>15</v>
      </c>
      <c r="AH70" t="inlineStr"/>
      <c r="AI70" t="inlineStr">
        <is>
          <t>HL</t>
        </is>
      </c>
      <c r="AJ70" t="inlineStr"/>
      <c r="AK70" t="inlineStr">
        <is>
          <t>x</t>
        </is>
      </c>
      <c r="AL70" t="inlineStr"/>
      <c r="AM70" t="inlineStr">
        <is>
          <t>h/E</t>
        </is>
      </c>
      <c r="AN70" t="inlineStr"/>
      <c r="AO70" t="inlineStr"/>
      <c r="AP70" t="inlineStr"/>
      <c r="AQ70" t="inlineStr"/>
      <c r="AR70" t="inlineStr"/>
      <c r="AS70" t="inlineStr">
        <is>
          <t>Pa</t>
        </is>
      </c>
      <c r="AT70" t="inlineStr"/>
      <c r="AU70" t="inlineStr"/>
      <c r="AV70" t="inlineStr"/>
      <c r="AW70" t="inlineStr"/>
      <c r="AX70" t="inlineStr">
        <is>
          <t>xx</t>
        </is>
      </c>
      <c r="AY70" t="inlineStr"/>
      <c r="AZ70" t="inlineStr"/>
      <c r="BA70" t="inlineStr"/>
      <c r="BB70" t="inlineStr"/>
      <c r="BC70" t="inlineStr">
        <is>
          <t>B/I/R</t>
        </is>
      </c>
      <c r="BD70" t="inlineStr">
        <is>
          <t>xx</t>
        </is>
      </c>
      <c r="BE70" t="inlineStr">
        <is>
          <t>0-2</t>
        </is>
      </c>
      <c r="BF70" t="inlineStr"/>
      <c r="BG70" t="n">
        <v>110</v>
      </c>
      <c r="BH70" t="inlineStr"/>
      <c r="BI70" t="inlineStr">
        <is>
          <t>x, wg. Bauch</t>
        </is>
      </c>
      <c r="BJ70" t="inlineStr"/>
      <c r="BK70" t="inlineStr"/>
      <c r="BL70" t="inlineStr"/>
      <c r="BM70" t="inlineStr">
        <is>
          <t>n</t>
        </is>
      </c>
      <c r="BN70" t="n">
        <v>0</v>
      </c>
      <c r="BO70" t="inlineStr"/>
      <c r="BP70" t="inlineStr"/>
      <c r="BQ70" t="inlineStr"/>
      <c r="BR70" t="inlineStr">
        <is>
          <t>x</t>
        </is>
      </c>
      <c r="BS70" t="inlineStr"/>
      <c r="BT70" t="inlineStr"/>
      <c r="BU70" t="inlineStr"/>
      <c r="BV70" t="inlineStr">
        <is>
          <t>extremer Bauch --&gt; Digi-Grenzfall</t>
        </is>
      </c>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t>
        </is>
      </c>
      <c r="B71" t="b">
        <v>1</v>
      </c>
      <c r="C71" t="inlineStr">
        <is>
          <t>x</t>
        </is>
      </c>
      <c r="D71" t="inlineStr"/>
      <c r="E71" t="n">
        <v>75</v>
      </c>
      <c r="F71">
        <f>HYPERLINK("https://portal.dnb.de/opac.htm?method=simpleSearch&amp;cqlMode=true&amp;query=idn%3D1066969779", "Portal")</f>
        <v/>
      </c>
      <c r="G71" t="inlineStr">
        <is>
          <t>Aaf</t>
        </is>
      </c>
      <c r="H71" t="inlineStr">
        <is>
          <t>L-1471-315500115</t>
        </is>
      </c>
      <c r="I71" t="inlineStr">
        <is>
          <t>1066969779</t>
        </is>
      </c>
      <c r="J71" t="inlineStr">
        <is>
          <t>II 2,1n - Pt. 2</t>
        </is>
      </c>
      <c r="K71" t="inlineStr">
        <is>
          <t>II 2,1n - Pt. 2</t>
        </is>
      </c>
      <c r="L71" t="inlineStr">
        <is>
          <t>II 2,1n - Pt. 2</t>
        </is>
      </c>
      <c r="M71" t="inlineStr"/>
      <c r="N71" t="inlineStr">
        <is>
          <t xml:space="preserve">Legenda aurea, deutsch. P. 1. (Winterteil). P. 2. (Sommerteil) : </t>
        </is>
      </c>
      <c r="O71" t="inlineStr">
        <is>
          <t xml:space="preserve"> : </t>
        </is>
      </c>
      <c r="P71" t="inlineStr">
        <is>
          <t>X</t>
        </is>
      </c>
      <c r="Q71" t="inlineStr">
        <is>
          <t>38000,00 DM</t>
        </is>
      </c>
      <c r="R71" t="inlineStr">
        <is>
          <t>Ledereinband, Schließen, erhabene Buchbeschläge</t>
        </is>
      </c>
      <c r="S71" t="inlineStr">
        <is>
          <t>bis 42 cm</t>
        </is>
      </c>
      <c r="T71" t="inlineStr">
        <is>
          <t>80° bis 110°, einseitig digitalisierbar?</t>
        </is>
      </c>
      <c r="U71" t="inlineStr">
        <is>
          <t>fester Rücken mit Schmuckprägung, erhabene Illuminationen, stark brüchiges Einbandmaterial</t>
        </is>
      </c>
      <c r="V71" t="inlineStr">
        <is>
          <t>nicht auflegen</t>
        </is>
      </c>
      <c r="W71" t="inlineStr">
        <is>
          <t>Kassette</t>
        </is>
      </c>
      <c r="X71" t="inlineStr">
        <is>
          <t>Nein</t>
        </is>
      </c>
      <c r="Y71" t="n">
        <v>3</v>
      </c>
      <c r="Z71" t="inlineStr"/>
      <c r="AA71" t="inlineStr"/>
      <c r="AB71" t="inlineStr"/>
      <c r="AC71" t="inlineStr"/>
      <c r="AD71" t="inlineStr"/>
      <c r="AE71" t="inlineStr"/>
      <c r="AF71" t="inlineStr"/>
      <c r="AG71" t="inlineStr"/>
      <c r="AH71" t="inlineStr"/>
      <c r="AI71" t="inlineStr">
        <is>
          <t>L</t>
        </is>
      </c>
      <c r="AJ71" t="inlineStr"/>
      <c r="AK71" t="inlineStr">
        <is>
          <t>x</t>
        </is>
      </c>
      <c r="AL71" t="inlineStr"/>
      <c r="AM71" t="inlineStr">
        <is>
          <t>h/E</t>
        </is>
      </c>
      <c r="AN71" t="inlineStr"/>
      <c r="AO71" t="inlineStr">
        <is>
          <t>x</t>
        </is>
      </c>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is>
          <t>I/R</t>
        </is>
      </c>
      <c r="BD71" t="inlineStr">
        <is>
          <t>x</t>
        </is>
      </c>
      <c r="BE71" t="inlineStr"/>
      <c r="BF71" t="inlineStr"/>
      <c r="BG71" t="n">
        <v>110</v>
      </c>
      <c r="BH71" t="inlineStr"/>
      <c r="BI71" t="inlineStr"/>
      <c r="BJ71" t="inlineStr"/>
      <c r="BK71" t="inlineStr"/>
      <c r="BL71" t="inlineStr"/>
      <c r="BM71" t="inlineStr">
        <is>
          <t>ja vor</t>
        </is>
      </c>
      <c r="BN71" t="n">
        <v>3</v>
      </c>
      <c r="BO71" t="inlineStr"/>
      <c r="BP71" t="inlineStr">
        <is>
          <t>Gewebe</t>
        </is>
      </c>
      <c r="BQ71" t="inlineStr"/>
      <c r="BR71" t="inlineStr"/>
      <c r="BS71" t="inlineStr"/>
      <c r="BT71" t="inlineStr"/>
      <c r="BU71" t="inlineStr"/>
      <c r="BV71" t="inlineStr"/>
      <c r="BW71" t="inlineStr"/>
      <c r="BX71" t="inlineStr"/>
      <c r="BY71" t="inlineStr">
        <is>
          <t>Umschlag (Leder pudert)</t>
        </is>
      </c>
      <c r="BZ71" t="inlineStr"/>
      <c r="CA71" t="inlineStr">
        <is>
          <t>x</t>
        </is>
      </c>
      <c r="CB71" t="inlineStr">
        <is>
          <t>x</t>
        </is>
      </c>
      <c r="CC71" t="inlineStr"/>
      <c r="CD71" t="inlineStr">
        <is>
          <t>v</t>
        </is>
      </c>
      <c r="CE71" t="inlineStr"/>
      <c r="CF71" t="inlineStr"/>
      <c r="CG71" t="inlineStr"/>
      <c r="CH71" t="inlineStr"/>
      <c r="CI71" t="inlineStr"/>
      <c r="CJ71" t="inlineStr"/>
      <c r="CK71" t="inlineStr"/>
      <c r="CL71" t="inlineStr"/>
      <c r="CM71" t="n">
        <v>3</v>
      </c>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t>
        </is>
      </c>
      <c r="B72" t="b">
        <v>1</v>
      </c>
      <c r="C72" t="inlineStr">
        <is>
          <t>x</t>
        </is>
      </c>
      <c r="D72" t="inlineStr"/>
      <c r="E72" t="n">
        <v>79</v>
      </c>
      <c r="F72">
        <f>HYPERLINK("https://portal.dnb.de/opac.htm?method=simpleSearch&amp;cqlMode=true&amp;query=idn%3D1066970335", "Portal")</f>
        <v/>
      </c>
      <c r="G72" t="inlineStr">
        <is>
          <t>Aaf</t>
        </is>
      </c>
      <c r="H72" t="inlineStr">
        <is>
          <t>L-1470-315500670</t>
        </is>
      </c>
      <c r="I72" t="inlineStr">
        <is>
          <t>1066970335</t>
        </is>
      </c>
      <c r="J72" t="inlineStr">
        <is>
          <t>II 2,2a</t>
        </is>
      </c>
      <c r="K72" t="inlineStr">
        <is>
          <t>II 2,2a</t>
        </is>
      </c>
      <c r="L72" t="inlineStr">
        <is>
          <t>II 2,2a</t>
        </is>
      </c>
      <c r="M72" t="inlineStr"/>
      <c r="N72" t="inlineStr">
        <is>
          <t xml:space="preserve">De antiquitate Iudaica : </t>
        </is>
      </c>
      <c r="O72" t="inlineStr">
        <is>
          <t xml:space="preserve"> : </t>
        </is>
      </c>
      <c r="P72" t="inlineStr">
        <is>
          <t>X</t>
        </is>
      </c>
      <c r="Q72" t="inlineStr">
        <is>
          <t>66000,00 EUR</t>
        </is>
      </c>
      <c r="R72" t="inlineStr">
        <is>
          <t>Ledereinband</t>
        </is>
      </c>
      <c r="S72" t="inlineStr">
        <is>
          <t>bis 42 cm</t>
        </is>
      </c>
      <c r="T72" t="inlineStr">
        <is>
          <t>80° bis 110°, einseitig digitalisierbar?</t>
        </is>
      </c>
      <c r="U72" t="inlineStr">
        <is>
          <t>hohler Rücken, erhabene Illuminationen</t>
        </is>
      </c>
      <c r="V72" t="inlineStr">
        <is>
          <t>nicht auflegen</t>
        </is>
      </c>
      <c r="W72" t="inlineStr"/>
      <c r="X72" t="inlineStr"/>
      <c r="Y72" t="n">
        <v>1</v>
      </c>
      <c r="Z72" t="inlineStr"/>
      <c r="AA72" t="inlineStr"/>
      <c r="AB72" t="inlineStr"/>
      <c r="AC72" t="inlineStr"/>
      <c r="AD72" t="inlineStr"/>
      <c r="AE72" t="inlineStr"/>
      <c r="AF72" t="inlineStr"/>
      <c r="AG72" t="inlineStr"/>
      <c r="AH72" t="inlineStr"/>
      <c r="AI72" t="inlineStr">
        <is>
          <t>L</t>
        </is>
      </c>
      <c r="AJ72" t="inlineStr"/>
      <c r="AK72" t="inlineStr">
        <is>
          <t>x</t>
        </is>
      </c>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B/I/R</t>
        </is>
      </c>
      <c r="BD72" t="inlineStr">
        <is>
          <t>xx</t>
        </is>
      </c>
      <c r="BE72" t="inlineStr"/>
      <c r="BF72" t="inlineStr"/>
      <c r="BG72" t="n">
        <v>60</v>
      </c>
      <c r="BH72" t="inlineStr"/>
      <c r="BI72" t="inlineStr"/>
      <c r="BJ72" t="inlineStr"/>
      <c r="BK72" t="inlineStr"/>
      <c r="BL72" t="inlineStr"/>
      <c r="BM72" t="inlineStr">
        <is>
          <t>ja vor</t>
        </is>
      </c>
      <c r="BN72" t="n">
        <v>2</v>
      </c>
      <c r="BO72" t="inlineStr"/>
      <c r="BP72" t="inlineStr"/>
      <c r="BQ72" t="inlineStr"/>
      <c r="BR72" t="inlineStr">
        <is>
          <t>x</t>
        </is>
      </c>
      <c r="BS72" t="inlineStr"/>
      <c r="BT72" t="inlineStr"/>
      <c r="BU72" t="inlineStr"/>
      <c r="BV72" t="inlineStr"/>
      <c r="BW72" t="inlineStr"/>
      <c r="BX72" t="inlineStr"/>
      <c r="BY72" t="inlineStr"/>
      <c r="BZ72" t="inlineStr"/>
      <c r="CA72" t="inlineStr"/>
      <c r="CB72" t="inlineStr"/>
      <c r="CC72" t="inlineStr">
        <is>
          <t>x</t>
        </is>
      </c>
      <c r="CD72" t="inlineStr"/>
      <c r="CE72" t="inlineStr"/>
      <c r="CF72" t="inlineStr"/>
      <c r="CG72" t="inlineStr"/>
      <c r="CH72" t="inlineStr"/>
      <c r="CI72" t="inlineStr"/>
      <c r="CJ72" t="inlineStr"/>
      <c r="CK72" t="inlineStr"/>
      <c r="CL72" t="inlineStr"/>
      <c r="CM72" t="n">
        <v>2</v>
      </c>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t>
        </is>
      </c>
      <c r="B73" t="b">
        <v>1</v>
      </c>
      <c r="C73" t="inlineStr"/>
      <c r="D73" t="inlineStr"/>
      <c r="E73" t="n">
        <v>80</v>
      </c>
      <c r="F73">
        <f>HYPERLINK("https://portal.dnb.de/opac.htm?method=simpleSearch&amp;cqlMode=true&amp;query=idn%3D1066964998", "Portal")</f>
        <v/>
      </c>
      <c r="G73" t="inlineStr">
        <is>
          <t>Aaf</t>
        </is>
      </c>
      <c r="H73" t="inlineStr">
        <is>
          <t>L-1471-315495146</t>
        </is>
      </c>
      <c r="I73" t="inlineStr">
        <is>
          <t>1066964998</t>
        </is>
      </c>
      <c r="J73" t="inlineStr">
        <is>
          <t>II 2,2b - Fragm.</t>
        </is>
      </c>
      <c r="K73" t="inlineStr">
        <is>
          <t>II 2,2b - Fragm.</t>
        </is>
      </c>
      <c r="L73" t="inlineStr">
        <is>
          <t>II 2,2b - Fragm.</t>
        </is>
      </c>
      <c r="M73" t="inlineStr"/>
      <c r="N73" t="inlineStr">
        <is>
          <t xml:space="preserve">Almanach : </t>
        </is>
      </c>
      <c r="O73" t="inlineStr">
        <is>
          <t xml:space="preserve"> : </t>
        </is>
      </c>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t>
        </is>
      </c>
      <c r="B74" t="b">
        <v>1</v>
      </c>
      <c r="C74" t="inlineStr"/>
      <c r="D74" t="inlineStr"/>
      <c r="E74" t="n">
        <v>81</v>
      </c>
      <c r="F74">
        <f>HYPERLINK("https://portal.dnb.de/opac.htm?method=simpleSearch&amp;cqlMode=true&amp;query=idn%3D1066967415", "Portal")</f>
        <v/>
      </c>
      <c r="G74" t="inlineStr">
        <is>
          <t>Aaf</t>
        </is>
      </c>
      <c r="H74" t="inlineStr">
        <is>
          <t>L-1472-31549767X</t>
        </is>
      </c>
      <c r="I74" t="inlineStr">
        <is>
          <t>1066967415</t>
        </is>
      </c>
      <c r="J74" t="inlineStr">
        <is>
          <t>II 2,2c</t>
        </is>
      </c>
      <c r="K74" t="inlineStr">
        <is>
          <t>II 2,2c</t>
        </is>
      </c>
      <c r="L74" t="inlineStr">
        <is>
          <t>II 2,2c</t>
        </is>
      </c>
      <c r="M74" t="inlineStr"/>
      <c r="N74" t="inlineStr">
        <is>
          <t xml:space="preserve">Historia ecclesiastica tripartita : </t>
        </is>
      </c>
      <c r="O74" t="inlineStr">
        <is>
          <t xml:space="preserve"> : </t>
        </is>
      </c>
      <c r="P74" t="inlineStr">
        <is>
          <t>X</t>
        </is>
      </c>
      <c r="Q74" t="inlineStr"/>
      <c r="R74" t="inlineStr">
        <is>
          <t>Ledereinband, Schließen, erhabene Buchbeschläge</t>
        </is>
      </c>
      <c r="S74" t="inlineStr">
        <is>
          <t>bis 35 cm</t>
        </is>
      </c>
      <c r="T74" t="inlineStr">
        <is>
          <t>80° bis 110°, einseitig digitalisierbar?</t>
        </is>
      </c>
      <c r="U74" t="inlineStr">
        <is>
          <t>hohler Rücken, erhabene Illuminationen</t>
        </is>
      </c>
      <c r="V74" t="inlineStr">
        <is>
          <t>nicht auflegen</t>
        </is>
      </c>
      <c r="W74" t="inlineStr">
        <is>
          <t>Kassette</t>
        </is>
      </c>
      <c r="X74" t="inlineStr">
        <is>
          <t>Nein</t>
        </is>
      </c>
      <c r="Y74" t="n">
        <v>2</v>
      </c>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II</t>
        </is>
      </c>
      <c r="B75" t="b">
        <v>1</v>
      </c>
      <c r="C75" t="inlineStr"/>
      <c r="D75" t="inlineStr"/>
      <c r="E75" t="n">
        <v>82</v>
      </c>
      <c r="F75">
        <f>HYPERLINK("https://portal.dnb.de/opac.htm?method=simpleSearch&amp;cqlMode=true&amp;query=idn%3D1066969701", "Portal")</f>
        <v/>
      </c>
      <c r="G75" t="inlineStr">
        <is>
          <t>Aaf</t>
        </is>
      </c>
      <c r="H75" t="inlineStr">
        <is>
          <t>L-1472-315500042</t>
        </is>
      </c>
      <c r="I75" t="inlineStr">
        <is>
          <t>1066969701</t>
        </is>
      </c>
      <c r="J75" t="inlineStr">
        <is>
          <t>II 2,2d</t>
        </is>
      </c>
      <c r="K75" t="inlineStr">
        <is>
          <t>II 2,2d</t>
        </is>
      </c>
      <c r="L75" t="inlineStr">
        <is>
          <t>II 2,2d</t>
        </is>
      </c>
      <c r="M75" t="inlineStr"/>
      <c r="N75" t="inlineStr">
        <is>
          <t xml:space="preserve">Consolatio peccatorum seu Processus Belial : </t>
        </is>
      </c>
      <c r="O75" t="inlineStr">
        <is>
          <t xml:space="preserve"> : </t>
        </is>
      </c>
      <c r="P75" t="inlineStr">
        <is>
          <t>X</t>
        </is>
      </c>
      <c r="Q75" t="inlineStr"/>
      <c r="R75" t="inlineStr">
        <is>
          <t>Halbledereinband</t>
        </is>
      </c>
      <c r="S75" t="inlineStr">
        <is>
          <t>bis 35 cm</t>
        </is>
      </c>
      <c r="T75" t="inlineStr">
        <is>
          <t>80° bis 110°, einseitig digitalisierbar?</t>
        </is>
      </c>
      <c r="U75" t="inlineStr">
        <is>
          <t>hohler Rücken, erhabene Illuminationen</t>
        </is>
      </c>
      <c r="V75" t="inlineStr">
        <is>
          <t>nicht auflegen</t>
        </is>
      </c>
      <c r="W75" t="inlineStr">
        <is>
          <t>Kassette</t>
        </is>
      </c>
      <c r="X75" t="inlineStr">
        <is>
          <t>Nein</t>
        </is>
      </c>
      <c r="Y75" t="n">
        <v>2</v>
      </c>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t>
        </is>
      </c>
      <c r="B76" t="b">
        <v>1</v>
      </c>
      <c r="C76" t="inlineStr"/>
      <c r="D76" t="inlineStr"/>
      <c r="E76" t="n">
        <v>83</v>
      </c>
      <c r="F76">
        <f>HYPERLINK("https://portal.dnb.de/opac.htm?method=simpleSearch&amp;cqlMode=true&amp;query=idn%3D1066969876", "Portal")</f>
        <v/>
      </c>
      <c r="G76" t="inlineStr">
        <is>
          <t>Aaf</t>
        </is>
      </c>
      <c r="H76" t="inlineStr">
        <is>
          <t>L-1474-315500204</t>
        </is>
      </c>
      <c r="I76" t="inlineStr">
        <is>
          <t>1066969876</t>
        </is>
      </c>
      <c r="J76" t="inlineStr">
        <is>
          <t>II 2,3b</t>
        </is>
      </c>
      <c r="K76" t="inlineStr">
        <is>
          <t>II 2,3b</t>
        </is>
      </c>
      <c r="L76" t="inlineStr">
        <is>
          <t>II 2,3b</t>
        </is>
      </c>
      <c r="M76" t="inlineStr"/>
      <c r="N76" t="inlineStr">
        <is>
          <t xml:space="preserve">Baum der Sippschaft : </t>
        </is>
      </c>
      <c r="O76" t="inlineStr">
        <is>
          <t xml:space="preserve"> : </t>
        </is>
      </c>
      <c r="P76" t="inlineStr">
        <is>
          <t>X</t>
        </is>
      </c>
      <c r="Q76" t="inlineStr"/>
      <c r="R76" t="inlineStr">
        <is>
          <t>Ledereinband</t>
        </is>
      </c>
      <c r="S76" t="inlineStr">
        <is>
          <t>bis 35 cm</t>
        </is>
      </c>
      <c r="T76" t="inlineStr">
        <is>
          <t>180°</t>
        </is>
      </c>
      <c r="U76" t="inlineStr"/>
      <c r="V76" t="inlineStr"/>
      <c r="W76" t="inlineStr">
        <is>
          <t>Kassette</t>
        </is>
      </c>
      <c r="X76" t="inlineStr">
        <is>
          <t>Nein</t>
        </is>
      </c>
      <c r="Y76" t="n">
        <v>0</v>
      </c>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t>
        </is>
      </c>
      <c r="B77" t="b">
        <v>1</v>
      </c>
      <c r="C77" t="inlineStr"/>
      <c r="D77" t="inlineStr"/>
      <c r="E77" t="n">
        <v>84</v>
      </c>
      <c r="F77">
        <f>HYPERLINK("https://portal.dnb.de/opac.htm?method=simpleSearch&amp;cqlMode=true&amp;query=idn%3D1066970599", "Portal")</f>
        <v/>
      </c>
      <c r="G77" t="inlineStr">
        <is>
          <t>Aaf</t>
        </is>
      </c>
      <c r="H77" t="inlineStr">
        <is>
          <t>L-1474-315500956</t>
        </is>
      </c>
      <c r="I77" t="inlineStr">
        <is>
          <t>1066970599</t>
        </is>
      </c>
      <c r="J77" t="inlineStr">
        <is>
          <t>II 2,4a</t>
        </is>
      </c>
      <c r="K77" t="inlineStr">
        <is>
          <t>II 2,4a</t>
        </is>
      </c>
      <c r="L77" t="inlineStr">
        <is>
          <t>II 2,4a</t>
        </is>
      </c>
      <c r="M77" t="inlineStr"/>
      <c r="N77" t="inlineStr">
        <is>
          <t xml:space="preserve">Sermones aurei de sanctis : </t>
        </is>
      </c>
      <c r="O77" t="inlineStr">
        <is>
          <t xml:space="preserve"> : </t>
        </is>
      </c>
      <c r="P77" t="inlineStr">
        <is>
          <t>X</t>
        </is>
      </c>
      <c r="Q77" t="inlineStr"/>
      <c r="R77" t="inlineStr">
        <is>
          <t>Halbledereinband</t>
        </is>
      </c>
      <c r="S77" t="inlineStr">
        <is>
          <t>bis 35 cm</t>
        </is>
      </c>
      <c r="T77" t="inlineStr">
        <is>
          <t>nur sehr geringer Öffnungswinkel</t>
        </is>
      </c>
      <c r="U77" t="inlineStr">
        <is>
          <t>hohler Rücken, Schrift bis in den Falz, welliger Buchblock</t>
        </is>
      </c>
      <c r="V77" t="inlineStr"/>
      <c r="W77" t="inlineStr">
        <is>
          <t>Kassette</t>
        </is>
      </c>
      <c r="X77" t="inlineStr">
        <is>
          <t>Nein</t>
        </is>
      </c>
      <c r="Y77" t="n">
        <v>1</v>
      </c>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t>
        </is>
      </c>
      <c r="B78" t="b">
        <v>1</v>
      </c>
      <c r="C78" t="inlineStr">
        <is>
          <t>x</t>
        </is>
      </c>
      <c r="D78" t="inlineStr"/>
      <c r="E78" t="n">
        <v>85</v>
      </c>
      <c r="F78">
        <f>HYPERLINK("https://portal.dnb.de/opac.htm?method=simpleSearch&amp;cqlMode=true&amp;query=idn%3D1066972087", "Portal")</f>
        <v/>
      </c>
      <c r="G78" t="inlineStr">
        <is>
          <t>Aaf</t>
        </is>
      </c>
      <c r="H78" t="inlineStr">
        <is>
          <t>L-1474-315502509</t>
        </is>
      </c>
      <c r="I78" t="inlineStr">
        <is>
          <t>1066972087</t>
        </is>
      </c>
      <c r="J78" t="inlineStr">
        <is>
          <t>II 2,4b</t>
        </is>
      </c>
      <c r="K78" t="inlineStr">
        <is>
          <t>II 2,4b</t>
        </is>
      </c>
      <c r="L78" t="inlineStr">
        <is>
          <t>II 2,4b</t>
        </is>
      </c>
      <c r="M78" t="inlineStr"/>
      <c r="N78" t="inlineStr">
        <is>
          <t xml:space="preserve">Glossae ex illustrissimis auctoribus collectae : </t>
        </is>
      </c>
      <c r="O78" t="inlineStr">
        <is>
          <t xml:space="preserve"> : </t>
        </is>
      </c>
      <c r="P78" t="inlineStr">
        <is>
          <t>X</t>
        </is>
      </c>
      <c r="Q78" t="inlineStr">
        <is>
          <t>3500,00 EUR</t>
        </is>
      </c>
      <c r="R78" t="inlineStr">
        <is>
          <t>Halbledereinband, Schließen, erhabene Buchbeschläge</t>
        </is>
      </c>
      <c r="S78" t="inlineStr">
        <is>
          <t>bis 42 cm</t>
        </is>
      </c>
      <c r="T78" t="inlineStr">
        <is>
          <t>80° bis 110°, einseitig digitalisierbar?</t>
        </is>
      </c>
      <c r="U78" t="inlineStr">
        <is>
          <t>hohler Rücken, erhabene Illuminationen</t>
        </is>
      </c>
      <c r="V78" t="inlineStr">
        <is>
          <t>nicht auflegen</t>
        </is>
      </c>
      <c r="W78" t="inlineStr"/>
      <c r="X78" t="inlineStr"/>
      <c r="Y78" t="n">
        <v>1</v>
      </c>
      <c r="Z78" t="inlineStr"/>
      <c r="AA78" t="inlineStr"/>
      <c r="AB78" t="inlineStr"/>
      <c r="AC78" t="inlineStr"/>
      <c r="AD78" t="inlineStr"/>
      <c r="AE78" t="inlineStr"/>
      <c r="AF78" t="inlineStr"/>
      <c r="AG78" t="inlineStr"/>
      <c r="AH78" t="inlineStr"/>
      <c r="AI78" t="inlineStr">
        <is>
          <t>L</t>
        </is>
      </c>
      <c r="AJ78" t="inlineStr"/>
      <c r="AK78" t="inlineStr">
        <is>
          <t>x</t>
        </is>
      </c>
      <c r="AL78" t="inlineStr"/>
      <c r="AM78" t="inlineStr">
        <is>
          <t>h/E</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is>
          <t>B/I/R</t>
        </is>
      </c>
      <c r="BD78" t="inlineStr">
        <is>
          <t>xx</t>
        </is>
      </c>
      <c r="BE78" t="inlineStr"/>
      <c r="BF78" t="inlineStr"/>
      <c r="BG78" t="inlineStr">
        <is>
          <t>max 110</t>
        </is>
      </c>
      <c r="BH78" t="inlineStr"/>
      <c r="BI78" t="inlineStr"/>
      <c r="BJ78" t="inlineStr"/>
      <c r="BK78" t="inlineStr"/>
      <c r="BL78" t="inlineStr"/>
      <c r="BM78" t="inlineStr">
        <is>
          <t>ja vor</t>
        </is>
      </c>
      <c r="BN78" t="n">
        <v>0.5</v>
      </c>
      <c r="BO78" t="inlineStr"/>
      <c r="BP78" t="inlineStr"/>
      <c r="BQ78" t="inlineStr"/>
      <c r="BR78" t="inlineStr">
        <is>
          <t>x</t>
        </is>
      </c>
      <c r="BS78" t="inlineStr"/>
      <c r="BT78" t="inlineStr"/>
      <c r="BU78" t="inlineStr"/>
      <c r="BV78" t="inlineStr"/>
      <c r="BW78" t="inlineStr"/>
      <c r="BX78" t="inlineStr"/>
      <c r="BY78" t="inlineStr"/>
      <c r="BZ78" t="inlineStr"/>
      <c r="CA78" t="inlineStr"/>
      <c r="CB78" t="inlineStr"/>
      <c r="CC78" t="inlineStr">
        <is>
          <t>x</t>
        </is>
      </c>
      <c r="CD78" t="inlineStr"/>
      <c r="CE78" t="inlineStr"/>
      <c r="CF78" t="inlineStr"/>
      <c r="CG78" t="inlineStr"/>
      <c r="CH78" t="inlineStr"/>
      <c r="CI78" t="inlineStr"/>
      <c r="CJ78" t="inlineStr"/>
      <c r="CK78" t="inlineStr"/>
      <c r="CL78" t="inlineStr"/>
      <c r="CM78" t="n">
        <v>0.5</v>
      </c>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t>
        </is>
      </c>
      <c r="B79" t="b">
        <v>1</v>
      </c>
      <c r="C79" t="inlineStr"/>
      <c r="D79" t="inlineStr"/>
      <c r="E79" t="n">
        <v>86</v>
      </c>
      <c r="F79">
        <f>HYPERLINK("https://portal.dnb.de/opac.htm?method=simpleSearch&amp;cqlMode=true&amp;query=idn%3D1066965870", "Portal")</f>
        <v/>
      </c>
      <c r="G79" t="inlineStr">
        <is>
          <t>Aaf</t>
        </is>
      </c>
      <c r="H79" t="inlineStr">
        <is>
          <t>L-1475-315496150</t>
        </is>
      </c>
      <c r="I79" t="inlineStr">
        <is>
          <t>1066965870</t>
        </is>
      </c>
      <c r="J79" t="inlineStr">
        <is>
          <t>II 2,5a</t>
        </is>
      </c>
      <c r="K79" t="inlineStr">
        <is>
          <t>II 2,5a</t>
        </is>
      </c>
      <c r="L79" t="inlineStr">
        <is>
          <t>II 2,5a</t>
        </is>
      </c>
      <c r="M79" t="inlineStr"/>
      <c r="N79" t="inlineStr">
        <is>
          <t xml:space="preserve">Quinquaginta : </t>
        </is>
      </c>
      <c r="O79" t="inlineStr">
        <is>
          <t xml:space="preserve"> : </t>
        </is>
      </c>
      <c r="P79" t="inlineStr">
        <is>
          <t>X</t>
        </is>
      </c>
      <c r="Q79" t="inlineStr"/>
      <c r="R79" t="inlineStr">
        <is>
          <t>Pergamentband</t>
        </is>
      </c>
      <c r="S79" t="inlineStr">
        <is>
          <t>bis 35 cm</t>
        </is>
      </c>
      <c r="T79" t="inlineStr">
        <is>
          <t>80° bis 110°, einseitig digitalisierbar?</t>
        </is>
      </c>
      <c r="U79" t="inlineStr">
        <is>
          <t>hohler Rücken</t>
        </is>
      </c>
      <c r="V79" t="inlineStr"/>
      <c r="W79" t="inlineStr">
        <is>
          <t>Kassette</t>
        </is>
      </c>
      <c r="X79" t="inlineStr">
        <is>
          <t>Nein</t>
        </is>
      </c>
      <c r="Y79" t="n">
        <v>0</v>
      </c>
      <c r="Z79" t="inlineStr"/>
      <c r="AA79" t="inlineStr"/>
      <c r="AB79" t="inlineStr"/>
      <c r="AC79" t="inlineStr"/>
      <c r="AD79" t="inlineStr"/>
      <c r="AE79" t="inlineStr"/>
      <c r="AF79" t="inlineStr"/>
      <c r="AG79" t="inlineStr"/>
      <c r="AH79" t="inlineStr"/>
      <c r="AI79" t="inlineStr">
        <is>
          <t>Pg</t>
        </is>
      </c>
      <c r="AJ79" t="inlineStr"/>
      <c r="AK79" t="inlineStr"/>
      <c r="AL79" t="inlineStr">
        <is>
          <t>x</t>
        </is>
      </c>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inlineStr"/>
      <c r="BF79" t="inlineStr"/>
      <c r="BG79" t="n">
        <v>110</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t>
        </is>
      </c>
      <c r="B80" t="b">
        <v>1</v>
      </c>
      <c r="C80" t="inlineStr">
        <is>
          <t>x</t>
        </is>
      </c>
      <c r="D80" t="inlineStr"/>
      <c r="E80" t="n">
        <v>87</v>
      </c>
      <c r="F80">
        <f>HYPERLINK("https://portal.dnb.de/opac.htm?method=simpleSearch&amp;cqlMode=true&amp;query=idn%3D106696758X", "Portal")</f>
        <v/>
      </c>
      <c r="G80" t="inlineStr">
        <is>
          <t>Aa</t>
        </is>
      </c>
      <c r="H80" t="inlineStr">
        <is>
          <t>L-1476-315497831</t>
        </is>
      </c>
      <c r="I80" t="inlineStr">
        <is>
          <t>106696758X</t>
        </is>
      </c>
      <c r="J80" t="inlineStr">
        <is>
          <t>II 2,5b</t>
        </is>
      </c>
      <c r="K80" t="inlineStr">
        <is>
          <t>II 2,5b</t>
        </is>
      </c>
      <c r="L80" t="inlineStr">
        <is>
          <t>II 2,5b</t>
        </is>
      </c>
      <c r="M80" t="inlineStr"/>
      <c r="N80" t="inlineStr">
        <is>
          <t xml:space="preserve">Sermones de tempore : </t>
        </is>
      </c>
      <c r="O80" t="inlineStr">
        <is>
          <t xml:space="preserve"> : </t>
        </is>
      </c>
      <c r="P80" t="inlineStr">
        <is>
          <t>X</t>
        </is>
      </c>
      <c r="Q80" t="inlineStr">
        <is>
          <t>1800,00 EUR</t>
        </is>
      </c>
      <c r="R80" t="inlineStr">
        <is>
          <t>Halbledereinband, Schließen, erhabene Buchbeschläge</t>
        </is>
      </c>
      <c r="S80" t="inlineStr">
        <is>
          <t>bis 42 cm</t>
        </is>
      </c>
      <c r="T80" t="inlineStr">
        <is>
          <t>nur sehr geringer Öffnungswinkel</t>
        </is>
      </c>
      <c r="U80" t="inlineStr">
        <is>
          <t>fester Rücken mit Schmuckprägung, erhabene Illuminationen</t>
        </is>
      </c>
      <c r="V80" t="inlineStr">
        <is>
          <t>nicht auflegen</t>
        </is>
      </c>
      <c r="W80" t="inlineStr"/>
      <c r="X80" t="inlineStr">
        <is>
          <t>Signaturfahne austauschen</t>
        </is>
      </c>
      <c r="Y80" t="n">
        <v>0</v>
      </c>
      <c r="Z80" t="inlineStr"/>
      <c r="AA80" t="inlineStr"/>
      <c r="AB80" t="inlineStr"/>
      <c r="AC80" t="inlineStr"/>
      <c r="AD80" t="inlineStr"/>
      <c r="AE80" t="inlineStr"/>
      <c r="AF80" t="inlineStr"/>
      <c r="AG80" t="inlineStr"/>
      <c r="AH80" t="inlineStr"/>
      <c r="AI80" t="inlineStr">
        <is>
          <t>HL</t>
        </is>
      </c>
      <c r="AJ80" t="inlineStr"/>
      <c r="AK80" t="inlineStr">
        <is>
          <t>x</t>
        </is>
      </c>
      <c r="AL80" t="inlineStr"/>
      <c r="AM80" t="inlineStr">
        <is>
          <t>h/E</t>
        </is>
      </c>
      <c r="AN80" t="inlineStr"/>
      <c r="AO80" t="inlineStr"/>
      <c r="AP80" t="inlineStr"/>
      <c r="AQ80" t="inlineStr"/>
      <c r="AR80" t="inlineStr"/>
      <c r="AS80" t="inlineStr">
        <is>
          <t>Pa</t>
        </is>
      </c>
      <c r="AT80" t="inlineStr"/>
      <c r="AU80" t="inlineStr"/>
      <c r="AV80" t="inlineStr"/>
      <c r="AW80" t="inlineStr">
        <is>
          <t>x</t>
        </is>
      </c>
      <c r="AX80" t="inlineStr"/>
      <c r="AY80" t="inlineStr"/>
      <c r="AZ80" t="inlineStr"/>
      <c r="BA80" t="inlineStr"/>
      <c r="BB80" t="inlineStr"/>
      <c r="BC80" t="inlineStr">
        <is>
          <t>I/R</t>
        </is>
      </c>
      <c r="BD80" t="inlineStr">
        <is>
          <t>xx</t>
        </is>
      </c>
      <c r="BE80" t="inlineStr"/>
      <c r="BF80" t="inlineStr"/>
      <c r="BG80" t="n">
        <v>60</v>
      </c>
      <c r="BH80" t="inlineStr"/>
      <c r="BI80" t="inlineStr"/>
      <c r="BJ80" t="inlineStr"/>
      <c r="BK80" t="inlineStr"/>
      <c r="BL80" t="inlineStr"/>
      <c r="BM80" t="inlineStr">
        <is>
          <t>ja vor</t>
        </is>
      </c>
      <c r="BN80" t="n">
        <v>40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is>
          <t>x</t>
        </is>
      </c>
      <c r="CR80" t="inlineStr"/>
      <c r="CS80" t="inlineStr"/>
      <c r="CT80" t="inlineStr"/>
      <c r="CU80" t="inlineStr"/>
      <c r="CV80" t="inlineStr"/>
      <c r="CW80" t="inlineStr"/>
      <c r="CX80" t="inlineStr"/>
      <c r="CY80" t="inlineStr"/>
      <c r="CZ80" t="inlineStr"/>
      <c r="DA80" t="inlineStr"/>
      <c r="DB80" t="inlineStr"/>
      <c r="DC80" t="inlineStr"/>
      <c r="DD80" t="inlineStr"/>
      <c r="DE80" t="inlineStr"/>
      <c r="DF80" t="n">
        <v>40</v>
      </c>
      <c r="DG80" t="inlineStr"/>
    </row>
    <row r="81">
      <c r="A81" t="inlineStr">
        <is>
          <t>II</t>
        </is>
      </c>
      <c r="B81" t="b">
        <v>1</v>
      </c>
      <c r="C81" t="inlineStr">
        <is>
          <t>x</t>
        </is>
      </c>
      <c r="D81" t="inlineStr"/>
      <c r="E81" t="n">
        <v>88</v>
      </c>
      <c r="F81">
        <f>HYPERLINK("https://portal.dnb.de/opac.htm?method=simpleSearch&amp;cqlMode=true&amp;query=idn%3D1066965250", "Portal")</f>
        <v/>
      </c>
      <c r="G81" t="inlineStr">
        <is>
          <t>Aaf</t>
        </is>
      </c>
      <c r="H81" t="inlineStr">
        <is>
          <t>L-1476-315495413</t>
        </is>
      </c>
      <c r="I81" t="inlineStr">
        <is>
          <t>1066965250</t>
        </is>
      </c>
      <c r="J81" t="inlineStr">
        <is>
          <t>II 2,5c</t>
        </is>
      </c>
      <c r="K81" t="inlineStr">
        <is>
          <t>II 2,5c</t>
        </is>
      </c>
      <c r="L81" t="inlineStr">
        <is>
          <t>II 2,5c</t>
        </is>
      </c>
      <c r="M81" t="inlineStr"/>
      <c r="N81" t="inlineStr">
        <is>
          <t xml:space="preserve">Expositio in evangelium S. Lucae : </t>
        </is>
      </c>
      <c r="O81" t="inlineStr">
        <is>
          <t xml:space="preserve"> : </t>
        </is>
      </c>
      <c r="P81" t="inlineStr">
        <is>
          <t>X</t>
        </is>
      </c>
      <c r="Q81" t="inlineStr">
        <is>
          <t>6567,00 EUR</t>
        </is>
      </c>
      <c r="R81" t="inlineStr">
        <is>
          <t>Ledereinband</t>
        </is>
      </c>
      <c r="S81" t="inlineStr">
        <is>
          <t>bis 35 cm</t>
        </is>
      </c>
      <c r="T81" t="inlineStr">
        <is>
          <t>80° bis 110°, einseitig digitalisierbar?</t>
        </is>
      </c>
      <c r="U81" t="inlineStr">
        <is>
          <t>fester Rücken mit Schmuckprägung, welliger Buchblock, stark brüchiges Einbandmaterial</t>
        </is>
      </c>
      <c r="V81" t="inlineStr"/>
      <c r="W81" t="inlineStr">
        <is>
          <t>Kassette</t>
        </is>
      </c>
      <c r="X81" t="inlineStr">
        <is>
          <t>Nein</t>
        </is>
      </c>
      <c r="Y81" t="n">
        <v>3</v>
      </c>
      <c r="Z81" t="inlineStr"/>
      <c r="AA81" t="inlineStr"/>
      <c r="AB81" t="inlineStr"/>
      <c r="AC81" t="inlineStr"/>
      <c r="AD81" t="inlineStr"/>
      <c r="AE81" t="inlineStr"/>
      <c r="AF81" t="inlineStr"/>
      <c r="AG81" t="inlineStr"/>
      <c r="AH81" t="inlineStr"/>
      <c r="AI81" t="inlineStr">
        <is>
          <t>L</t>
        </is>
      </c>
      <c r="AJ81" t="inlineStr"/>
      <c r="AK81" t="inlineStr">
        <is>
          <t>x</t>
        </is>
      </c>
      <c r="AL81" t="inlineStr"/>
      <c r="AM81" t="inlineStr">
        <is>
          <t>f/V</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60</v>
      </c>
      <c r="BH81" t="inlineStr"/>
      <c r="BI81" t="inlineStr"/>
      <c r="BJ81" t="inlineStr"/>
      <c r="BK81" t="inlineStr"/>
      <c r="BL81" t="inlineStr"/>
      <c r="BM81" t="inlineStr">
        <is>
          <t>ja vor</t>
        </is>
      </c>
      <c r="BN81" t="n">
        <v>6</v>
      </c>
      <c r="BO81" t="inlineStr"/>
      <c r="BP81" t="inlineStr">
        <is>
          <t>Wellpappe</t>
        </is>
      </c>
      <c r="BQ81" t="inlineStr"/>
      <c r="BR81" t="inlineStr"/>
      <c r="BS81" t="inlineStr"/>
      <c r="BT81" t="inlineStr"/>
      <c r="BU81" t="inlineStr"/>
      <c r="BV81" t="inlineStr"/>
      <c r="BW81" t="inlineStr"/>
      <c r="BX81" t="inlineStr"/>
      <c r="BY81" t="inlineStr"/>
      <c r="BZ81" t="inlineStr"/>
      <c r="CA81" t="inlineStr">
        <is>
          <t>x</t>
        </is>
      </c>
      <c r="CB81" t="inlineStr">
        <is>
          <t>x</t>
        </is>
      </c>
      <c r="CC81" t="inlineStr">
        <is>
          <t>x</t>
        </is>
      </c>
      <c r="CD81" t="inlineStr">
        <is>
          <t>v/h</t>
        </is>
      </c>
      <c r="CE81" t="n">
        <v>1</v>
      </c>
      <c r="CF81" t="inlineStr"/>
      <c r="CG81" t="inlineStr"/>
      <c r="CH81" t="inlineStr"/>
      <c r="CI81" t="inlineStr"/>
      <c r="CJ81" t="inlineStr"/>
      <c r="CK81" t="inlineStr"/>
      <c r="CL81" t="inlineStr"/>
      <c r="CM81" t="n">
        <v>6</v>
      </c>
      <c r="CN81" t="inlineStr">
        <is>
          <t>Gelenk mit JP unterlegen, Gelenke mit JP überfangen, Ecken stabilisieren</t>
        </is>
      </c>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t>
        </is>
      </c>
      <c r="B82" t="b">
        <v>1</v>
      </c>
      <c r="C82" t="inlineStr"/>
      <c r="D82" t="inlineStr"/>
      <c r="E82" t="n">
        <v>89</v>
      </c>
      <c r="F82">
        <f>HYPERLINK("https://portal.dnb.de/opac.htm?method=simpleSearch&amp;cqlMode=true&amp;query=idn%3D1066972400", "Portal")</f>
        <v/>
      </c>
      <c r="G82" t="inlineStr">
        <is>
          <t>Aaf</t>
        </is>
      </c>
      <c r="H82" t="inlineStr">
        <is>
          <t>L-1486-315502827</t>
        </is>
      </c>
      <c r="I82" t="inlineStr">
        <is>
          <t>1066972400</t>
        </is>
      </c>
      <c r="J82" t="inlineStr">
        <is>
          <t>II 2,5g</t>
        </is>
      </c>
      <c r="K82" t="inlineStr">
        <is>
          <t>II 2,5g</t>
        </is>
      </c>
      <c r="L82" t="inlineStr">
        <is>
          <t>II 2,5g</t>
        </is>
      </c>
      <c r="M82" t="inlineStr"/>
      <c r="N82" t="inlineStr">
        <is>
          <t xml:space="preserve">Die @wahre Nachfolgung Christi : </t>
        </is>
      </c>
      <c r="O82" t="inlineStr">
        <is>
          <t xml:space="preserve"> : </t>
        </is>
      </c>
      <c r="P82" t="inlineStr">
        <is>
          <t>X</t>
        </is>
      </c>
      <c r="Q82" t="inlineStr"/>
      <c r="R82" t="inlineStr">
        <is>
          <t>Halbledereinband, Schließen, erhabene Buchbeschläge</t>
        </is>
      </c>
      <c r="S82" t="inlineStr">
        <is>
          <t>bis 25 cm</t>
        </is>
      </c>
      <c r="T82" t="inlineStr">
        <is>
          <t>nur sehr geringer Öffnungswinkel</t>
        </is>
      </c>
      <c r="U82" t="inlineStr">
        <is>
          <t>erhabene Illuminationen</t>
        </is>
      </c>
      <c r="V82" t="inlineStr">
        <is>
          <t>nicht auflegen</t>
        </is>
      </c>
      <c r="W82" t="inlineStr">
        <is>
          <t>Kassette</t>
        </is>
      </c>
      <c r="X82" t="inlineStr">
        <is>
          <t>Nein</t>
        </is>
      </c>
      <c r="Y82" t="n">
        <v>0</v>
      </c>
      <c r="Z82" t="inlineStr"/>
      <c r="AA82" t="inlineStr"/>
      <c r="AB82" t="inlineStr"/>
      <c r="AC82" t="inlineStr"/>
      <c r="AD82" t="inlineStr"/>
      <c r="AE82" t="inlineStr"/>
      <c r="AF82" t="inlineStr"/>
      <c r="AG82" t="inlineStr"/>
      <c r="AH82" t="inlineStr"/>
      <c r="AI82" t="inlineStr">
        <is>
          <t>HD</t>
        </is>
      </c>
      <c r="AJ82" t="inlineStr"/>
      <c r="AK82" t="inlineStr"/>
      <c r="AL82" t="inlineStr">
        <is>
          <t>x</t>
        </is>
      </c>
      <c r="AM82" t="inlineStr">
        <is>
          <t>f</t>
        </is>
      </c>
      <c r="AN82" t="inlineStr"/>
      <c r="AO82" t="inlineStr"/>
      <c r="AP82" t="inlineStr"/>
      <c r="AQ82" t="inlineStr"/>
      <c r="AR82" t="inlineStr"/>
      <c r="AS82" t="inlineStr">
        <is>
          <t>Pa</t>
        </is>
      </c>
      <c r="AT82" t="inlineStr"/>
      <c r="AU82" t="inlineStr"/>
      <c r="AV82" t="inlineStr"/>
      <c r="AW82" t="inlineStr"/>
      <c r="AX82" t="inlineStr">
        <is>
          <t>x</t>
        </is>
      </c>
      <c r="AY82" t="inlineStr"/>
      <c r="AZ82" t="inlineStr"/>
      <c r="BA82" t="inlineStr"/>
      <c r="BB82" t="inlineStr"/>
      <c r="BC82" t="inlineStr">
        <is>
          <t>I/R</t>
        </is>
      </c>
      <c r="BD82" t="inlineStr">
        <is>
          <t>x</t>
        </is>
      </c>
      <c r="BE82" t="inlineStr"/>
      <c r="BF82" t="inlineStr"/>
      <c r="BG82" t="n">
        <v>110</v>
      </c>
      <c r="BH82" t="inlineStr"/>
      <c r="BI82" t="inlineStr"/>
      <c r="BJ82" t="inlineStr"/>
      <c r="BK82" t="inlineStr"/>
      <c r="BL82" t="inlineStr"/>
      <c r="BM82" t="inlineStr">
        <is>
          <t>n</t>
        </is>
      </c>
      <c r="BN82" t="n">
        <v>0</v>
      </c>
      <c r="BO82" t="inlineStr"/>
      <c r="BP82" t="inlineStr">
        <is>
          <t>Wellpappe</t>
        </is>
      </c>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t>
        </is>
      </c>
      <c r="B83" t="b">
        <v>1</v>
      </c>
      <c r="C83" t="inlineStr"/>
      <c r="D83" t="inlineStr"/>
      <c r="E83" t="n">
        <v>90</v>
      </c>
      <c r="F83">
        <f>HYPERLINK("https://portal.dnb.de/opac.htm?method=simpleSearch&amp;cqlMode=true&amp;query=idn%3D1066967210", "Portal")</f>
        <v/>
      </c>
      <c r="G83" t="inlineStr">
        <is>
          <t>Aaf</t>
        </is>
      </c>
      <c r="H83" t="inlineStr">
        <is>
          <t>L-1488-315497483</t>
        </is>
      </c>
      <c r="I83" t="inlineStr">
        <is>
          <t>1066967210</t>
        </is>
      </c>
      <c r="J83" t="inlineStr">
        <is>
          <t>II 2,5h</t>
        </is>
      </c>
      <c r="K83" t="inlineStr">
        <is>
          <t>II 2,5h</t>
        </is>
      </c>
      <c r="L83" t="inlineStr">
        <is>
          <t>II 2,5h</t>
        </is>
      </c>
      <c r="M83" t="inlineStr"/>
      <c r="N83" t="inlineStr">
        <is>
          <t xml:space="preserve">Die @heiligen Reisen gen Jerusalem : </t>
        </is>
      </c>
      <c r="O83" t="inlineStr">
        <is>
          <t xml:space="preserve"> : </t>
        </is>
      </c>
      <c r="P83" t="inlineStr">
        <is>
          <t>X</t>
        </is>
      </c>
      <c r="Q83" t="inlineStr"/>
      <c r="R83" t="inlineStr">
        <is>
          <t>Ledereinband</t>
        </is>
      </c>
      <c r="S83" t="inlineStr">
        <is>
          <t>bis 35 cm</t>
        </is>
      </c>
      <c r="T83" t="inlineStr">
        <is>
          <t>80° bis 110°, einseitig digitalisierbar?</t>
        </is>
      </c>
      <c r="U83" t="inlineStr">
        <is>
          <t>erhabene Illuminationen</t>
        </is>
      </c>
      <c r="V83" t="inlineStr">
        <is>
          <t>nicht auflegen</t>
        </is>
      </c>
      <c r="W83" t="inlineStr">
        <is>
          <t>Kassette</t>
        </is>
      </c>
      <c r="X83" t="inlineStr">
        <is>
          <t>Nein</t>
        </is>
      </c>
      <c r="Y83" t="n">
        <v>0</v>
      </c>
      <c r="Z83" t="inlineStr"/>
      <c r="AA83" t="inlineStr"/>
      <c r="AB83" t="inlineStr"/>
      <c r="AC83" t="inlineStr"/>
      <c r="AD83" t="inlineStr"/>
      <c r="AE83" t="inlineStr"/>
      <c r="AF83" t="inlineStr"/>
      <c r="AG83" t="inlineStr"/>
      <c r="AH83" t="inlineStr"/>
      <c r="AI83" t="inlineStr">
        <is>
          <t>L</t>
        </is>
      </c>
      <c r="AJ83" t="inlineStr"/>
      <c r="AK83" t="inlineStr"/>
      <c r="AL83" t="inlineStr">
        <is>
          <t>x</t>
        </is>
      </c>
      <c r="AM83" t="inlineStr">
        <is>
          <t>f</t>
        </is>
      </c>
      <c r="AN83" t="inlineStr"/>
      <c r="AO83" t="inlineStr"/>
      <c r="AP83" t="inlineStr"/>
      <c r="AQ83" t="inlineStr"/>
      <c r="AR83" t="inlineStr"/>
      <c r="AS83" t="inlineStr">
        <is>
          <t>Pa</t>
        </is>
      </c>
      <c r="AT83" t="inlineStr"/>
      <c r="AU83" t="inlineStr"/>
      <c r="AV83" t="inlineStr"/>
      <c r="AW83" t="inlineStr"/>
      <c r="AX83" t="inlineStr">
        <is>
          <t>x</t>
        </is>
      </c>
      <c r="AY83" t="inlineStr"/>
      <c r="AZ83" t="inlineStr"/>
      <c r="BA83" t="inlineStr"/>
      <c r="BB83" t="inlineStr"/>
      <c r="BC83" t="inlineStr"/>
      <c r="BD83" t="inlineStr"/>
      <c r="BE83" t="inlineStr"/>
      <c r="BF83" t="inlineStr"/>
      <c r="BG83" t="inlineStr">
        <is>
          <t>max 180</t>
        </is>
      </c>
      <c r="BH83" t="inlineStr"/>
      <c r="BI83" t="inlineStr"/>
      <c r="BJ83" t="inlineStr"/>
      <c r="BK83" t="inlineStr"/>
      <c r="BL83" t="inlineStr"/>
      <c r="BM83" t="inlineStr">
        <is>
          <t>n</t>
        </is>
      </c>
      <c r="BN83" t="n">
        <v>0</v>
      </c>
      <c r="BO83" t="inlineStr"/>
      <c r="BP83" t="inlineStr">
        <is>
          <t>Gewebe</t>
        </is>
      </c>
      <c r="BQ83" t="inlineStr"/>
      <c r="BR83" t="inlineStr"/>
      <c r="BS83" t="inlineStr"/>
      <c r="BT83" t="inlineStr"/>
      <c r="BU83" t="inlineStr"/>
      <c r="BV83" t="inlineStr">
        <is>
          <t>geringerer Öffnungswinkel mindert "Bauch"</t>
        </is>
      </c>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t>
        </is>
      </c>
      <c r="B84" t="b">
        <v>1</v>
      </c>
      <c r="C84" t="inlineStr"/>
      <c r="D84" t="inlineStr"/>
      <c r="E84" t="n">
        <v>91</v>
      </c>
      <c r="F84">
        <f>HYPERLINK("https://portal.dnb.de/opac.htm?method=simpleSearch&amp;cqlMode=true&amp;query=idn%3D1072051486", "Portal")</f>
        <v/>
      </c>
      <c r="G84" t="inlineStr">
        <is>
          <t>Aa</t>
        </is>
      </c>
      <c r="H84" t="inlineStr">
        <is>
          <t>L-1489-326851933</t>
        </is>
      </c>
      <c r="I84" t="inlineStr">
        <is>
          <t>1072051486</t>
        </is>
      </c>
      <c r="J84" t="inlineStr">
        <is>
          <t>II 2,5k</t>
        </is>
      </c>
      <c r="K84" t="inlineStr">
        <is>
          <t>II 2,5k</t>
        </is>
      </c>
      <c r="L84" t="inlineStr">
        <is>
          <t>II 2,5k</t>
        </is>
      </c>
      <c r="M84" t="inlineStr"/>
      <c r="N84" t="inlineStr">
        <is>
          <t xml:space="preserve">Cursus hinc inde collecti : </t>
        </is>
      </c>
      <c r="O84" t="inlineStr">
        <is>
          <t xml:space="preserve"> : </t>
        </is>
      </c>
      <c r="P84" t="inlineStr">
        <is>
          <t>X</t>
        </is>
      </c>
      <c r="Q84" t="inlineStr"/>
      <c r="R84" t="inlineStr">
        <is>
          <t>Ledereinband</t>
        </is>
      </c>
      <c r="S84" t="inlineStr">
        <is>
          <t>bis 25 cm</t>
        </is>
      </c>
      <c r="T84" t="inlineStr">
        <is>
          <t>nur sehr geringer Öffnungswinkel</t>
        </is>
      </c>
      <c r="U84" t="inlineStr">
        <is>
          <t>Schrift bis in den Falz, erhabene Illuminationen</t>
        </is>
      </c>
      <c r="V84" t="inlineStr">
        <is>
          <t>nicht auflegen</t>
        </is>
      </c>
      <c r="W84" t="inlineStr">
        <is>
          <t>Kassette</t>
        </is>
      </c>
      <c r="X84" t="inlineStr">
        <is>
          <t>Nein</t>
        </is>
      </c>
      <c r="Y84" t="n">
        <v>0</v>
      </c>
      <c r="Z84" t="inlineStr"/>
      <c r="AA84" t="inlineStr"/>
      <c r="AB84" t="inlineStr"/>
      <c r="AC84" t="inlineStr"/>
      <c r="AD84" t="inlineStr"/>
      <c r="AE84" t="inlineStr"/>
      <c r="AF84" t="inlineStr"/>
      <c r="AG84" t="inlineStr"/>
      <c r="AH84" t="inlineStr"/>
      <c r="AI84" t="inlineStr">
        <is>
          <t>L</t>
        </is>
      </c>
      <c r="AJ84" t="inlineStr"/>
      <c r="AK84" t="inlineStr"/>
      <c r="AL84" t="inlineStr">
        <is>
          <t>x</t>
        </is>
      </c>
      <c r="AM84" t="inlineStr">
        <is>
          <t>f</t>
        </is>
      </c>
      <c r="AN84" t="inlineStr"/>
      <c r="AO84" t="inlineStr"/>
      <c r="AP84" t="inlineStr"/>
      <c r="AQ84" t="inlineStr"/>
      <c r="AR84" t="inlineStr"/>
      <c r="AS84" t="inlineStr">
        <is>
          <t>Pa</t>
        </is>
      </c>
      <c r="AT84" t="inlineStr"/>
      <c r="AU84" t="inlineStr"/>
      <c r="AV84" t="inlineStr"/>
      <c r="AW84" t="inlineStr"/>
      <c r="AX84" t="inlineStr">
        <is>
          <t>x</t>
        </is>
      </c>
      <c r="AY84" t="inlineStr"/>
      <c r="AZ84" t="inlineStr"/>
      <c r="BA84" t="inlineStr"/>
      <c r="BB84" t="inlineStr"/>
      <c r="BC84" t="inlineStr">
        <is>
          <t>I/R</t>
        </is>
      </c>
      <c r="BD84" t="inlineStr">
        <is>
          <t>x</t>
        </is>
      </c>
      <c r="BE84" t="n">
        <v>2</v>
      </c>
      <c r="BF84" t="inlineStr"/>
      <c r="BG84" t="inlineStr">
        <is>
          <t>max 180</t>
        </is>
      </c>
      <c r="BH84" t="inlineStr"/>
      <c r="BI84" t="inlineStr"/>
      <c r="BJ84" t="inlineStr"/>
      <c r="BK84" t="inlineStr"/>
      <c r="BL84" t="inlineStr"/>
      <c r="BM84" t="inlineStr">
        <is>
          <t>n</t>
        </is>
      </c>
      <c r="BN84" t="n">
        <v>0</v>
      </c>
      <c r="BO84" t="inlineStr"/>
      <c r="BP84" t="inlineStr">
        <is>
          <t>Gewebe</t>
        </is>
      </c>
      <c r="BQ84" t="inlineStr"/>
      <c r="BR84" t="inlineStr"/>
      <c r="BS84" t="inlineStr"/>
      <c r="BT84" t="inlineStr"/>
      <c r="BU84" t="inlineStr"/>
      <c r="BV84" t="inlineStr">
        <is>
          <t>geringerer Öffnungswinkel mindert "Bauch"</t>
        </is>
      </c>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t>
        </is>
      </c>
      <c r="B85" t="b">
        <v>1</v>
      </c>
      <c r="C85" t="inlineStr"/>
      <c r="D85" t="inlineStr"/>
      <c r="E85" t="n">
        <v>92</v>
      </c>
      <c r="F85">
        <f>HYPERLINK("https://portal.dnb.de/opac.htm?method=simpleSearch&amp;cqlMode=true&amp;query=idn%3D1066967288", "Portal")</f>
        <v/>
      </c>
      <c r="G85" t="inlineStr">
        <is>
          <t>Aaf</t>
        </is>
      </c>
      <c r="H85" t="inlineStr">
        <is>
          <t>L-1490-315497548</t>
        </is>
      </c>
      <c r="I85" t="inlineStr">
        <is>
          <t>1066967288</t>
        </is>
      </c>
      <c r="J85" t="inlineStr">
        <is>
          <t>II 2,5l</t>
        </is>
      </c>
      <c r="K85" t="inlineStr">
        <is>
          <t>II 2,5l</t>
        </is>
      </c>
      <c r="L85" t="inlineStr">
        <is>
          <t>II 2,5l</t>
        </is>
      </c>
      <c r="M85" t="inlineStr"/>
      <c r="N85" t="inlineStr">
        <is>
          <t xml:space="preserve">Buch von dem Leben und Sitten der heydnischen Maister : </t>
        </is>
      </c>
      <c r="O85" t="inlineStr">
        <is>
          <t xml:space="preserve"> : </t>
        </is>
      </c>
      <c r="P85" t="inlineStr">
        <is>
          <t>X</t>
        </is>
      </c>
      <c r="Q85" t="inlineStr"/>
      <c r="R85" t="inlineStr">
        <is>
          <t>Ledereinband, Schließen, erhabene Buchbeschläge</t>
        </is>
      </c>
      <c r="S85" t="inlineStr">
        <is>
          <t>bis 25 cm</t>
        </is>
      </c>
      <c r="T85" t="inlineStr">
        <is>
          <t>nur sehr geringer Öffnungswinkel</t>
        </is>
      </c>
      <c r="U85" t="inlineStr"/>
      <c r="V85" t="inlineStr"/>
      <c r="W85" t="inlineStr">
        <is>
          <t>Kassette</t>
        </is>
      </c>
      <c r="X85" t="inlineStr">
        <is>
          <t>Nein</t>
        </is>
      </c>
      <c r="Y85" t="n">
        <v>0</v>
      </c>
      <c r="Z85" t="inlineStr"/>
      <c r="AA85" t="inlineStr">
        <is>
          <t>Originaleinband separat</t>
        </is>
      </c>
      <c r="AB85" t="inlineStr"/>
      <c r="AC85" t="inlineStr"/>
      <c r="AD85" t="inlineStr"/>
      <c r="AE85" t="inlineStr"/>
      <c r="AF85" t="inlineStr"/>
      <c r="AG85" t="inlineStr"/>
      <c r="AH85" t="inlineStr"/>
      <c r="AI85" t="inlineStr">
        <is>
          <t>HD</t>
        </is>
      </c>
      <c r="AJ85" t="inlineStr"/>
      <c r="AK85" t="inlineStr"/>
      <c r="AL85" t="inlineStr">
        <is>
          <t>x</t>
        </is>
      </c>
      <c r="AM85" t="inlineStr">
        <is>
          <t>f</t>
        </is>
      </c>
      <c r="AN85" t="inlineStr"/>
      <c r="AO85" t="inlineStr"/>
      <c r="AP85" t="inlineStr"/>
      <c r="AQ85" t="inlineStr"/>
      <c r="AR85" t="inlineStr"/>
      <c r="AS85" t="inlineStr">
        <is>
          <t>Pa</t>
        </is>
      </c>
      <c r="AT85" t="inlineStr"/>
      <c r="AU85" t="inlineStr"/>
      <c r="AV85" t="inlineStr"/>
      <c r="AW85" t="inlineStr"/>
      <c r="AX85" t="inlineStr">
        <is>
          <t>x</t>
        </is>
      </c>
      <c r="AY85" t="inlineStr"/>
      <c r="AZ85" t="inlineStr"/>
      <c r="BA85" t="inlineStr"/>
      <c r="BB85" t="inlineStr"/>
      <c r="BC85" t="inlineStr"/>
      <c r="BD85" t="inlineStr"/>
      <c r="BE85" t="n">
        <v>2</v>
      </c>
      <c r="BF85" t="inlineStr"/>
      <c r="BG85" t="n">
        <v>110</v>
      </c>
      <c r="BH85" t="inlineStr"/>
      <c r="BI85" t="inlineStr"/>
      <c r="BJ85" t="inlineStr"/>
      <c r="BK85" t="inlineStr"/>
      <c r="BL85" t="inlineStr"/>
      <c r="BM85" t="inlineStr">
        <is>
          <t>n</t>
        </is>
      </c>
      <c r="BN85" t="n">
        <v>0</v>
      </c>
      <c r="BO85" t="inlineStr"/>
      <c r="BP85" t="inlineStr">
        <is>
          <t>Gewebe</t>
        </is>
      </c>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t>
        </is>
      </c>
      <c r="B86" t="b">
        <v>1</v>
      </c>
      <c r="C86" t="inlineStr"/>
      <c r="D86" t="inlineStr"/>
      <c r="E86" t="n">
        <v>93</v>
      </c>
      <c r="F86">
        <f>HYPERLINK("https://portal.dnb.de/opac.htm?method=simpleSearch&amp;cqlMode=true&amp;query=idn%3D1066971455", "Portal")</f>
        <v/>
      </c>
      <c r="G86" t="inlineStr">
        <is>
          <t>Aaf</t>
        </is>
      </c>
      <c r="H86" t="inlineStr">
        <is>
          <t>L-1476-315501839</t>
        </is>
      </c>
      <c r="I86" t="inlineStr">
        <is>
          <t>1066971455</t>
        </is>
      </c>
      <c r="J86" t="inlineStr">
        <is>
          <t>II 2,5n</t>
        </is>
      </c>
      <c r="K86" t="inlineStr">
        <is>
          <t>II 2,5n</t>
        </is>
      </c>
      <c r="L86" t="inlineStr">
        <is>
          <t>II 2,5n</t>
        </is>
      </c>
      <c r="M86" t="inlineStr"/>
      <c r="N86" t="inlineStr">
        <is>
          <t xml:space="preserve">De oculo morali : </t>
        </is>
      </c>
      <c r="O86" t="inlineStr">
        <is>
          <t xml:space="preserve"> : </t>
        </is>
      </c>
      <c r="P86" t="inlineStr">
        <is>
          <t>X</t>
        </is>
      </c>
      <c r="Q86" t="inlineStr"/>
      <c r="R86" t="inlineStr">
        <is>
          <t>Gewebeeinband, Schließen, erhabene Buchbeschläge</t>
        </is>
      </c>
      <c r="S86" t="inlineStr">
        <is>
          <t>bis 35 cm</t>
        </is>
      </c>
      <c r="T86" t="inlineStr">
        <is>
          <t>80° bis 110°, einseitig digitalisierbar?</t>
        </is>
      </c>
      <c r="U86" t="inlineStr">
        <is>
          <t>hohler Rücken, welliger Buchblock, erhabene Illuminationen</t>
        </is>
      </c>
      <c r="V86" t="inlineStr">
        <is>
          <t>nicht auflegen</t>
        </is>
      </c>
      <c r="W86" t="inlineStr">
        <is>
          <t>Kassette</t>
        </is>
      </c>
      <c r="X86" t="inlineStr">
        <is>
          <t>Nein</t>
        </is>
      </c>
      <c r="Y86" t="n">
        <v>1</v>
      </c>
      <c r="Z86" t="inlineStr"/>
      <c r="AA86" t="inlineStr"/>
      <c r="AB86" t="inlineStr"/>
      <c r="AC86" t="inlineStr"/>
      <c r="AD86" t="inlineStr"/>
      <c r="AE86" t="inlineStr"/>
      <c r="AF86" t="inlineStr"/>
      <c r="AG86" t="inlineStr"/>
      <c r="AH86" t="inlineStr"/>
      <c r="AI86" t="inlineStr">
        <is>
          <t>G</t>
        </is>
      </c>
      <c r="AJ86" t="inlineStr"/>
      <c r="AK86" t="inlineStr">
        <is>
          <t>x</t>
        </is>
      </c>
      <c r="AL86" t="inlineStr"/>
      <c r="AM86" t="inlineStr">
        <is>
          <t>h</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180</v>
      </c>
      <c r="BH86" t="inlineStr"/>
      <c r="BI86" t="inlineStr"/>
      <c r="BJ86" t="inlineStr"/>
      <c r="BK86" t="inlineStr"/>
      <c r="BL86" t="inlineStr"/>
      <c r="BM86" t="inlineStr">
        <is>
          <t>n</t>
        </is>
      </c>
      <c r="BN86" t="n">
        <v>0</v>
      </c>
      <c r="BO86" t="inlineStr"/>
      <c r="BP86" t="inlineStr">
        <is>
          <t>Wellpappe</t>
        </is>
      </c>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t>
        </is>
      </c>
      <c r="B87" t="b">
        <v>1</v>
      </c>
      <c r="C87" t="inlineStr"/>
      <c r="D87" t="inlineStr"/>
      <c r="E87" t="n">
        <v>94</v>
      </c>
      <c r="F87">
        <f>HYPERLINK("https://portal.dnb.de/opac.htm?method=simpleSearch&amp;cqlMode=true&amp;query=idn%3D1067436936", "Portal")</f>
        <v/>
      </c>
      <c r="G87" t="inlineStr">
        <is>
          <t>Aal</t>
        </is>
      </c>
      <c r="H87" t="inlineStr">
        <is>
          <t>L-9999-316397652</t>
        </is>
      </c>
      <c r="I87" t="inlineStr">
        <is>
          <t>1067436936</t>
        </is>
      </c>
      <c r="J87" t="inlineStr">
        <is>
          <t>II 2,5 o - Fragm</t>
        </is>
      </c>
      <c r="K87" t="inlineStr">
        <is>
          <t>II 2,5 o - Fragm</t>
        </is>
      </c>
      <c r="L87" t="inlineStr">
        <is>
          <t>II 2,5o - Fragm</t>
        </is>
      </c>
      <c r="M87" t="inlineStr"/>
      <c r="N87" t="inlineStr">
        <is>
          <t xml:space="preserve">Warumb klaidest du dich so in manniger Gestalt : </t>
        </is>
      </c>
      <c r="O87" t="inlineStr">
        <is>
          <t xml:space="preserve"> : </t>
        </is>
      </c>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t>
        </is>
      </c>
      <c r="B88" t="b">
        <v>1</v>
      </c>
      <c r="C88" t="inlineStr"/>
      <c r="D88" t="inlineStr"/>
      <c r="E88" t="n">
        <v>95</v>
      </c>
      <c r="F88">
        <f>HYPERLINK("https://portal.dnb.de/opac.htm?method=simpleSearch&amp;cqlMode=true&amp;query=idn%3D1066966966", "Portal")</f>
        <v/>
      </c>
      <c r="G88" t="inlineStr">
        <is>
          <t>Aaf</t>
        </is>
      </c>
      <c r="H88" t="inlineStr">
        <is>
          <t>L-1477-315497262</t>
        </is>
      </c>
      <c r="I88" t="inlineStr">
        <is>
          <t>1066966966</t>
        </is>
      </c>
      <c r="J88" t="inlineStr">
        <is>
          <t>II 2,5p</t>
        </is>
      </c>
      <c r="K88" t="inlineStr">
        <is>
          <t>II 2,5p</t>
        </is>
      </c>
      <c r="L88" t="inlineStr">
        <is>
          <t>II 2,5p</t>
        </is>
      </c>
      <c r="M88" t="inlineStr"/>
      <c r="N88" t="inlineStr">
        <is>
          <t xml:space="preserve">Speculum Beatae Mariae Virginis : </t>
        </is>
      </c>
      <c r="O88" t="inlineStr">
        <is>
          <t xml:space="preserve"> : </t>
        </is>
      </c>
      <c r="P88" t="inlineStr"/>
      <c r="Q88" t="inlineStr"/>
      <c r="R88" t="inlineStr">
        <is>
          <t>Halbpergamentband</t>
        </is>
      </c>
      <c r="S88" t="inlineStr">
        <is>
          <t>bis 35 cm</t>
        </is>
      </c>
      <c r="T88" t="inlineStr">
        <is>
          <t>180°</t>
        </is>
      </c>
      <c r="U88" t="inlineStr">
        <is>
          <t>hohler Rücken, erhabene Illuminationen</t>
        </is>
      </c>
      <c r="V88" t="inlineStr">
        <is>
          <t>nicht auflegen</t>
        </is>
      </c>
      <c r="W88" t="inlineStr">
        <is>
          <t>Kassette</t>
        </is>
      </c>
      <c r="X88" t="inlineStr">
        <is>
          <t>Nein</t>
        </is>
      </c>
      <c r="Y88" t="n">
        <v>1</v>
      </c>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n">
        <v>0</v>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t>
        </is>
      </c>
      <c r="B89" t="b">
        <v>1</v>
      </c>
      <c r="C89" t="inlineStr"/>
      <c r="D89" t="inlineStr"/>
      <c r="E89" t="n">
        <v>96</v>
      </c>
      <c r="F89">
        <f>HYPERLINK("https://portal.dnb.de/opac.htm?method=simpleSearch&amp;cqlMode=true&amp;query=idn%3D106696842X", "Portal")</f>
        <v/>
      </c>
      <c r="G89" t="inlineStr">
        <is>
          <t>Aa</t>
        </is>
      </c>
      <c r="H89" t="inlineStr">
        <is>
          <t>L-1475-315498676</t>
        </is>
      </c>
      <c r="I89" t="inlineStr">
        <is>
          <t>106696842X</t>
        </is>
      </c>
      <c r="J89" t="inlineStr">
        <is>
          <t>II 2,6a</t>
        </is>
      </c>
      <c r="K89" t="inlineStr">
        <is>
          <t>II 2,6a</t>
        </is>
      </c>
      <c r="L89" t="inlineStr">
        <is>
          <t>II 2,6a</t>
        </is>
      </c>
      <c r="M89" t="inlineStr"/>
      <c r="N89" t="inlineStr">
        <is>
          <t xml:space="preserve">Conclusiones de diversis materiis moralibus sive De regulis mandatorum : </t>
        </is>
      </c>
      <c r="O89" t="inlineStr">
        <is>
          <t xml:space="preserve"> : </t>
        </is>
      </c>
      <c r="P89" t="inlineStr">
        <is>
          <t>X</t>
        </is>
      </c>
      <c r="Q89" t="inlineStr"/>
      <c r="R89" t="inlineStr">
        <is>
          <t>Gewebeeinband, Schließen, erhabene Buchbeschläge</t>
        </is>
      </c>
      <c r="S89" t="inlineStr">
        <is>
          <t>bis 35 cm</t>
        </is>
      </c>
      <c r="T89" t="inlineStr">
        <is>
          <t>80° bis 110°, einseitig digitalisierbar?</t>
        </is>
      </c>
      <c r="U89" t="inlineStr">
        <is>
          <t>hohler Rücken</t>
        </is>
      </c>
      <c r="V89" t="inlineStr"/>
      <c r="W89" t="inlineStr">
        <is>
          <t>Kassette</t>
        </is>
      </c>
      <c r="X89" t="inlineStr">
        <is>
          <t>Nein</t>
        </is>
      </c>
      <c r="Y89" t="n">
        <v>1</v>
      </c>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t>
        </is>
      </c>
      <c r="B90" t="b">
        <v>1</v>
      </c>
      <c r="C90" t="inlineStr"/>
      <c r="D90" t="inlineStr"/>
      <c r="E90" t="n">
        <v>97</v>
      </c>
      <c r="F90">
        <f>HYPERLINK("https://portal.dnb.de/opac.htm?method=simpleSearch&amp;cqlMode=true&amp;query=idn%3D1066969051", "Portal")</f>
        <v/>
      </c>
      <c r="G90" t="inlineStr">
        <is>
          <t>Acf</t>
        </is>
      </c>
      <c r="H90" t="inlineStr">
        <is>
          <t>L-1477-315499346</t>
        </is>
      </c>
      <c r="I90" t="inlineStr">
        <is>
          <t>1066969051</t>
        </is>
      </c>
      <c r="J90" t="inlineStr">
        <is>
          <t>II 2,7a</t>
        </is>
      </c>
      <c r="K90" t="inlineStr">
        <is>
          <t>II 2,7a</t>
        </is>
      </c>
      <c r="L90" t="inlineStr">
        <is>
          <t>II 2,7a</t>
        </is>
      </c>
      <c r="M90" t="inlineStr"/>
      <c r="N90" t="inlineStr">
        <is>
          <t xml:space="preserve">Summa super titulis Decretalium : </t>
        </is>
      </c>
      <c r="O90" t="inlineStr">
        <is>
          <t xml:space="preserve"> : </t>
        </is>
      </c>
      <c r="P90" t="inlineStr">
        <is>
          <t>X</t>
        </is>
      </c>
      <c r="Q90" t="inlineStr">
        <is>
          <t>2000,00 EUR</t>
        </is>
      </c>
      <c r="R90" t="inlineStr">
        <is>
          <t>Ledereinband, Schließen, erhabene Buchbeschläge</t>
        </is>
      </c>
      <c r="S90" t="inlineStr">
        <is>
          <t>bis 35 cm</t>
        </is>
      </c>
      <c r="T90" t="inlineStr">
        <is>
          <t>nur sehr geringer Öffnungswinkel</t>
        </is>
      </c>
      <c r="U90" t="inlineStr">
        <is>
          <t>welliger Buchblock, erhabene Illuminationen</t>
        </is>
      </c>
      <c r="V90" t="inlineStr">
        <is>
          <t>nicht auflegen</t>
        </is>
      </c>
      <c r="W90" t="inlineStr">
        <is>
          <t>Kassette</t>
        </is>
      </c>
      <c r="X90" t="inlineStr">
        <is>
          <t>Nein</t>
        </is>
      </c>
      <c r="Y90" t="n">
        <v>0</v>
      </c>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t>
        </is>
      </c>
      <c r="B91" t="b">
        <v>1</v>
      </c>
      <c r="C91" t="inlineStr"/>
      <c r="D91" t="inlineStr"/>
      <c r="E91" t="inlineStr"/>
      <c r="F91">
        <f>HYPERLINK("https://portal.dnb.de/opac.htm?method=simpleSearch&amp;cqlMode=true&amp;query=idn%3D1272206009", "Portal")</f>
        <v/>
      </c>
      <c r="G91" t="inlineStr">
        <is>
          <t>Af</t>
        </is>
      </c>
      <c r="H91" t="inlineStr">
        <is>
          <t>L-1477-847512924</t>
        </is>
      </c>
      <c r="I91" t="inlineStr">
        <is>
          <t>1272206009</t>
        </is>
      </c>
      <c r="J91" t="inlineStr">
        <is>
          <t>II 2,7a - 1</t>
        </is>
      </c>
      <c r="K91" t="inlineStr">
        <is>
          <t>II 2,7a - 1</t>
        </is>
      </c>
      <c r="L91" t="inlineStr">
        <is>
          <t>II 2,7a - 1</t>
        </is>
      </c>
      <c r="M91" t="inlineStr"/>
      <c r="N91" t="inlineStr">
        <is>
          <t>Summa super titulis Decretalium</t>
        </is>
      </c>
      <c r="O91" t="inlineStr">
        <is>
          <t xml:space="preserve">1 : </t>
        </is>
      </c>
      <c r="P91" t="inlineStr">
        <is>
          <t>X</t>
        </is>
      </c>
      <c r="Q91" t="inlineStr"/>
      <c r="R91" t="inlineStr">
        <is>
          <t>Ledereinband, Schließen, erhabene Buchbeschläge</t>
        </is>
      </c>
      <c r="S91" t="inlineStr">
        <is>
          <t>bis 35 cm</t>
        </is>
      </c>
      <c r="T91" t="inlineStr">
        <is>
          <t>nur sehr geringer Öffnungswinkel</t>
        </is>
      </c>
      <c r="U91" t="inlineStr">
        <is>
          <t>welliger Buchblock, erhabene Illuminationen</t>
        </is>
      </c>
      <c r="V91" t="inlineStr">
        <is>
          <t>nicht auflegen</t>
        </is>
      </c>
      <c r="W91" t="inlineStr">
        <is>
          <t>Kassette</t>
        </is>
      </c>
      <c r="X91" t="inlineStr">
        <is>
          <t>Nein</t>
        </is>
      </c>
      <c r="Y91" t="n">
        <v>2</v>
      </c>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t>
        </is>
      </c>
      <c r="B92" t="b">
        <v>1</v>
      </c>
      <c r="C92" t="inlineStr"/>
      <c r="D92" t="inlineStr"/>
      <c r="E92" t="inlineStr"/>
      <c r="F92">
        <f>HYPERLINK("https://portal.dnb.de/opac.htm?method=simpleSearch&amp;cqlMode=true&amp;query=idn%3D1272206068", "Portal")</f>
        <v/>
      </c>
      <c r="G92" t="inlineStr">
        <is>
          <t>Af</t>
        </is>
      </c>
      <c r="H92" t="inlineStr">
        <is>
          <t>L-1477-847512959</t>
        </is>
      </c>
      <c r="I92" t="inlineStr">
        <is>
          <t>1272206068</t>
        </is>
      </c>
      <c r="J92" t="inlineStr">
        <is>
          <t>II 2,7a - 2</t>
        </is>
      </c>
      <c r="K92" t="inlineStr">
        <is>
          <t>II 2,7a - 2</t>
        </is>
      </c>
      <c r="L92" t="inlineStr">
        <is>
          <t>II 2,7a - 2</t>
        </is>
      </c>
      <c r="M92" t="inlineStr"/>
      <c r="N92" t="inlineStr">
        <is>
          <t>Summa super titulis Decretalium</t>
        </is>
      </c>
      <c r="O92" t="inlineStr">
        <is>
          <t xml:space="preserve">2 : </t>
        </is>
      </c>
      <c r="P92" t="inlineStr">
        <is>
          <t>X</t>
        </is>
      </c>
      <c r="Q92" t="inlineStr"/>
      <c r="R92" t="inlineStr">
        <is>
          <t>Ledereinband</t>
        </is>
      </c>
      <c r="S92" t="inlineStr">
        <is>
          <t>bis 35 cm</t>
        </is>
      </c>
      <c r="T92" t="inlineStr">
        <is>
          <t>nur sehr geringer Öffnungswinkel</t>
        </is>
      </c>
      <c r="U92" t="inlineStr">
        <is>
          <t>welliger Buchblock, erhabene Illuminationen</t>
        </is>
      </c>
      <c r="V92" t="inlineStr">
        <is>
          <t>nicht auflegen</t>
        </is>
      </c>
      <c r="W92" t="inlineStr">
        <is>
          <t>Kassette</t>
        </is>
      </c>
      <c r="X92" t="inlineStr">
        <is>
          <t>Nein</t>
        </is>
      </c>
      <c r="Y92" t="n">
        <v>1</v>
      </c>
      <c r="Z92" t="inlineStr"/>
      <c r="AA92" t="inlineStr"/>
      <c r="AB92" t="inlineStr"/>
      <c r="AC92" t="inlineStr"/>
      <c r="AD92" t="inlineStr"/>
      <c r="AE92" t="inlineStr"/>
      <c r="AF92" t="inlineStr"/>
      <c r="AG92" t="inlineStr"/>
      <c r="AH92" t="inlineStr"/>
      <c r="AI92" t="inlineStr">
        <is>
          <t>HD</t>
        </is>
      </c>
      <c r="AJ92" t="inlineStr"/>
      <c r="AK92" t="inlineStr"/>
      <c r="AL92" t="inlineStr"/>
      <c r="AM92" t="inlineStr">
        <is>
          <t>f</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is>
          <t>I/R</t>
        </is>
      </c>
      <c r="BD92" t="inlineStr">
        <is>
          <t>x</t>
        </is>
      </c>
      <c r="BE92" t="inlineStr"/>
      <c r="BF92" t="inlineStr"/>
      <c r="BG92" t="n">
        <v>60</v>
      </c>
      <c r="BH92" t="inlineStr"/>
      <c r="BI92" t="inlineStr"/>
      <c r="BJ92" t="inlineStr"/>
      <c r="BK92" t="inlineStr"/>
      <c r="BL92" t="inlineStr"/>
      <c r="BM92" t="inlineStr">
        <is>
          <t>n</t>
        </is>
      </c>
      <c r="BN92" t="n">
        <v>0</v>
      </c>
      <c r="BO92" t="inlineStr"/>
      <c r="BP92" t="inlineStr">
        <is>
          <t>Wellpappe</t>
        </is>
      </c>
      <c r="BQ92" t="inlineStr"/>
      <c r="BR92" t="inlineStr"/>
      <c r="BS92" t="inlineStr"/>
      <c r="BT92" t="inlineStr"/>
      <c r="BU92" t="inlineStr"/>
      <c r="BV92" t="inlineStr">
        <is>
          <t>Originaleinband</t>
        </is>
      </c>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t>
        </is>
      </c>
      <c r="B93" t="b">
        <v>1</v>
      </c>
      <c r="C93" t="inlineStr"/>
      <c r="D93" t="inlineStr"/>
      <c r="E93" t="inlineStr"/>
      <c r="F93">
        <f>HYPERLINK("https://portal.dnb.de/opac.htm?method=simpleSearch&amp;cqlMode=true&amp;query=idn%3D1272206114", "Portal")</f>
        <v/>
      </c>
      <c r="G93" t="inlineStr">
        <is>
          <t>Af</t>
        </is>
      </c>
      <c r="H93" t="inlineStr">
        <is>
          <t>L-1477-847512991</t>
        </is>
      </c>
      <c r="I93" t="inlineStr">
        <is>
          <t>1272206114</t>
        </is>
      </c>
      <c r="J93" t="inlineStr">
        <is>
          <t>II 2,7a - 3/4</t>
        </is>
      </c>
      <c r="K93" t="inlineStr">
        <is>
          <t>II 2,7a - 3/4</t>
        </is>
      </c>
      <c r="L93" t="inlineStr">
        <is>
          <t>II 2,7a - 3/4</t>
        </is>
      </c>
      <c r="M93" t="inlineStr"/>
      <c r="N93" t="inlineStr">
        <is>
          <t>Summa super titulis Decretalium</t>
        </is>
      </c>
      <c r="O93" t="inlineStr">
        <is>
          <t xml:space="preserve">3/4 : </t>
        </is>
      </c>
      <c r="P93" t="inlineStr"/>
      <c r="Q93" t="inlineStr"/>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t>
        </is>
      </c>
      <c r="B94" t="b">
        <v>1</v>
      </c>
      <c r="C94" t="inlineStr">
        <is>
          <t>x</t>
        </is>
      </c>
      <c r="D94" t="inlineStr"/>
      <c r="E94" t="inlineStr"/>
      <c r="F94">
        <f>HYPERLINK("https://portal.dnb.de/opac.htm?method=simpleSearch&amp;cqlMode=true&amp;query=idn%3D1272206149", "Portal")</f>
        <v/>
      </c>
      <c r="G94" t="inlineStr">
        <is>
          <t>Af</t>
        </is>
      </c>
      <c r="H94" t="inlineStr">
        <is>
          <t>L-1477-847513017</t>
        </is>
      </c>
      <c r="I94" t="inlineStr">
        <is>
          <t>1272206149</t>
        </is>
      </c>
      <c r="J94" t="inlineStr">
        <is>
          <t>II 2,7a - 5</t>
        </is>
      </c>
      <c r="K94" t="inlineStr">
        <is>
          <t>II 2,7a - 5</t>
        </is>
      </c>
      <c r="L94" t="inlineStr">
        <is>
          <t>II 2,7a - 5</t>
        </is>
      </c>
      <c r="M94" t="inlineStr"/>
      <c r="N94" t="inlineStr">
        <is>
          <t>Summa super titulis Decretalium</t>
        </is>
      </c>
      <c r="O94" t="inlineStr">
        <is>
          <t xml:space="preserve">5 : </t>
        </is>
      </c>
      <c r="P94" t="inlineStr">
        <is>
          <t>X</t>
        </is>
      </c>
      <c r="Q94" t="inlineStr">
        <is>
          <t>2000,00 EUR</t>
        </is>
      </c>
      <c r="R94" t="inlineStr">
        <is>
          <t>Halbledereinband, Schließen, erhabene Buchbeschläge</t>
        </is>
      </c>
      <c r="S94" t="inlineStr">
        <is>
          <t>bis 35 cm</t>
        </is>
      </c>
      <c r="T94" t="inlineStr">
        <is>
          <t>80° bis 110°, einseitig digitalisierbar?</t>
        </is>
      </c>
      <c r="U94" t="inlineStr">
        <is>
          <t>welliger Buchblock, erhabene Illuminationen</t>
        </is>
      </c>
      <c r="V94" t="inlineStr">
        <is>
          <t>nicht auflegen</t>
        </is>
      </c>
      <c r="W94" t="inlineStr">
        <is>
          <t>Kassette</t>
        </is>
      </c>
      <c r="X94" t="inlineStr">
        <is>
          <t>Nein</t>
        </is>
      </c>
      <c r="Y94" t="n">
        <v>3</v>
      </c>
      <c r="Z94" t="inlineStr"/>
      <c r="AA94" t="inlineStr"/>
      <c r="AB94" t="inlineStr"/>
      <c r="AC94" t="inlineStr"/>
      <c r="AD94" t="inlineStr"/>
      <c r="AE94" t="inlineStr"/>
      <c r="AF94" t="inlineStr"/>
      <c r="AG94" t="inlineStr"/>
      <c r="AH94" t="inlineStr"/>
      <c r="AI94" t="inlineStr">
        <is>
          <t>HD</t>
        </is>
      </c>
      <c r="AJ94" t="inlineStr"/>
      <c r="AK94" t="inlineStr"/>
      <c r="AL94" t="inlineStr"/>
      <c r="AM94" t="inlineStr">
        <is>
          <t>f</t>
        </is>
      </c>
      <c r="AN94" t="inlineStr"/>
      <c r="AO94" t="inlineStr"/>
      <c r="AP94" t="inlineStr"/>
      <c r="AQ94" t="inlineStr"/>
      <c r="AR94" t="inlineStr"/>
      <c r="AS94" t="inlineStr">
        <is>
          <t>Pa</t>
        </is>
      </c>
      <c r="AT94" t="inlineStr"/>
      <c r="AU94" t="inlineStr"/>
      <c r="AV94" t="inlineStr"/>
      <c r="AW94" t="inlineStr"/>
      <c r="AX94" t="inlineStr"/>
      <c r="AY94" t="inlineStr"/>
      <c r="AZ94" t="inlineStr"/>
      <c r="BA94" t="inlineStr"/>
      <c r="BB94" t="inlineStr"/>
      <c r="BC94" t="inlineStr">
        <is>
          <t>I/R</t>
        </is>
      </c>
      <c r="BD94" t="inlineStr">
        <is>
          <t>x</t>
        </is>
      </c>
      <c r="BE94" t="inlineStr"/>
      <c r="BF94" t="inlineStr"/>
      <c r="BG94" t="n">
        <v>60</v>
      </c>
      <c r="BH94" t="inlineStr"/>
      <c r="BI94" t="inlineStr">
        <is>
          <t>ggf., wg. Schließe</t>
        </is>
      </c>
      <c r="BJ94" t="inlineStr"/>
      <c r="BK94" t="inlineStr"/>
      <c r="BL94" t="inlineStr"/>
      <c r="BM94" t="inlineStr">
        <is>
          <t>ja vor</t>
        </is>
      </c>
      <c r="BN94" t="n">
        <v>1</v>
      </c>
      <c r="BO94" t="inlineStr"/>
      <c r="BP94" t="inlineStr">
        <is>
          <t>Wellpappe</t>
        </is>
      </c>
      <c r="BQ94" t="inlineStr"/>
      <c r="BR94" t="inlineStr"/>
      <c r="BS94" t="inlineStr"/>
      <c r="BT94" t="inlineStr"/>
      <c r="BU94" t="inlineStr"/>
      <c r="BV94" t="inlineStr">
        <is>
          <t>Originaleinband; es gibt 2 Bücher unter dieser Signatur</t>
        </is>
      </c>
      <c r="BW94" t="inlineStr"/>
      <c r="BX94" t="inlineStr"/>
      <c r="BY94" t="inlineStr"/>
      <c r="BZ94" t="inlineStr"/>
      <c r="CA94" t="inlineStr"/>
      <c r="CB94" t="inlineStr"/>
      <c r="CC94" t="inlineStr"/>
      <c r="CD94" t="inlineStr"/>
      <c r="CE94" t="inlineStr"/>
      <c r="CF94" t="inlineStr"/>
      <c r="CG94" t="inlineStr"/>
      <c r="CH94" t="inlineStr">
        <is>
          <t>u</t>
        </is>
      </c>
      <c r="CI94" t="inlineStr"/>
      <c r="CJ94" t="inlineStr"/>
      <c r="CK94" t="inlineStr"/>
      <c r="CL94" t="inlineStr"/>
      <c r="CM94" t="n">
        <v>1</v>
      </c>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t>
        </is>
      </c>
      <c r="B95" t="b">
        <v>1</v>
      </c>
      <c r="C95" t="inlineStr"/>
      <c r="D95" t="inlineStr"/>
      <c r="E95" t="inlineStr"/>
      <c r="F95">
        <f>HYPERLINK("https://portal.dnb.de/opac.htm?method=simpleSearch&amp;cqlMode=true&amp;query=idn%3D1272206149", "Portal")</f>
        <v/>
      </c>
      <c r="G95" t="inlineStr">
        <is>
          <t>Af</t>
        </is>
      </c>
      <c r="H95" t="inlineStr">
        <is>
          <t>L-1477-847513084</t>
        </is>
      </c>
      <c r="I95" t="inlineStr">
        <is>
          <t>1272206149</t>
        </is>
      </c>
      <c r="J95" t="inlineStr">
        <is>
          <t>II 2,7a - 5 - 2. Ex.</t>
        </is>
      </c>
      <c r="K95" t="inlineStr">
        <is>
          <t>II 2,7a - 5 - 2. Ex.</t>
        </is>
      </c>
      <c r="L95" t="inlineStr">
        <is>
          <t>II 2,7a - 5 - 2. Ex.</t>
        </is>
      </c>
      <c r="M95" t="inlineStr"/>
      <c r="N95" t="inlineStr">
        <is>
          <t>Summa super titulis Decretalium</t>
        </is>
      </c>
      <c r="O95" t="inlineStr">
        <is>
          <t xml:space="preserve">5 : </t>
        </is>
      </c>
      <c r="P95" t="inlineStr">
        <is>
          <t>X</t>
        </is>
      </c>
      <c r="Q95" t="inlineStr">
        <is>
          <t>2000,00 EUR</t>
        </is>
      </c>
      <c r="R95" t="inlineStr">
        <is>
          <t>Ledereinband, Schließen, erhabene Buchbeschläge</t>
        </is>
      </c>
      <c r="S95" t="inlineStr">
        <is>
          <t>bis 35 cm</t>
        </is>
      </c>
      <c r="T95" t="inlineStr">
        <is>
          <t>nur sehr geringer Öffnungswinkel</t>
        </is>
      </c>
      <c r="U95" t="inlineStr">
        <is>
          <t>welliger Buchblock, erhabene Illuminationen</t>
        </is>
      </c>
      <c r="V95" t="inlineStr">
        <is>
          <t>nicht auflegen</t>
        </is>
      </c>
      <c r="W95" t="inlineStr">
        <is>
          <t>Kassette</t>
        </is>
      </c>
      <c r="X95" t="inlineStr">
        <is>
          <t>Nein</t>
        </is>
      </c>
      <c r="Y95" t="n">
        <v>2</v>
      </c>
      <c r="Z95" t="inlineStr"/>
      <c r="AA95" t="inlineStr"/>
      <c r="AB95" t="inlineStr"/>
      <c r="AC95" t="inlineStr"/>
      <c r="AD95" t="inlineStr"/>
      <c r="AE95" t="inlineStr"/>
      <c r="AF95" t="inlineStr"/>
      <c r="AG95" t="inlineStr"/>
      <c r="AH95" t="inlineStr"/>
      <c r="AI95" t="inlineStr">
        <is>
          <t>HD</t>
        </is>
      </c>
      <c r="AJ95" t="inlineStr"/>
      <c r="AK95" t="inlineStr"/>
      <c r="AL95" t="inlineStr"/>
      <c r="AM95" t="inlineStr">
        <is>
          <t>f</t>
        </is>
      </c>
      <c r="AN95" t="inlineStr"/>
      <c r="AO95" t="inlineStr"/>
      <c r="AP95" t="inlineStr"/>
      <c r="AQ95" t="inlineStr"/>
      <c r="AR95" t="inlineStr"/>
      <c r="AS95" t="inlineStr">
        <is>
          <t>Pa</t>
        </is>
      </c>
      <c r="AT95" t="inlineStr"/>
      <c r="AU95" t="inlineStr"/>
      <c r="AV95" t="inlineStr"/>
      <c r="AW95" t="inlineStr">
        <is>
          <t>x</t>
        </is>
      </c>
      <c r="AX95" t="inlineStr"/>
      <c r="AY95" t="inlineStr"/>
      <c r="AZ95" t="inlineStr"/>
      <c r="BA95" t="inlineStr"/>
      <c r="BB95" t="inlineStr"/>
      <c r="BC95" t="inlineStr">
        <is>
          <t>I/R</t>
        </is>
      </c>
      <c r="BD95" t="inlineStr">
        <is>
          <t>x</t>
        </is>
      </c>
      <c r="BE95" t="inlineStr"/>
      <c r="BF95" t="inlineStr"/>
      <c r="BG95" t="n">
        <v>45</v>
      </c>
      <c r="BH95" t="inlineStr"/>
      <c r="BI95" t="inlineStr"/>
      <c r="BJ95" t="inlineStr"/>
      <c r="BK95" t="inlineStr"/>
      <c r="BL95" t="inlineStr"/>
      <c r="BM95" t="inlineStr">
        <is>
          <t>n</t>
        </is>
      </c>
      <c r="BN95" t="n">
        <v>0</v>
      </c>
      <c r="BO95" t="inlineStr"/>
      <c r="BP95" t="inlineStr">
        <is>
          <t>Wellpappe</t>
        </is>
      </c>
      <c r="BQ95" t="inlineStr"/>
      <c r="BR95" t="inlineStr"/>
      <c r="BS95" t="inlineStr"/>
      <c r="BT95" t="inlineStr"/>
      <c r="BU95" t="inlineStr"/>
      <c r="BV95" t="inlineStr">
        <is>
          <t>Originaleinband; es gibt 2 Bücher unter dieser Signatur</t>
        </is>
      </c>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t>
        </is>
      </c>
      <c r="B96" t="b">
        <v>1</v>
      </c>
      <c r="C96" t="inlineStr">
        <is>
          <t>x</t>
        </is>
      </c>
      <c r="D96" t="inlineStr"/>
      <c r="E96" t="n">
        <v>98</v>
      </c>
      <c r="F96">
        <f>HYPERLINK("https://portal.dnb.de/opac.htm?method=simpleSearch&amp;cqlMode=true&amp;query=idn%3D1066966761", "Portal")</f>
        <v/>
      </c>
      <c r="G96" t="inlineStr">
        <is>
          <t>Aa</t>
        </is>
      </c>
      <c r="H96" t="inlineStr">
        <is>
          <t>L-1477-315497076</t>
        </is>
      </c>
      <c r="I96" t="inlineStr">
        <is>
          <t>1066966761</t>
        </is>
      </c>
      <c r="J96" t="inlineStr">
        <is>
          <t>II 2,7b</t>
        </is>
      </c>
      <c r="K96" t="inlineStr">
        <is>
          <t>II 2,7b</t>
        </is>
      </c>
      <c r="L96" t="inlineStr">
        <is>
          <t>II 2,7b</t>
        </is>
      </c>
      <c r="M96" t="inlineStr"/>
      <c r="N96" t="inlineStr">
        <is>
          <t xml:space="preserve">Die @güldene Bibel : </t>
        </is>
      </c>
      <c r="O96" t="inlineStr">
        <is>
          <t xml:space="preserve"> : </t>
        </is>
      </c>
      <c r="P96" t="inlineStr">
        <is>
          <t>X</t>
        </is>
      </c>
      <c r="Q96" t="inlineStr">
        <is>
          <t>3000,00 EUR</t>
        </is>
      </c>
      <c r="R96" t="inlineStr">
        <is>
          <t>Ledereinband</t>
        </is>
      </c>
      <c r="S96" t="inlineStr">
        <is>
          <t>bis 35 cm</t>
        </is>
      </c>
      <c r="T96" t="inlineStr">
        <is>
          <t>180°</t>
        </is>
      </c>
      <c r="U96" t="inlineStr">
        <is>
          <t>hohler Rücken, erhabene Illuminationen</t>
        </is>
      </c>
      <c r="V96" t="inlineStr">
        <is>
          <t>nicht auflegen</t>
        </is>
      </c>
      <c r="W96" t="inlineStr">
        <is>
          <t>Kassette</t>
        </is>
      </c>
      <c r="X96" t="inlineStr">
        <is>
          <t>Nein</t>
        </is>
      </c>
      <c r="Y96" t="n">
        <v>2</v>
      </c>
      <c r="Z96" t="inlineStr"/>
      <c r="AA96" t="inlineStr"/>
      <c r="AB96" t="inlineStr"/>
      <c r="AC96" t="inlineStr"/>
      <c r="AD96" t="inlineStr"/>
      <c r="AE96" t="inlineStr"/>
      <c r="AF96" t="inlineStr"/>
      <c r="AG96" t="inlineStr"/>
      <c r="AH96" t="inlineStr"/>
      <c r="AI96" t="inlineStr">
        <is>
          <t>L</t>
        </is>
      </c>
      <c r="AJ96" t="inlineStr"/>
      <c r="AK96" t="inlineStr">
        <is>
          <t>x</t>
        </is>
      </c>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is>
          <t>K/I</t>
        </is>
      </c>
      <c r="BD96" t="inlineStr">
        <is>
          <t>xx</t>
        </is>
      </c>
      <c r="BE96" t="inlineStr"/>
      <c r="BF96" t="inlineStr"/>
      <c r="BG96" t="n">
        <v>110</v>
      </c>
      <c r="BH96" t="inlineStr"/>
      <c r="BI96" t="inlineStr"/>
      <c r="BJ96" t="inlineStr"/>
      <c r="BK96" t="inlineStr"/>
      <c r="BL96" t="inlineStr"/>
      <c r="BM96" t="inlineStr">
        <is>
          <t>ja vor</t>
        </is>
      </c>
      <c r="BN96" t="n">
        <v>0.5</v>
      </c>
      <c r="BO96" t="inlineStr"/>
      <c r="BP96" t="inlineStr">
        <is>
          <t>Wellpappe</t>
        </is>
      </c>
      <c r="BQ96" t="inlineStr"/>
      <c r="BR96" t="inlineStr"/>
      <c r="BS96" t="inlineStr"/>
      <c r="BT96" t="inlineStr"/>
      <c r="BU96" t="inlineStr"/>
      <c r="BV96" t="inlineStr"/>
      <c r="BW96" t="inlineStr"/>
      <c r="BX96" t="inlineStr"/>
      <c r="BY96" t="inlineStr"/>
      <c r="BZ96" t="inlineStr"/>
      <c r="CA96" t="inlineStr"/>
      <c r="CB96" t="inlineStr"/>
      <c r="CC96" t="inlineStr">
        <is>
          <t>x</t>
        </is>
      </c>
      <c r="CD96" t="inlineStr"/>
      <c r="CE96" t="inlineStr"/>
      <c r="CF96" t="inlineStr"/>
      <c r="CG96" t="inlineStr"/>
      <c r="CH96" t="inlineStr"/>
      <c r="CI96" t="inlineStr"/>
      <c r="CJ96" t="inlineStr"/>
      <c r="CK96" t="inlineStr"/>
      <c r="CL96" t="inlineStr"/>
      <c r="CM96" t="n">
        <v>0.5</v>
      </c>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t>
        </is>
      </c>
      <c r="B97" t="b">
        <v>1</v>
      </c>
      <c r="C97" t="inlineStr"/>
      <c r="D97" t="inlineStr"/>
      <c r="E97" t="n">
        <v>99</v>
      </c>
      <c r="F97">
        <f>HYPERLINK("https://portal.dnb.de/opac.htm?method=simpleSearch&amp;cqlMode=true&amp;query=idn%3D1066973148", "Portal")</f>
        <v/>
      </c>
      <c r="G97" t="inlineStr">
        <is>
          <t>Aaf</t>
        </is>
      </c>
      <c r="H97" t="inlineStr">
        <is>
          <t>L-1478-31550353X</t>
        </is>
      </c>
      <c r="I97" t="inlineStr">
        <is>
          <t>1066973148</t>
        </is>
      </c>
      <c r="J97" t="inlineStr">
        <is>
          <t>II 2,9a</t>
        </is>
      </c>
      <c r="K97" t="inlineStr">
        <is>
          <t>II 2,9a</t>
        </is>
      </c>
      <c r="L97" t="inlineStr">
        <is>
          <t>II 2,9a</t>
        </is>
      </c>
      <c r="M97" t="inlineStr"/>
      <c r="N97" t="inlineStr">
        <is>
          <t xml:space="preserve">Vocabularius, lat. und dt. : </t>
        </is>
      </c>
      <c r="O97" t="inlineStr">
        <is>
          <t xml:space="preserve"> : </t>
        </is>
      </c>
      <c r="P97" t="inlineStr">
        <is>
          <t>X</t>
        </is>
      </c>
      <c r="Q97" t="inlineStr"/>
      <c r="R97" t="inlineStr">
        <is>
          <t>Pergamentband</t>
        </is>
      </c>
      <c r="S97" t="inlineStr">
        <is>
          <t>bis 35 cm</t>
        </is>
      </c>
      <c r="T97" t="inlineStr">
        <is>
          <t>nur sehr geringer Öffnungswinkel</t>
        </is>
      </c>
      <c r="U97" t="inlineStr">
        <is>
          <t>hohler Rücken, Einband mit Schutz- oder Stoßkanten</t>
        </is>
      </c>
      <c r="V97" t="inlineStr"/>
      <c r="W97" t="inlineStr">
        <is>
          <t>Kassette</t>
        </is>
      </c>
      <c r="X97" t="inlineStr">
        <is>
          <t>Nein</t>
        </is>
      </c>
      <c r="Y97" t="n">
        <v>0</v>
      </c>
      <c r="Z97" t="inlineStr"/>
      <c r="AA97" t="inlineStr"/>
      <c r="AB97" t="inlineStr"/>
      <c r="AC97" t="inlineStr"/>
      <c r="AD97" t="inlineStr"/>
      <c r="AE97" t="inlineStr"/>
      <c r="AF97" t="inlineStr"/>
      <c r="AG97" t="inlineStr"/>
      <c r="AH97" t="inlineStr"/>
      <c r="AI97" t="inlineStr">
        <is>
          <t>Pg</t>
        </is>
      </c>
      <c r="AJ97" t="inlineStr"/>
      <c r="AK97" t="inlineStr"/>
      <c r="AL97" t="inlineStr">
        <is>
          <t>x</t>
        </is>
      </c>
      <c r="AM97" t="inlineStr">
        <is>
          <t>h</t>
        </is>
      </c>
      <c r="AN97" t="inlineStr">
        <is>
          <t>x</t>
        </is>
      </c>
      <c r="AO97" t="inlineStr"/>
      <c r="AP97" t="inlineStr"/>
      <c r="AQ97" t="inlineStr"/>
      <c r="AR97" t="inlineStr"/>
      <c r="AS97" t="inlineStr">
        <is>
          <t>Pa</t>
        </is>
      </c>
      <c r="AT97" t="inlineStr"/>
      <c r="AU97" t="inlineStr"/>
      <c r="AV97" t="inlineStr"/>
      <c r="AW97" t="inlineStr"/>
      <c r="AX97" t="inlineStr"/>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t>
        </is>
      </c>
      <c r="B98" t="b">
        <v>1</v>
      </c>
      <c r="C98" t="inlineStr"/>
      <c r="D98" t="inlineStr"/>
      <c r="E98" t="n">
        <v>100</v>
      </c>
      <c r="F98">
        <f>HYPERLINK("https://portal.dnb.de/opac.htm?method=simpleSearch&amp;cqlMode=true&amp;query=idn%3D1066969787", "Portal")</f>
        <v/>
      </c>
      <c r="G98" t="inlineStr">
        <is>
          <t>Aa</t>
        </is>
      </c>
      <c r="H98" t="inlineStr">
        <is>
          <t>L-1484-315500123</t>
        </is>
      </c>
      <c r="I98" t="inlineStr">
        <is>
          <t>1066969787</t>
        </is>
      </c>
      <c r="J98" t="inlineStr">
        <is>
          <t>II 2,10a</t>
        </is>
      </c>
      <c r="K98" t="inlineStr">
        <is>
          <t>II 2,10a</t>
        </is>
      </c>
      <c r="L98" t="inlineStr">
        <is>
          <t>II 2,10a</t>
        </is>
      </c>
      <c r="M98" t="inlineStr"/>
      <c r="N98" t="inlineStr">
        <is>
          <t xml:space="preserve">Sermones de sanctis : </t>
        </is>
      </c>
      <c r="O98" t="inlineStr">
        <is>
          <t xml:space="preserve"> : </t>
        </is>
      </c>
      <c r="P98" t="inlineStr">
        <is>
          <t>X</t>
        </is>
      </c>
      <c r="Q98" t="inlineStr"/>
      <c r="R98" t="inlineStr">
        <is>
          <t>Ledereinband, Schließen, erhabene Buchbeschläge</t>
        </is>
      </c>
      <c r="S98" t="inlineStr">
        <is>
          <t>bis 35 cm</t>
        </is>
      </c>
      <c r="T98" t="inlineStr">
        <is>
          <t>80° bis 110°, einseitig digitalisierbar?</t>
        </is>
      </c>
      <c r="U98" t="inlineStr"/>
      <c r="V98" t="inlineStr"/>
      <c r="W98" t="inlineStr">
        <is>
          <t>Kassette</t>
        </is>
      </c>
      <c r="X98" t="inlineStr">
        <is>
          <t>Nein</t>
        </is>
      </c>
      <c r="Y98" t="n">
        <v>1</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is>
          <t>x</t>
        </is>
      </c>
      <c r="AR98" t="inlineStr"/>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t>
        </is>
      </c>
      <c r="B99" t="b">
        <v>1</v>
      </c>
      <c r="C99" t="inlineStr"/>
      <c r="D99" t="inlineStr"/>
      <c r="E99" t="n">
        <v>101</v>
      </c>
      <c r="F99">
        <f>HYPERLINK("https://portal.dnb.de/opac.htm?method=simpleSearch&amp;cqlMode=true&amp;query=idn%3D1066967156", "Portal")</f>
        <v/>
      </c>
      <c r="G99" t="inlineStr">
        <is>
          <t>Aaf</t>
        </is>
      </c>
      <c r="H99" t="inlineStr">
        <is>
          <t>L-1495-315497416</t>
        </is>
      </c>
      <c r="I99" t="inlineStr">
        <is>
          <t>1066967156</t>
        </is>
      </c>
      <c r="J99" t="inlineStr">
        <is>
          <t>II 2,11a</t>
        </is>
      </c>
      <c r="K99" t="inlineStr">
        <is>
          <t>II 2,11a</t>
        </is>
      </c>
      <c r="L99" t="inlineStr">
        <is>
          <t>II 2,11a</t>
        </is>
      </c>
      <c r="M99" t="inlineStr"/>
      <c r="N99" t="inlineStr">
        <is>
          <t xml:space="preserve">Vocabularius rerum : </t>
        </is>
      </c>
      <c r="O99" t="inlineStr">
        <is>
          <t xml:space="preserve"> : </t>
        </is>
      </c>
      <c r="P99" t="inlineStr">
        <is>
          <t>X</t>
        </is>
      </c>
      <c r="Q99" t="inlineStr"/>
      <c r="R99" t="inlineStr">
        <is>
          <t>Ledereinband</t>
        </is>
      </c>
      <c r="S99" t="inlineStr">
        <is>
          <t>bis 25 cm</t>
        </is>
      </c>
      <c r="T99" t="inlineStr">
        <is>
          <t>80° bis 110°, einseitig digitalisierbar?</t>
        </is>
      </c>
      <c r="U99" t="inlineStr">
        <is>
          <t>hohler Rücken, erhabene Illuminationen</t>
        </is>
      </c>
      <c r="V99" t="inlineStr">
        <is>
          <t>nicht auflegen</t>
        </is>
      </c>
      <c r="W99" t="inlineStr">
        <is>
          <t>Kassette</t>
        </is>
      </c>
      <c r="X99" t="inlineStr">
        <is>
          <t>Nein</t>
        </is>
      </c>
      <c r="Y99" t="n">
        <v>2</v>
      </c>
      <c r="Z99" t="inlineStr"/>
      <c r="AA99" t="inlineStr"/>
      <c r="AB99" t="inlineStr"/>
      <c r="AC99" t="inlineStr"/>
      <c r="AD99" t="inlineStr"/>
      <c r="AE99" t="inlineStr"/>
      <c r="AF99" t="inlineStr"/>
      <c r="AG99" t="inlineStr"/>
      <c r="AH99" t="inlineStr"/>
      <c r="AI99" t="inlineStr">
        <is>
          <t>L</t>
        </is>
      </c>
      <c r="AJ99" t="inlineStr"/>
      <c r="AK99" t="inlineStr">
        <is>
          <t>x</t>
        </is>
      </c>
      <c r="AL99" t="inlineStr">
        <is>
          <t>x</t>
        </is>
      </c>
      <c r="AM99" t="inlineStr">
        <is>
          <t>h</t>
        </is>
      </c>
      <c r="AN99" t="inlineStr"/>
      <c r="AO99" t="inlineStr"/>
      <c r="AP99" t="inlineStr"/>
      <c r="AQ99" t="inlineStr"/>
      <c r="AR99" t="inlineStr"/>
      <c r="AS99" t="inlineStr">
        <is>
          <t>Pa</t>
        </is>
      </c>
      <c r="AT99" t="inlineStr"/>
      <c r="AU99" t="inlineStr"/>
      <c r="AV99" t="inlineStr"/>
      <c r="AW99" t="inlineStr"/>
      <c r="AX99" t="inlineStr"/>
      <c r="AY99" t="inlineStr"/>
      <c r="AZ99" t="inlineStr"/>
      <c r="BA99" t="inlineStr"/>
      <c r="BB99" t="inlineStr"/>
      <c r="BC99" t="inlineStr"/>
      <c r="BD99" t="inlineStr"/>
      <c r="BE99" t="inlineStr"/>
      <c r="BF99" t="inlineStr"/>
      <c r="BG99" t="n">
        <v>110</v>
      </c>
      <c r="BH99" t="inlineStr"/>
      <c r="BI99" t="inlineStr"/>
      <c r="BJ99" t="inlineStr"/>
      <c r="BK99" t="inlineStr"/>
      <c r="BL99" t="inlineStr"/>
      <c r="BM99" t="inlineStr">
        <is>
          <t>n</t>
        </is>
      </c>
      <c r="BN99" t="n">
        <v>0</v>
      </c>
      <c r="BO99" t="inlineStr"/>
      <c r="BP99" t="inlineStr">
        <is>
          <t>Wellpappe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t>
        </is>
      </c>
      <c r="B100" t="b">
        <v>1</v>
      </c>
      <c r="C100" t="inlineStr"/>
      <c r="D100" t="inlineStr"/>
      <c r="E100" t="n">
        <v>102</v>
      </c>
      <c r="F100">
        <f>HYPERLINK("https://portal.dnb.de/opac.htm?method=simpleSearch&amp;cqlMode=true&amp;query=idn%3D1066972109", "Portal")</f>
        <v/>
      </c>
      <c r="G100" t="inlineStr">
        <is>
          <t>Aa</t>
        </is>
      </c>
      <c r="H100" t="inlineStr">
        <is>
          <t>L-1497-315502525</t>
        </is>
      </c>
      <c r="I100" t="inlineStr">
        <is>
          <t>1066972109</t>
        </is>
      </c>
      <c r="J100" t="inlineStr">
        <is>
          <t>II 2,11d</t>
        </is>
      </c>
      <c r="K100" t="inlineStr">
        <is>
          <t>II 2,11d</t>
        </is>
      </c>
      <c r="L100" t="inlineStr">
        <is>
          <t>II 2,11d</t>
        </is>
      </c>
      <c r="M100" t="inlineStr"/>
      <c r="N100" t="inlineStr">
        <is>
          <t xml:space="preserve">Liber chronicarum : </t>
        </is>
      </c>
      <c r="O100" t="inlineStr">
        <is>
          <t xml:space="preserve"> : </t>
        </is>
      </c>
      <c r="P100" t="inlineStr">
        <is>
          <t>X</t>
        </is>
      </c>
      <c r="Q100" t="inlineStr"/>
      <c r="R100" t="inlineStr">
        <is>
          <t>Ledereinband, Schließen, erhabene Buchbeschläge</t>
        </is>
      </c>
      <c r="S100" t="inlineStr">
        <is>
          <t>bis 35 cm</t>
        </is>
      </c>
      <c r="T100" t="inlineStr">
        <is>
          <t>80° bis 110°, einseitig digitalisierbar?</t>
        </is>
      </c>
      <c r="U100" t="inlineStr">
        <is>
          <t>hohler Rücken, erhabene Illuminationen</t>
        </is>
      </c>
      <c r="V100" t="inlineStr">
        <is>
          <t>nicht auflegen</t>
        </is>
      </c>
      <c r="W100" t="inlineStr">
        <is>
          <t>Kassette</t>
        </is>
      </c>
      <c r="X100" t="inlineStr">
        <is>
          <t>Nein</t>
        </is>
      </c>
      <c r="Y100" t="n">
        <v>1</v>
      </c>
      <c r="Z100" t="inlineStr"/>
      <c r="AA100" t="inlineStr"/>
      <c r="AB100" t="inlineStr"/>
      <c r="AC100" t="inlineStr"/>
      <c r="AD100" t="inlineStr"/>
      <c r="AE100" t="inlineStr"/>
      <c r="AF100" t="inlineStr"/>
      <c r="AG100" t="inlineStr"/>
      <c r="AH100" t="inlineStr"/>
      <c r="AI100" t="inlineStr">
        <is>
          <t>HL</t>
        </is>
      </c>
      <c r="AJ100" t="inlineStr"/>
      <c r="AK100" t="inlineStr">
        <is>
          <t>x</t>
        </is>
      </c>
      <c r="AL100" t="inlineStr"/>
      <c r="AM100" t="inlineStr">
        <is>
          <t>h/E</t>
        </is>
      </c>
      <c r="AN100" t="inlineStr"/>
      <c r="AO100" t="inlineStr"/>
      <c r="AP100" t="inlineStr"/>
      <c r="AQ100" t="inlineStr"/>
      <c r="AR100" t="inlineStr"/>
      <c r="AS100" t="inlineStr">
        <is>
          <t>Pa</t>
        </is>
      </c>
      <c r="AT100" t="inlineStr"/>
      <c r="AU100" t="inlineStr"/>
      <c r="AV100" t="inlineStr"/>
      <c r="AW100" t="inlineStr"/>
      <c r="AX100" t="inlineStr">
        <is>
          <t>x</t>
        </is>
      </c>
      <c r="AY100" t="inlineStr"/>
      <c r="AZ100" t="inlineStr"/>
      <c r="BA100" t="inlineStr"/>
      <c r="BB100" t="inlineStr"/>
      <c r="BC100" t="inlineStr">
        <is>
          <t>K</t>
        </is>
      </c>
      <c r="BD100" t="inlineStr">
        <is>
          <t>x</t>
        </is>
      </c>
      <c r="BE100" t="inlineStr"/>
      <c r="BF100" t="inlineStr"/>
      <c r="BG100" t="n">
        <v>110</v>
      </c>
      <c r="BH100" t="inlineStr"/>
      <c r="BI100" t="inlineStr"/>
      <c r="BJ100" t="inlineStr"/>
      <c r="BK100" t="inlineStr"/>
      <c r="BL100" t="inlineStr"/>
      <c r="BM100" t="inlineStr">
        <is>
          <t>n</t>
        </is>
      </c>
      <c r="BN100" t="n">
        <v>0</v>
      </c>
      <c r="BO100" t="inlineStr"/>
      <c r="BP100" t="inlineStr">
        <is>
          <t>Wellpappe</t>
        </is>
      </c>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t>
        </is>
      </c>
      <c r="B101" t="b">
        <v>1</v>
      </c>
      <c r="C101" t="inlineStr"/>
      <c r="D101" t="inlineStr"/>
      <c r="E101" t="n">
        <v>104</v>
      </c>
      <c r="F101">
        <f>HYPERLINK("https://portal.dnb.de/opac.htm?method=simpleSearch&amp;cqlMode=true&amp;query=idn%3D1066971803", "Portal")</f>
        <v/>
      </c>
      <c r="G101" t="inlineStr">
        <is>
          <t>Aa</t>
        </is>
      </c>
      <c r="H101" t="inlineStr">
        <is>
          <t>L-1499-315502207</t>
        </is>
      </c>
      <c r="I101" t="inlineStr">
        <is>
          <t>1066971803</t>
        </is>
      </c>
      <c r="J101" t="inlineStr">
        <is>
          <t>II 2,15d</t>
        </is>
      </c>
      <c r="K101" t="inlineStr">
        <is>
          <t>II 2,15d</t>
        </is>
      </c>
      <c r="L101" t="inlineStr">
        <is>
          <t>II 2,15d</t>
        </is>
      </c>
      <c r="M101" t="inlineStr"/>
      <c r="N101" t="inlineStr">
        <is>
          <t xml:space="preserve">Psalterium, lat. und. dt. : </t>
        </is>
      </c>
      <c r="O101" t="inlineStr">
        <is>
          <t xml:space="preserve"> : </t>
        </is>
      </c>
      <c r="P101" t="inlineStr">
        <is>
          <t>X</t>
        </is>
      </c>
      <c r="Q101" t="inlineStr"/>
      <c r="R101" t="inlineStr">
        <is>
          <t>Ledereinband, Schließen, erhabene Buchbeschläge</t>
        </is>
      </c>
      <c r="S101" t="inlineStr">
        <is>
          <t>bis 25 cm</t>
        </is>
      </c>
      <c r="T101" t="inlineStr">
        <is>
          <t>180°</t>
        </is>
      </c>
      <c r="U101" t="inlineStr">
        <is>
          <t>hohler Rücken, erhabene Illuminationen</t>
        </is>
      </c>
      <c r="V101" t="inlineStr">
        <is>
          <t>nicht auflegen</t>
        </is>
      </c>
      <c r="W101" t="inlineStr">
        <is>
          <t>Kassette</t>
        </is>
      </c>
      <c r="X101" t="inlineStr">
        <is>
          <t>Nein</t>
        </is>
      </c>
      <c r="Y101" t="n">
        <v>1</v>
      </c>
      <c r="Z101" t="inlineStr"/>
      <c r="AA101" t="inlineStr"/>
      <c r="AB101" t="inlineStr"/>
      <c r="AC101" t="inlineStr"/>
      <c r="AD101" t="inlineStr"/>
      <c r="AE101" t="inlineStr"/>
      <c r="AF101" t="inlineStr"/>
      <c r="AG101" t="inlineStr"/>
      <c r="AH101" t="inlineStr"/>
      <c r="AI101" t="inlineStr">
        <is>
          <t>HD</t>
        </is>
      </c>
      <c r="AJ101" t="inlineStr"/>
      <c r="AK101" t="inlineStr">
        <is>
          <t>x</t>
        </is>
      </c>
      <c r="AL101" t="inlineStr"/>
      <c r="AM101" t="inlineStr">
        <is>
          <t>f</t>
        </is>
      </c>
      <c r="AN101" t="inlineStr"/>
      <c r="AO101" t="inlineStr"/>
      <c r="AP101" t="inlineStr"/>
      <c r="AQ101" t="inlineStr"/>
      <c r="AR101" t="inlineStr"/>
      <c r="AS101" t="inlineStr">
        <is>
          <t>Pa</t>
        </is>
      </c>
      <c r="AT101" t="inlineStr"/>
      <c r="AU101" t="inlineStr">
        <is>
          <t>x</t>
        </is>
      </c>
      <c r="AV101" t="inlineStr"/>
      <c r="AW101" t="inlineStr"/>
      <c r="AX101" t="inlineStr"/>
      <c r="AY101" t="inlineStr"/>
      <c r="AZ101" t="inlineStr"/>
      <c r="BA101" t="inlineStr"/>
      <c r="BB101" t="inlineStr"/>
      <c r="BC101" t="inlineStr">
        <is>
          <t>I/R</t>
        </is>
      </c>
      <c r="BD101" t="inlineStr">
        <is>
          <t>x</t>
        </is>
      </c>
      <c r="BE101" t="inlineStr"/>
      <c r="BF101" t="inlineStr"/>
      <c r="BG101" t="n">
        <v>110</v>
      </c>
      <c r="BH101" t="inlineStr"/>
      <c r="BI101" t="inlineStr"/>
      <c r="BJ101" t="inlineStr"/>
      <c r="BK101" t="inlineStr"/>
      <c r="BL101" t="inlineStr"/>
      <c r="BM101" t="inlineStr">
        <is>
          <t>n</t>
        </is>
      </c>
      <c r="BN101" t="n">
        <v>0</v>
      </c>
      <c r="BO101" t="inlineStr"/>
      <c r="BP101" t="inlineStr">
        <is>
          <t>Wellpappe</t>
        </is>
      </c>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II</t>
        </is>
      </c>
      <c r="B102" t="b">
        <v>1</v>
      </c>
      <c r="C102" t="inlineStr"/>
      <c r="D102" t="inlineStr"/>
      <c r="E102" t="n">
        <v>105</v>
      </c>
      <c r="F102">
        <f>HYPERLINK("https://portal.dnb.de/opac.htm?method=simpleSearch&amp;cqlMode=true&amp;query=idn%3D1066970394", "Portal")</f>
        <v/>
      </c>
      <c r="G102" t="inlineStr">
        <is>
          <t>Aaf</t>
        </is>
      </c>
      <c r="H102" t="inlineStr">
        <is>
          <t>L-1488-315500735</t>
        </is>
      </c>
      <c r="I102" t="inlineStr">
        <is>
          <t>1066970394</t>
        </is>
      </c>
      <c r="J102" t="inlineStr">
        <is>
          <t>II 2,16b</t>
        </is>
      </c>
      <c r="K102" t="inlineStr">
        <is>
          <t>II 2,16b</t>
        </is>
      </c>
      <c r="L102" t="inlineStr">
        <is>
          <t>II 2,16b</t>
        </is>
      </c>
      <c r="M102" t="inlineStr"/>
      <c r="N102" t="inlineStr">
        <is>
          <t xml:space="preserve">Klagen, Antworten und Urteile, gezogen aus geistlichen und weltlichen Rechten : </t>
        </is>
      </c>
      <c r="O102" t="inlineStr">
        <is>
          <t xml:space="preserve"> : </t>
        </is>
      </c>
      <c r="P102" t="inlineStr">
        <is>
          <t>X</t>
        </is>
      </c>
      <c r="Q102" t="inlineStr"/>
      <c r="R102" t="inlineStr">
        <is>
          <t>Ledereinband</t>
        </is>
      </c>
      <c r="S102" t="inlineStr">
        <is>
          <t>bis 25 cm</t>
        </is>
      </c>
      <c r="T102" t="inlineStr">
        <is>
          <t>180°</t>
        </is>
      </c>
      <c r="U102" t="inlineStr">
        <is>
          <t>hohler Rücken, erhabene Illuminationen</t>
        </is>
      </c>
      <c r="V102" t="inlineStr">
        <is>
          <t>nicht auflegen</t>
        </is>
      </c>
      <c r="W102" t="inlineStr">
        <is>
          <t>Kassette</t>
        </is>
      </c>
      <c r="X102" t="inlineStr">
        <is>
          <t>Nein</t>
        </is>
      </c>
      <c r="Y102" t="n">
        <v>0</v>
      </c>
      <c r="Z102" t="inlineStr"/>
      <c r="AA102" t="inlineStr"/>
      <c r="AB102" t="inlineStr"/>
      <c r="AC102" t="inlineStr"/>
      <c r="AD102" t="inlineStr"/>
      <c r="AE102" t="inlineStr"/>
      <c r="AF102" t="inlineStr"/>
      <c r="AG102" t="inlineStr"/>
      <c r="AH102" t="inlineStr"/>
      <c r="AI102" t="inlineStr">
        <is>
          <t>L</t>
        </is>
      </c>
      <c r="AJ102" t="inlineStr"/>
      <c r="AK102" t="inlineStr">
        <is>
          <t>x</t>
        </is>
      </c>
      <c r="AL102" t="inlineStr"/>
      <c r="AM102" t="inlineStr">
        <is>
          <t>h/E</t>
        </is>
      </c>
      <c r="AN102" t="inlineStr"/>
      <c r="AO102" t="inlineStr"/>
      <c r="AP102" t="inlineStr"/>
      <c r="AQ102" t="inlineStr"/>
      <c r="AR102" t="inlineStr"/>
      <c r="AS102" t="inlineStr">
        <is>
          <t>Pa</t>
        </is>
      </c>
      <c r="AT102" t="inlineStr"/>
      <c r="AU102" t="inlineStr"/>
      <c r="AV102" t="inlineStr"/>
      <c r="AW102" t="inlineStr"/>
      <c r="AX102" t="inlineStr"/>
      <c r="AY102" t="inlineStr"/>
      <c r="AZ102" t="inlineStr"/>
      <c r="BA102" t="inlineStr"/>
      <c r="BB102" t="inlineStr"/>
      <c r="BC102" t="inlineStr">
        <is>
          <t>I/R</t>
        </is>
      </c>
      <c r="BD102" t="inlineStr">
        <is>
          <t>x</t>
        </is>
      </c>
      <c r="BE102" t="inlineStr"/>
      <c r="BF102" t="inlineStr"/>
      <c r="BG102" t="n">
        <v>110</v>
      </c>
      <c r="BH102" t="inlineStr"/>
      <c r="BI102" t="inlineStr"/>
      <c r="BJ102" t="inlineStr"/>
      <c r="BK102" t="inlineStr"/>
      <c r="BL102" t="inlineStr"/>
      <c r="BM102" t="inlineStr">
        <is>
          <t>n</t>
        </is>
      </c>
      <c r="BN102" t="n">
        <v>0</v>
      </c>
      <c r="BO102" t="inlineStr"/>
      <c r="BP102" t="inlineStr">
        <is>
          <t>Wellpappe</t>
        </is>
      </c>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II</t>
        </is>
      </c>
      <c r="B103" t="b">
        <v>1</v>
      </c>
      <c r="C103" t="inlineStr"/>
      <c r="D103" t="inlineStr"/>
      <c r="E103" t="n">
        <v>106</v>
      </c>
      <c r="F103">
        <f>HYPERLINK("https://portal.dnb.de/opac.htm?method=simpleSearch&amp;cqlMode=true&amp;query=idn%3D1066970394", "Portal")</f>
        <v/>
      </c>
      <c r="G103" t="inlineStr">
        <is>
          <t>Aaf</t>
        </is>
      </c>
      <c r="H103" t="inlineStr">
        <is>
          <t>L-1488-315500743</t>
        </is>
      </c>
      <c r="I103" t="inlineStr">
        <is>
          <t>1066970394</t>
        </is>
      </c>
      <c r="J103" t="inlineStr"/>
      <c r="K103" t="inlineStr">
        <is>
          <t>II 2,16ba</t>
        </is>
      </c>
      <c r="L103" t="inlineStr">
        <is>
          <t>II 2,16ba</t>
        </is>
      </c>
      <c r="M103" t="inlineStr"/>
      <c r="N103" t="inlineStr">
        <is>
          <t xml:space="preserve">Klagen, Antworten und Urteile, gezogen aus geistlichen und weltlichen Rechten : </t>
        </is>
      </c>
      <c r="O103" t="inlineStr">
        <is>
          <t xml:space="preserve"> : </t>
        </is>
      </c>
      <c r="P103" t="inlineStr">
        <is>
          <t>X</t>
        </is>
      </c>
      <c r="Q103" t="inlineStr"/>
      <c r="R103" t="inlineStr">
        <is>
          <t>Ledereinband, Schließen, erhabene Buchbeschläge</t>
        </is>
      </c>
      <c r="S103" t="inlineStr">
        <is>
          <t>bis 35 cm</t>
        </is>
      </c>
      <c r="T103" t="inlineStr">
        <is>
          <t>80° bis 110°, einseitig digitalisierbar?</t>
        </is>
      </c>
      <c r="U103" t="inlineStr">
        <is>
          <t>fester Rücken mit Schmuckprägung</t>
        </is>
      </c>
      <c r="V103" t="inlineStr"/>
      <c r="W103" t="inlineStr">
        <is>
          <t>Kassette</t>
        </is>
      </c>
      <c r="X103" t="inlineStr">
        <is>
          <t>Nein</t>
        </is>
      </c>
      <c r="Y103" t="n">
        <v>0</v>
      </c>
      <c r="Z103" t="inlineStr"/>
      <c r="AA103" t="inlineStr"/>
      <c r="AB103" t="inlineStr"/>
      <c r="AC103" t="inlineStr"/>
      <c r="AD103" t="inlineStr"/>
      <c r="AE103" t="inlineStr"/>
      <c r="AF103" t="inlineStr"/>
      <c r="AG103" t="inlineStr"/>
      <c r="AH103" t="inlineStr"/>
      <c r="AI103" t="inlineStr">
        <is>
          <t>HD</t>
        </is>
      </c>
      <c r="AJ103" t="inlineStr"/>
      <c r="AK103" t="inlineStr"/>
      <c r="AL103" t="inlineStr">
        <is>
          <t>x</t>
        </is>
      </c>
      <c r="AM103" t="inlineStr">
        <is>
          <t>f</t>
        </is>
      </c>
      <c r="AN103" t="inlineStr"/>
      <c r="AO103" t="inlineStr"/>
      <c r="AP103" t="inlineStr"/>
      <c r="AQ103" t="inlineStr"/>
      <c r="AR103" t="inlineStr"/>
      <c r="AS103" t="inlineStr">
        <is>
          <t>Pa</t>
        </is>
      </c>
      <c r="AT103" t="inlineStr"/>
      <c r="AU103" t="inlineStr"/>
      <c r="AV103" t="inlineStr"/>
      <c r="AW103" t="inlineStr"/>
      <c r="AX103" t="inlineStr">
        <is>
          <t>x</t>
        </is>
      </c>
      <c r="AY103" t="inlineStr"/>
      <c r="AZ103" t="inlineStr"/>
      <c r="BA103" t="inlineStr"/>
      <c r="BB103" t="inlineStr"/>
      <c r="BC103" t="inlineStr"/>
      <c r="BD103" t="inlineStr"/>
      <c r="BE103" t="inlineStr"/>
      <c r="BF103" t="inlineStr"/>
      <c r="BG103" t="n">
        <v>110</v>
      </c>
      <c r="BH103" t="inlineStr"/>
      <c r="BI103" t="inlineStr"/>
      <c r="BJ103" t="inlineStr"/>
      <c r="BK103" t="inlineStr"/>
      <c r="BL103" t="inlineStr"/>
      <c r="BM103" t="inlineStr">
        <is>
          <t>n</t>
        </is>
      </c>
      <c r="BN103" t="n">
        <v>0</v>
      </c>
      <c r="BO103" t="inlineStr"/>
      <c r="BP103" t="inlineStr">
        <is>
          <t>Gewebe</t>
        </is>
      </c>
      <c r="BQ103" t="inlineStr"/>
      <c r="BR103" t="inlineStr"/>
      <c r="BS103" t="inlineStr"/>
      <c r="BT103" t="inlineStr"/>
      <c r="BU103" t="inlineStr"/>
      <c r="BV103" t="inlineStr">
        <is>
          <t>Buch riecht extrem nach Chemie</t>
        </is>
      </c>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t>
        </is>
      </c>
      <c r="B104" t="b">
        <v>1</v>
      </c>
      <c r="C104" t="inlineStr"/>
      <c r="D104" t="inlineStr"/>
      <c r="E104" t="n">
        <v>107</v>
      </c>
      <c r="F104">
        <f>HYPERLINK("https://portal.dnb.de/opac.htm?method=simpleSearch&amp;cqlMode=true&amp;query=idn%3D1072052393", "Portal")</f>
        <v/>
      </c>
      <c r="G104" t="inlineStr">
        <is>
          <t>Aal</t>
        </is>
      </c>
      <c r="H104" t="inlineStr">
        <is>
          <t>L-1495-326852484</t>
        </is>
      </c>
      <c r="I104" t="inlineStr">
        <is>
          <t>1072052393</t>
        </is>
      </c>
      <c r="J104" t="inlineStr">
        <is>
          <t>II 2,17a</t>
        </is>
      </c>
      <c r="K104" t="inlineStr">
        <is>
          <t>II 2,17a</t>
        </is>
      </c>
      <c r="L104" t="inlineStr">
        <is>
          <t>II 2,17a</t>
        </is>
      </c>
      <c r="M104" t="inlineStr"/>
      <c r="N104" t="inlineStr">
        <is>
          <t xml:space="preserve">Von dem Psalter unserer lieben Frau : </t>
        </is>
      </c>
      <c r="O104" t="inlineStr">
        <is>
          <t xml:space="preserve"> : </t>
        </is>
      </c>
      <c r="P104" t="inlineStr">
        <is>
          <t>X</t>
        </is>
      </c>
      <c r="Q104" t="inlineStr"/>
      <c r="R104" t="inlineStr">
        <is>
          <t>Halbledereinband, Schließen, erhabene Buchbeschläge</t>
        </is>
      </c>
      <c r="S104" t="inlineStr">
        <is>
          <t>bis 25 cm</t>
        </is>
      </c>
      <c r="T104" t="inlineStr">
        <is>
          <t>80° bis 110°, einseitig digitalisierbar?</t>
        </is>
      </c>
      <c r="U104" t="inlineStr">
        <is>
          <t>fester Rücken mit Schmuckprägung, erhabene Illuminationen</t>
        </is>
      </c>
      <c r="V104" t="inlineStr">
        <is>
          <t>nicht auflegen</t>
        </is>
      </c>
      <c r="W104" t="inlineStr">
        <is>
          <t>Kassette</t>
        </is>
      </c>
      <c r="X104" t="inlineStr">
        <is>
          <t>Nein</t>
        </is>
      </c>
      <c r="Y104" t="n">
        <v>0</v>
      </c>
      <c r="Z104" t="inlineStr"/>
      <c r="AA104" t="inlineStr"/>
      <c r="AB104" t="inlineStr"/>
      <c r="AC104" t="inlineStr"/>
      <c r="AD104" t="inlineStr"/>
      <c r="AE104" t="inlineStr"/>
      <c r="AF104" t="inlineStr"/>
      <c r="AG104" t="inlineStr"/>
      <c r="AH104" t="inlineStr"/>
      <c r="AI104" t="inlineStr">
        <is>
          <t>HD</t>
        </is>
      </c>
      <c r="AJ104" t="inlineStr"/>
      <c r="AK104" t="inlineStr"/>
      <c r="AL104" t="inlineStr">
        <is>
          <t>x</t>
        </is>
      </c>
      <c r="AM104" t="inlineStr">
        <is>
          <t>f</t>
        </is>
      </c>
      <c r="AN104" t="inlineStr"/>
      <c r="AO104" t="inlineStr"/>
      <c r="AP104" t="inlineStr"/>
      <c r="AQ104" t="inlineStr"/>
      <c r="AR104" t="inlineStr"/>
      <c r="AS104" t="inlineStr">
        <is>
          <t>Pa</t>
        </is>
      </c>
      <c r="AT104" t="inlineStr"/>
      <c r="AU104" t="inlineStr"/>
      <c r="AV104" t="inlineStr"/>
      <c r="AW104" t="inlineStr"/>
      <c r="AX104" t="inlineStr"/>
      <c r="AY104" t="inlineStr"/>
      <c r="AZ104" t="inlineStr"/>
      <c r="BA104" t="inlineStr"/>
      <c r="BB104" t="inlineStr"/>
      <c r="BC104" t="inlineStr"/>
      <c r="BD104" t="inlineStr"/>
      <c r="BE104" t="inlineStr"/>
      <c r="BF104" t="inlineStr"/>
      <c r="BG104" t="n">
        <v>110</v>
      </c>
      <c r="BH104" t="inlineStr"/>
      <c r="BI104" t="inlineStr"/>
      <c r="BJ104" t="inlineStr"/>
      <c r="BK104" t="inlineStr"/>
      <c r="BL104" t="inlineStr"/>
      <c r="BM104" t="inlineStr">
        <is>
          <t>n</t>
        </is>
      </c>
      <c r="BN104" t="n">
        <v>0</v>
      </c>
      <c r="BO104" t="inlineStr"/>
      <c r="BP104" t="inlineStr">
        <is>
          <t>Gewebe</t>
        </is>
      </c>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t>
        </is>
      </c>
      <c r="B105" t="b">
        <v>1</v>
      </c>
      <c r="C105" t="inlineStr"/>
      <c r="D105" t="inlineStr"/>
      <c r="E105" t="n">
        <v>108</v>
      </c>
      <c r="F105">
        <f>HYPERLINK("https://portal.dnb.de/opac.htm?method=simpleSearch&amp;cqlMode=true&amp;query=idn%3D1066970890", "Portal")</f>
        <v/>
      </c>
      <c r="G105" t="inlineStr">
        <is>
          <t>Aaf</t>
        </is>
      </c>
      <c r="H105" t="inlineStr">
        <is>
          <t>L-1496-315501251</t>
        </is>
      </c>
      <c r="I105" t="inlineStr">
        <is>
          <t>1066970890</t>
        </is>
      </c>
      <c r="J105" t="inlineStr">
        <is>
          <t>II 2,18a</t>
        </is>
      </c>
      <c r="K105" t="inlineStr">
        <is>
          <t>II 2,18a</t>
        </is>
      </c>
      <c r="L105" t="inlineStr">
        <is>
          <t>II 2,18a</t>
        </is>
      </c>
      <c r="M105" t="inlineStr"/>
      <c r="N105" t="inlineStr">
        <is>
          <t xml:space="preserve">Revelationes divinae a sanctis angelis factae : </t>
        </is>
      </c>
      <c r="O105" t="inlineStr">
        <is>
          <t xml:space="preserve"> : </t>
        </is>
      </c>
      <c r="P105" t="inlineStr">
        <is>
          <t>X</t>
        </is>
      </c>
      <c r="Q105" t="inlineStr"/>
      <c r="R105" t="inlineStr">
        <is>
          <t>Halbledereinband, Schließen, erhabene Buchbeschläge</t>
        </is>
      </c>
      <c r="S105" t="inlineStr">
        <is>
          <t>bis 25 cm</t>
        </is>
      </c>
      <c r="T105" t="inlineStr">
        <is>
          <t>180°</t>
        </is>
      </c>
      <c r="U105" t="inlineStr">
        <is>
          <t>hohler Rücken, welliger Buchblock, erhabene Illuminationen</t>
        </is>
      </c>
      <c r="V105" t="inlineStr">
        <is>
          <t>nicht auflegen</t>
        </is>
      </c>
      <c r="W105" t="inlineStr">
        <is>
          <t>Kassette</t>
        </is>
      </c>
      <c r="X105" t="inlineStr">
        <is>
          <t>Nein</t>
        </is>
      </c>
      <c r="Y105" t="n">
        <v>0</v>
      </c>
      <c r="Z105" t="inlineStr"/>
      <c r="AA105" t="inlineStr"/>
      <c r="AB105" t="inlineStr"/>
      <c r="AC105" t="inlineStr"/>
      <c r="AD105" t="inlineStr"/>
      <c r="AE105" t="inlineStr"/>
      <c r="AF105" t="inlineStr"/>
      <c r="AG105" t="inlineStr"/>
      <c r="AH105" t="inlineStr"/>
      <c r="AI105" t="inlineStr">
        <is>
          <t>G</t>
        </is>
      </c>
      <c r="AJ105" t="inlineStr"/>
      <c r="AK105" t="inlineStr">
        <is>
          <t>x</t>
        </is>
      </c>
      <c r="AL105" t="inlineStr"/>
      <c r="AM105" t="inlineStr">
        <is>
          <t>h</t>
        </is>
      </c>
      <c r="AN105" t="inlineStr"/>
      <c r="AO105" t="inlineStr"/>
      <c r="AP105" t="inlineStr"/>
      <c r="AQ105" t="inlineStr"/>
      <c r="AR105" t="inlineStr"/>
      <c r="AS105" t="inlineStr">
        <is>
          <t>Pa</t>
        </is>
      </c>
      <c r="AT105" t="inlineStr">
        <is>
          <t>x</t>
        </is>
      </c>
      <c r="AU105" t="inlineStr"/>
      <c r="AV105" t="inlineStr"/>
      <c r="AW105" t="inlineStr"/>
      <c r="AX105" t="inlineStr"/>
      <c r="AY105" t="inlineStr"/>
      <c r="AZ105" t="inlineStr"/>
      <c r="BA105" t="inlineStr"/>
      <c r="BB105" t="inlineStr"/>
      <c r="BC105" t="inlineStr">
        <is>
          <t>R</t>
        </is>
      </c>
      <c r="BD105" t="inlineStr">
        <is>
          <t>x</t>
        </is>
      </c>
      <c r="BE105" t="inlineStr"/>
      <c r="BF105" t="inlineStr"/>
      <c r="BG105" t="n">
        <v>110</v>
      </c>
      <c r="BH105" t="inlineStr"/>
      <c r="BI105" t="inlineStr"/>
      <c r="BJ105" t="inlineStr"/>
      <c r="BK105" t="inlineStr"/>
      <c r="BL105" t="inlineStr"/>
      <c r="BM105" t="inlineStr">
        <is>
          <t>n</t>
        </is>
      </c>
      <c r="BN105" t="n">
        <v>0</v>
      </c>
      <c r="BO105" t="inlineStr"/>
      <c r="BP105" t="inlineStr">
        <is>
          <t>Wellpappe</t>
        </is>
      </c>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t>
        </is>
      </c>
      <c r="B106" t="b">
        <v>1</v>
      </c>
      <c r="C106" t="inlineStr"/>
      <c r="D106" t="inlineStr"/>
      <c r="E106" t="n">
        <v>109</v>
      </c>
      <c r="F106">
        <f>HYPERLINK("https://portal.dnb.de/opac.htm?method=simpleSearch&amp;cqlMode=true&amp;query=idn%3D1066966524", "Portal")</f>
        <v/>
      </c>
      <c r="G106" t="inlineStr">
        <is>
          <t>Aaf</t>
        </is>
      </c>
      <c r="H106" t="inlineStr">
        <is>
          <t>L-1461-315496819</t>
        </is>
      </c>
      <c r="I106" t="inlineStr">
        <is>
          <t>1066966524</t>
        </is>
      </c>
      <c r="J106" t="inlineStr">
        <is>
          <t>II 3,1a - Fragm.</t>
        </is>
      </c>
      <c r="K106" t="inlineStr">
        <is>
          <t>II 3,1a - Fragm.</t>
        </is>
      </c>
      <c r="L106" t="inlineStr">
        <is>
          <t>II 3,1a - Fragm.</t>
        </is>
      </c>
      <c r="M106" t="inlineStr"/>
      <c r="N106" t="inlineStr">
        <is>
          <t xml:space="preserve">Biblia, lat., 36zeilig : </t>
        </is>
      </c>
      <c r="O106" t="inlineStr">
        <is>
          <t xml:space="preserve"> : </t>
        </is>
      </c>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t>
        </is>
      </c>
      <c r="B107" t="b">
        <v>1</v>
      </c>
      <c r="C107" t="inlineStr">
        <is>
          <t>x</t>
        </is>
      </c>
      <c r="D107" t="inlineStr"/>
      <c r="E107" t="n">
        <v>110</v>
      </c>
      <c r="F107">
        <f>HYPERLINK("https://portal.dnb.de/opac.htm?method=simpleSearch&amp;cqlMode=true&amp;query=idn%3D1066970971", "Portal")</f>
        <v/>
      </c>
      <c r="G107" t="inlineStr">
        <is>
          <t>Aaf</t>
        </is>
      </c>
      <c r="H107" t="inlineStr">
        <is>
          <t>L-1488-315501332</t>
        </is>
      </c>
      <c r="I107" t="inlineStr">
        <is>
          <t>1066970971</t>
        </is>
      </c>
      <c r="J107" t="inlineStr">
        <is>
          <t>II 3,2b (Großformat)</t>
        </is>
      </c>
      <c r="K107" t="inlineStr">
        <is>
          <t>II 3,2b</t>
        </is>
      </c>
      <c r="L107" t="inlineStr">
        <is>
          <t>II 3,2b</t>
        </is>
      </c>
      <c r="M107" t="inlineStr"/>
      <c r="N107" t="inlineStr">
        <is>
          <t xml:space="preserve">Missale Olomucense : </t>
        </is>
      </c>
      <c r="O107" t="inlineStr">
        <is>
          <t xml:space="preserve"> : </t>
        </is>
      </c>
      <c r="P107" t="inlineStr">
        <is>
          <t>x</t>
        </is>
      </c>
      <c r="Q107" t="inlineStr">
        <is>
          <t>10000,00 EUR</t>
        </is>
      </c>
      <c r="R107" t="inlineStr">
        <is>
          <t>Ledereinband</t>
        </is>
      </c>
      <c r="S107" t="inlineStr">
        <is>
          <t>bis 42 cm</t>
        </is>
      </c>
      <c r="T107" t="inlineStr">
        <is>
          <t>80° bis 110°, einseitig digitalisierbar?</t>
        </is>
      </c>
      <c r="U107" t="inlineStr">
        <is>
          <t>hohler Rücken, erhabene Illuminationen</t>
        </is>
      </c>
      <c r="V107" t="inlineStr">
        <is>
          <t>nicht auflegen</t>
        </is>
      </c>
      <c r="W107" t="inlineStr"/>
      <c r="X107" t="inlineStr">
        <is>
          <t>Signaturfahne austauschen</t>
        </is>
      </c>
      <c r="Y107" t="n">
        <v>0</v>
      </c>
      <c r="Z107" t="inlineStr"/>
      <c r="AA107" t="inlineStr">
        <is>
          <t>Holzdeckel</t>
        </is>
      </c>
      <c r="AB107" t="inlineStr"/>
      <c r="AC107" t="inlineStr"/>
      <c r="AD107" t="inlineStr"/>
      <c r="AE107" t="inlineStr"/>
      <c r="AF107" t="inlineStr"/>
      <c r="AG107" t="inlineStr"/>
      <c r="AH107" t="inlineStr"/>
      <c r="AI107" t="inlineStr">
        <is>
          <t>L</t>
        </is>
      </c>
      <c r="AJ107" t="inlineStr"/>
      <c r="AK107" t="inlineStr">
        <is>
          <t>x</t>
        </is>
      </c>
      <c r="AL107" t="inlineStr"/>
      <c r="AM107" t="inlineStr">
        <is>
          <t>h/E</t>
        </is>
      </c>
      <c r="AN107" t="inlineStr"/>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is>
          <t>I/R</t>
        </is>
      </c>
      <c r="BD107" t="inlineStr">
        <is>
          <t>x</t>
        </is>
      </c>
      <c r="BE107" t="inlineStr"/>
      <c r="BF107" t="inlineStr"/>
      <c r="BG107" t="n">
        <v>110</v>
      </c>
      <c r="BH107" t="inlineStr"/>
      <c r="BI107" t="inlineStr"/>
      <c r="BJ107" t="inlineStr"/>
      <c r="BK107" t="inlineStr"/>
      <c r="BL107" t="inlineStr"/>
      <c r="BM107" t="inlineStr">
        <is>
          <t>ja vor</t>
        </is>
      </c>
      <c r="BN107" t="n">
        <v>3</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is>
          <t>15 Seiten</t>
        </is>
      </c>
      <c r="CY107" t="inlineStr"/>
      <c r="CZ107" t="inlineStr">
        <is>
          <t>25 Seiten</t>
        </is>
      </c>
      <c r="DA107" t="inlineStr"/>
      <c r="DB107" t="inlineStr"/>
      <c r="DC107" t="inlineStr"/>
      <c r="DD107" t="inlineStr"/>
      <c r="DE107" t="inlineStr"/>
      <c r="DF107" t="n">
        <v>3</v>
      </c>
      <c r="DG107" t="inlineStr"/>
    </row>
    <row r="108">
      <c r="A108" t="inlineStr">
        <is>
          <t>II</t>
        </is>
      </c>
      <c r="B108" t="b">
        <v>1</v>
      </c>
      <c r="C108" t="inlineStr">
        <is>
          <t>x</t>
        </is>
      </c>
      <c r="D108" t="inlineStr"/>
      <c r="E108" t="n">
        <v>111</v>
      </c>
      <c r="F108">
        <f>HYPERLINK("https://portal.dnb.de/opac.htm?method=simpleSearch&amp;cqlMode=true&amp;query=idn%3D1079552596", "Portal")</f>
        <v/>
      </c>
      <c r="G108" t="inlineStr">
        <is>
          <t>Aal</t>
        </is>
      </c>
      <c r="H108" t="inlineStr">
        <is>
          <t>L-1483-343703483</t>
        </is>
      </c>
      <c r="I108" t="inlineStr">
        <is>
          <t>1079552596</t>
        </is>
      </c>
      <c r="J108" t="inlineStr">
        <is>
          <t>II 3,2d</t>
        </is>
      </c>
      <c r="K108" t="inlineStr">
        <is>
          <t>II 3,2d</t>
        </is>
      </c>
      <c r="L108" t="inlineStr">
        <is>
          <t>II 3,2d</t>
        </is>
      </c>
      <c r="M108" t="inlineStr"/>
      <c r="N108" t="inlineStr">
        <is>
          <t xml:space="preserve">Psalterium latinum : </t>
        </is>
      </c>
      <c r="O108" t="inlineStr">
        <is>
          <t xml:space="preserve"> : </t>
        </is>
      </c>
      <c r="P108" t="inlineStr">
        <is>
          <t>X</t>
        </is>
      </c>
      <c r="Q108" t="inlineStr">
        <is>
          <t>3200,00 EUR</t>
        </is>
      </c>
      <c r="R108" t="inlineStr">
        <is>
          <t>Halbledereinband</t>
        </is>
      </c>
      <c r="S108" t="inlineStr">
        <is>
          <t>bis 35 cm</t>
        </is>
      </c>
      <c r="T108" t="inlineStr">
        <is>
          <t>80° bis 110°, einseitig digitalisierbar?</t>
        </is>
      </c>
      <c r="U108" t="inlineStr">
        <is>
          <t>fester Rücken mit Schmuckprägung, welliger Buchblock, erhabene Illuminationen, Schrift bis in den Falz, Tintenfraß</t>
        </is>
      </c>
      <c r="V108" t="inlineStr">
        <is>
          <t>nicht auflegen</t>
        </is>
      </c>
      <c r="W108" t="inlineStr">
        <is>
          <t>Kassette</t>
        </is>
      </c>
      <c r="X108" t="inlineStr">
        <is>
          <t>Nein</t>
        </is>
      </c>
      <c r="Y108" t="n">
        <v>1</v>
      </c>
      <c r="Z108" t="inlineStr"/>
      <c r="AA108" t="inlineStr">
        <is>
          <t>Holzdeckel, gereinigt,Fragment in Sammelbox</t>
        </is>
      </c>
      <c r="AB108" t="inlineStr"/>
      <c r="AC108" t="inlineStr"/>
      <c r="AD108" t="inlineStr"/>
      <c r="AE108" t="inlineStr"/>
      <c r="AF108" t="inlineStr"/>
      <c r="AG108" t="inlineStr"/>
      <c r="AH108" t="inlineStr"/>
      <c r="AI108" t="inlineStr">
        <is>
          <t>HD</t>
        </is>
      </c>
      <c r="AJ108" t="inlineStr"/>
      <c r="AK108" t="inlineStr"/>
      <c r="AL108" t="inlineStr"/>
      <c r="AM108" t="inlineStr">
        <is>
          <t>f</t>
        </is>
      </c>
      <c r="AN108" t="inlineStr"/>
      <c r="AO108" t="inlineStr"/>
      <c r="AP108" t="inlineStr"/>
      <c r="AQ108" t="inlineStr"/>
      <c r="AR108" t="inlineStr"/>
      <c r="AS108" t="inlineStr">
        <is>
          <t>Pa</t>
        </is>
      </c>
      <c r="AT108" t="inlineStr"/>
      <c r="AU108" t="inlineStr">
        <is>
          <t>x</t>
        </is>
      </c>
      <c r="AV108" t="inlineStr"/>
      <c r="AW108" t="inlineStr"/>
      <c r="AX108" t="inlineStr"/>
      <c r="AY108" t="inlineStr"/>
      <c r="AZ108" t="inlineStr"/>
      <c r="BA108" t="inlineStr"/>
      <c r="BB108" t="inlineStr"/>
      <c r="BC108" t="inlineStr">
        <is>
          <t>B/I/R</t>
        </is>
      </c>
      <c r="BD108" t="inlineStr">
        <is>
          <t>xx</t>
        </is>
      </c>
      <c r="BE108" t="inlineStr"/>
      <c r="BF108" t="inlineStr"/>
      <c r="BG108" t="n">
        <v>110</v>
      </c>
      <c r="BH108" t="inlineStr"/>
      <c r="BI108" t="inlineStr"/>
      <c r="BJ108" t="inlineStr"/>
      <c r="BK108" t="inlineStr"/>
      <c r="BL108" t="inlineStr"/>
      <c r="BM108" t="inlineStr">
        <is>
          <t>ja vor</t>
        </is>
      </c>
      <c r="BN108" t="n">
        <v>1</v>
      </c>
      <c r="BO108" t="inlineStr"/>
      <c r="BP108" t="inlineStr">
        <is>
          <t>Wellpappe</t>
        </is>
      </c>
      <c r="BQ108" t="inlineStr"/>
      <c r="BR108" t="inlineStr"/>
      <c r="BS108" t="inlineStr"/>
      <c r="BT108" t="inlineStr"/>
      <c r="BU108" t="inlineStr"/>
      <c r="BV108" t="inlineStr"/>
      <c r="BW108" t="inlineStr"/>
      <c r="BX108" t="inlineStr"/>
      <c r="BY108" t="inlineStr"/>
      <c r="BZ108" t="inlineStr"/>
      <c r="CA108" t="inlineStr"/>
      <c r="CB108" t="inlineStr">
        <is>
          <t>x</t>
        </is>
      </c>
      <c r="CC108" t="inlineStr"/>
      <c r="CD108" t="inlineStr"/>
      <c r="CE108" t="inlineStr"/>
      <c r="CF108" t="inlineStr"/>
      <c r="CG108" t="inlineStr"/>
      <c r="CH108" t="inlineStr"/>
      <c r="CI108" t="inlineStr"/>
      <c r="CJ108" t="inlineStr"/>
      <c r="CK108" t="inlineStr"/>
      <c r="CL108" t="inlineStr"/>
      <c r="CM108" t="n">
        <v>0.5</v>
      </c>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is>
          <t>x</t>
        </is>
      </c>
      <c r="DE108" t="inlineStr"/>
      <c r="DF108" t="n">
        <v>0.5</v>
      </c>
      <c r="DG108" t="inlineStr"/>
    </row>
    <row r="109">
      <c r="A109" t="inlineStr">
        <is>
          <t>II</t>
        </is>
      </c>
      <c r="B109" t="b">
        <v>1</v>
      </c>
      <c r="C109" t="inlineStr"/>
      <c r="D109" t="inlineStr"/>
      <c r="E109" t="n">
        <v>112</v>
      </c>
      <c r="F109">
        <f>HYPERLINK("https://portal.dnb.de/opac.htm?method=simpleSearch&amp;cqlMode=true&amp;query=idn%3D1077047398", "Portal")</f>
        <v/>
      </c>
      <c r="G109" t="inlineStr">
        <is>
          <t>Af</t>
        </is>
      </c>
      <c r="H109" t="inlineStr">
        <is>
          <t>L-1474-31549672X</t>
        </is>
      </c>
      <c r="I109" t="inlineStr">
        <is>
          <t>1077047398</t>
        </is>
      </c>
      <c r="J109" t="inlineStr">
        <is>
          <t>II 4,1 a</t>
        </is>
      </c>
      <c r="K109" t="inlineStr">
        <is>
          <t>II 4,1 a</t>
        </is>
      </c>
      <c r="L109" t="inlineStr">
        <is>
          <t>II 4,1a</t>
        </is>
      </c>
      <c r="M109" t="inlineStr"/>
      <c r="N109" t="inlineStr">
        <is>
          <t>Biblia, lat.</t>
        </is>
      </c>
      <c r="O109" t="inlineStr">
        <is>
          <t xml:space="preserve">Pars 1 : </t>
        </is>
      </c>
      <c r="P109" t="inlineStr">
        <is>
          <t>X</t>
        </is>
      </c>
      <c r="Q109" t="inlineStr"/>
      <c r="R109" t="inlineStr">
        <is>
          <t>Pergamentband, Schließen, erhabene Buchbeschläge</t>
        </is>
      </c>
      <c r="S109" t="inlineStr">
        <is>
          <t>bis 42 cm</t>
        </is>
      </c>
      <c r="T109" t="inlineStr">
        <is>
          <t>80° bis 110°, einseitig digitalisierbar?</t>
        </is>
      </c>
      <c r="U109" t="inlineStr">
        <is>
          <t>erhabene Illuminationen</t>
        </is>
      </c>
      <c r="V109" t="inlineStr">
        <is>
          <t>nicht auflegen</t>
        </is>
      </c>
      <c r="W109" t="inlineStr"/>
      <c r="X109" t="inlineStr"/>
      <c r="Y109" t="n">
        <v>1</v>
      </c>
      <c r="Z109" t="inlineStr"/>
      <c r="AA109" t="inlineStr"/>
      <c r="AB109" t="inlineStr"/>
      <c r="AC109" t="inlineStr"/>
      <c r="AD109" t="inlineStr"/>
      <c r="AE109" t="inlineStr"/>
      <c r="AF109" t="inlineStr"/>
      <c r="AG109" t="inlineStr">
        <is>
          <t>x</t>
        </is>
      </c>
      <c r="AH109" t="inlineStr"/>
      <c r="AI109" t="inlineStr">
        <is>
          <t>HD</t>
        </is>
      </c>
      <c r="AJ109" t="inlineStr"/>
      <c r="AK109" t="inlineStr"/>
      <c r="AL109" t="inlineStr"/>
      <c r="AM109" t="inlineStr">
        <is>
          <t>f</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is>
          <t>I/R</t>
        </is>
      </c>
      <c r="BD109" t="inlineStr">
        <is>
          <t>x</t>
        </is>
      </c>
      <c r="BE109" t="inlineStr"/>
      <c r="BF109" t="inlineStr"/>
      <c r="BG109" t="n">
        <v>60</v>
      </c>
      <c r="BH109" t="inlineStr"/>
      <c r="BI109" t="inlineStr"/>
      <c r="BJ109" t="inlineStr"/>
      <c r="BK109" t="inlineStr"/>
      <c r="BL109" t="inlineStr"/>
      <c r="BM109" t="inlineStr">
        <is>
          <t>n</t>
        </is>
      </c>
      <c r="BN109" t="n">
        <v>0</v>
      </c>
      <c r="BO109" t="inlineStr"/>
      <c r="BP109" t="inlineStr"/>
      <c r="BQ109" t="inlineStr"/>
      <c r="BR109" t="inlineStr"/>
      <c r="BS109" t="inlineStr"/>
      <c r="BT109" t="inlineStr"/>
      <c r="BU109" t="inlineStr"/>
      <c r="BV109" t="inlineStr"/>
      <c r="BW109" t="inlineStr"/>
      <c r="BX109" t="inlineStr"/>
      <c r="BY109" t="inlineStr">
        <is>
          <t>Box</t>
        </is>
      </c>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II</t>
        </is>
      </c>
      <c r="B110" t="b">
        <v>1</v>
      </c>
      <c r="C110" t="inlineStr"/>
      <c r="D110" t="inlineStr"/>
      <c r="E110" t="n">
        <v>127</v>
      </c>
      <c r="F110">
        <f>HYPERLINK("https://portal.dnb.de/opac.htm?method=simpleSearch&amp;cqlMode=true&amp;query=idn%3D1077047428", "Portal")</f>
        <v/>
      </c>
      <c r="G110" t="inlineStr">
        <is>
          <t>Af</t>
        </is>
      </c>
      <c r="H110" t="inlineStr">
        <is>
          <t>L-1474-336752105</t>
        </is>
      </c>
      <c r="I110" t="inlineStr">
        <is>
          <t>1077047428</t>
        </is>
      </c>
      <c r="J110" t="inlineStr">
        <is>
          <t>II 4,1a - 2</t>
        </is>
      </c>
      <c r="K110" t="inlineStr">
        <is>
          <t>II 4,1a - 2</t>
        </is>
      </c>
      <c r="L110" t="inlineStr">
        <is>
          <t>II 4,1a - 2</t>
        </is>
      </c>
      <c r="M110" t="inlineStr"/>
      <c r="N110" t="inlineStr">
        <is>
          <t>Biblia, lat.</t>
        </is>
      </c>
      <c r="O110" t="inlineStr">
        <is>
          <t xml:space="preserve">Pars 2 : </t>
        </is>
      </c>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t>
        </is>
      </c>
      <c r="B111" t="b">
        <v>1</v>
      </c>
      <c r="C111" t="inlineStr"/>
      <c r="D111" t="inlineStr"/>
      <c r="E111" t="n">
        <v>113</v>
      </c>
      <c r="F111">
        <f>HYPERLINK("https://portal.dnb.de/opac.htm?method=simpleSearch&amp;cqlMode=true&amp;query=idn%3D1066968667", "Portal")</f>
        <v/>
      </c>
      <c r="G111" t="inlineStr">
        <is>
          <t>Aaf</t>
        </is>
      </c>
      <c r="H111" t="inlineStr">
        <is>
          <t>L-1472-315498900</t>
        </is>
      </c>
      <c r="I111" t="inlineStr">
        <is>
          <t>1066968667</t>
        </is>
      </c>
      <c r="J111" t="inlineStr">
        <is>
          <t>II 4,1b</t>
        </is>
      </c>
      <c r="K111" t="inlineStr">
        <is>
          <t>II 4,1b</t>
        </is>
      </c>
      <c r="L111" t="inlineStr">
        <is>
          <t>II 4,1b</t>
        </is>
      </c>
      <c r="M111" t="inlineStr"/>
      <c r="N111" t="inlineStr">
        <is>
          <t xml:space="preserve">Moralia sive Expositio in Job : </t>
        </is>
      </c>
      <c r="O111" t="inlineStr">
        <is>
          <t xml:space="preserve"> : </t>
        </is>
      </c>
      <c r="P111" t="inlineStr">
        <is>
          <t>X</t>
        </is>
      </c>
      <c r="Q111" t="inlineStr"/>
      <c r="R111" t="inlineStr">
        <is>
          <t>Halbledereinband, Schließen, erhabene Buchbeschläge</t>
        </is>
      </c>
      <c r="S111" t="inlineStr">
        <is>
          <t>bis 42 cm</t>
        </is>
      </c>
      <c r="T111" t="inlineStr">
        <is>
          <t>80° bis 110°, einseitig digitalisierbar?</t>
        </is>
      </c>
      <c r="U111" t="inlineStr">
        <is>
          <t>hohler Rücken, erhabene Illuminationen</t>
        </is>
      </c>
      <c r="V111" t="inlineStr">
        <is>
          <t>nicht auflegen</t>
        </is>
      </c>
      <c r="W111" t="inlineStr"/>
      <c r="X111" t="inlineStr"/>
      <c r="Y111" t="n">
        <v>0</v>
      </c>
      <c r="Z111" t="inlineStr"/>
      <c r="AA111" t="inlineStr"/>
      <c r="AB111" t="inlineStr"/>
      <c r="AC111" t="inlineStr"/>
      <c r="AD111" t="inlineStr"/>
      <c r="AE111" t="inlineStr"/>
      <c r="AF111" t="inlineStr"/>
      <c r="AG111" t="inlineStr"/>
      <c r="AH111" t="inlineStr"/>
      <c r="AI111" t="inlineStr">
        <is>
          <t>HL</t>
        </is>
      </c>
      <c r="AJ111" t="inlineStr"/>
      <c r="AK111" t="inlineStr">
        <is>
          <t>x</t>
        </is>
      </c>
      <c r="AL111" t="inlineStr"/>
      <c r="AM111" t="inlineStr">
        <is>
          <t>h/E</t>
        </is>
      </c>
      <c r="AN111" t="inlineStr"/>
      <c r="AO111" t="inlineStr"/>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is>
          <t>I/R</t>
        </is>
      </c>
      <c r="BD111" t="inlineStr">
        <is>
          <t>x</t>
        </is>
      </c>
      <c r="BE111" t="inlineStr"/>
      <c r="BF111" t="inlineStr"/>
      <c r="BG111" t="n">
        <v>110</v>
      </c>
      <c r="BH111" t="inlineStr"/>
      <c r="BI111" t="inlineStr"/>
      <c r="BJ111" t="inlineStr"/>
      <c r="BK111" t="inlineStr"/>
      <c r="BL111" t="inlineStr"/>
      <c r="BM111" t="inlineStr">
        <is>
          <t>n</t>
        </is>
      </c>
      <c r="BN111" t="n">
        <v>0</v>
      </c>
      <c r="BO111" t="inlineStr"/>
      <c r="BP111" t="inlineStr"/>
      <c r="BQ111" t="inlineStr"/>
      <c r="BR111" t="inlineStr"/>
      <c r="BS111" t="inlineStr"/>
      <c r="BT111" t="inlineStr"/>
      <c r="BU111" t="inlineStr"/>
      <c r="BV111" t="inlineStr"/>
      <c r="BW111" t="inlineStr"/>
      <c r="BX111" t="inlineStr"/>
      <c r="BY111" t="inlineStr">
        <is>
          <t>Box (wg. Schließe)</t>
        </is>
      </c>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t>
        </is>
      </c>
      <c r="B112" t="b">
        <v>1</v>
      </c>
      <c r="C112" t="inlineStr"/>
      <c r="D112" t="inlineStr"/>
      <c r="E112" t="n">
        <v>114</v>
      </c>
      <c r="F112">
        <f>HYPERLINK("https://portal.dnb.de/opac.htm?method=simpleSearch&amp;cqlMode=true&amp;query=idn%3D1066967598", "Portal")</f>
        <v/>
      </c>
      <c r="G112" t="inlineStr">
        <is>
          <t>Aaf</t>
        </is>
      </c>
      <c r="H112" t="inlineStr">
        <is>
          <t>L-1475-31549784X</t>
        </is>
      </c>
      <c r="I112" t="inlineStr">
        <is>
          <t>1066967598</t>
        </is>
      </c>
      <c r="J112" t="inlineStr">
        <is>
          <t>II 4,1c</t>
        </is>
      </c>
      <c r="K112" t="inlineStr">
        <is>
          <t>II 4,1c</t>
        </is>
      </c>
      <c r="L112" t="inlineStr">
        <is>
          <t>II 4,1c</t>
        </is>
      </c>
      <c r="M112" t="inlineStr"/>
      <c r="N112" t="inlineStr">
        <is>
          <t xml:space="preserve">Fabularius seu Repertorium vocabulorum : </t>
        </is>
      </c>
      <c r="O112" t="inlineStr">
        <is>
          <t xml:space="preserve"> : </t>
        </is>
      </c>
      <c r="P112" t="inlineStr">
        <is>
          <t>X</t>
        </is>
      </c>
      <c r="Q112" t="inlineStr"/>
      <c r="R112" t="inlineStr">
        <is>
          <t>Halbledereinband</t>
        </is>
      </c>
      <c r="S112" t="inlineStr">
        <is>
          <t>bis 35 cm</t>
        </is>
      </c>
      <c r="T112" t="inlineStr">
        <is>
          <t>180°</t>
        </is>
      </c>
      <c r="U112" t="inlineStr">
        <is>
          <t>hohler Rücken, erhabene Illuminationen</t>
        </is>
      </c>
      <c r="V112" t="inlineStr">
        <is>
          <t>nicht auflegen</t>
        </is>
      </c>
      <c r="W112" t="inlineStr">
        <is>
          <t>Kassette</t>
        </is>
      </c>
      <c r="X112" t="inlineStr">
        <is>
          <t>Nein</t>
        </is>
      </c>
      <c r="Y112" t="n">
        <v>0</v>
      </c>
      <c r="Z112" t="inlineStr"/>
      <c r="AA112" t="inlineStr"/>
      <c r="AB112" t="inlineStr"/>
      <c r="AC112" t="inlineStr"/>
      <c r="AD112" t="inlineStr"/>
      <c r="AE112" t="inlineStr"/>
      <c r="AF112" t="inlineStr"/>
      <c r="AG112" t="inlineStr"/>
      <c r="AH112" t="inlineStr"/>
      <c r="AI112" t="inlineStr">
        <is>
          <t>HL</t>
        </is>
      </c>
      <c r="AJ112" t="inlineStr"/>
      <c r="AK112" t="inlineStr">
        <is>
          <t>x</t>
        </is>
      </c>
      <c r="AL112" t="inlineStr"/>
      <c r="AM112" t="inlineStr">
        <is>
          <t>h/E</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is>
          <t>B/I/R</t>
        </is>
      </c>
      <c r="BD112" t="inlineStr">
        <is>
          <t>xx</t>
        </is>
      </c>
      <c r="BE112" t="inlineStr"/>
      <c r="BF112" t="inlineStr"/>
      <c r="BG112" t="n">
        <v>110</v>
      </c>
      <c r="BH112" t="inlineStr"/>
      <c r="BI112" t="inlineStr"/>
      <c r="BJ112" t="inlineStr"/>
      <c r="BK112" t="inlineStr"/>
      <c r="BL112" t="inlineStr"/>
      <c r="BM112" t="inlineStr">
        <is>
          <t>n</t>
        </is>
      </c>
      <c r="BN112" t="n">
        <v>0</v>
      </c>
      <c r="BO112" t="inlineStr"/>
      <c r="BP112" t="inlineStr">
        <is>
          <t>Wellpappe</t>
        </is>
      </c>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t>
        </is>
      </c>
      <c r="B113" t="b">
        <v>1</v>
      </c>
      <c r="C113" t="inlineStr">
        <is>
          <t>x</t>
        </is>
      </c>
      <c r="D113" t="inlineStr"/>
      <c r="E113" t="n">
        <v>115</v>
      </c>
      <c r="F113">
        <f>HYPERLINK("https://portal.dnb.de/opac.htm?method=simpleSearch&amp;cqlMode=true&amp;query=idn%3D1066970114", "Portal")</f>
        <v/>
      </c>
      <c r="G113" t="inlineStr">
        <is>
          <t>Aa</t>
        </is>
      </c>
      <c r="H113" t="inlineStr">
        <is>
          <t>L-1489-315500468</t>
        </is>
      </c>
      <c r="I113" t="inlineStr">
        <is>
          <t>1066970114</t>
        </is>
      </c>
      <c r="J113" t="inlineStr">
        <is>
          <t>II 4,1d - 2</t>
        </is>
      </c>
      <c r="K113" t="inlineStr">
        <is>
          <t>II 4,1d - 2</t>
        </is>
      </c>
      <c r="L113" t="inlineStr">
        <is>
          <t>II 4,1d - 2</t>
        </is>
      </c>
      <c r="M113" t="inlineStr"/>
      <c r="N113" t="inlineStr">
        <is>
          <t xml:space="preserve">Sermones Dormi secure de tempore et de sanctis : </t>
        </is>
      </c>
      <c r="O113" t="inlineStr">
        <is>
          <t xml:space="preserve"> : </t>
        </is>
      </c>
      <c r="P113" t="inlineStr">
        <is>
          <t>X</t>
        </is>
      </c>
      <c r="Q113" t="inlineStr">
        <is>
          <t>1300,00 EUR</t>
        </is>
      </c>
      <c r="R113" t="inlineStr">
        <is>
          <t>Halbledereinband</t>
        </is>
      </c>
      <c r="S113" t="inlineStr">
        <is>
          <t>bis 25 cm</t>
        </is>
      </c>
      <c r="T113" t="inlineStr">
        <is>
          <t>80° bis 110°, einseitig digitalisierbar?</t>
        </is>
      </c>
      <c r="U113" t="inlineStr">
        <is>
          <t>hohler Rücken, welliger Buchblock, erhabene Illuminationen</t>
        </is>
      </c>
      <c r="V113" t="inlineStr">
        <is>
          <t>nicht auflegen</t>
        </is>
      </c>
      <c r="W113" t="inlineStr">
        <is>
          <t>Kassette</t>
        </is>
      </c>
      <c r="X113" t="inlineStr">
        <is>
          <t>Nein</t>
        </is>
      </c>
      <c r="Y113" t="n">
        <v>1</v>
      </c>
      <c r="Z113" t="inlineStr"/>
      <c r="AA113" t="inlineStr">
        <is>
          <t>Reinigung</t>
        </is>
      </c>
      <c r="AB113" t="inlineStr"/>
      <c r="AC113" t="inlineStr"/>
      <c r="AD113" t="inlineStr"/>
      <c r="AE113" t="inlineStr"/>
      <c r="AF113" t="inlineStr"/>
      <c r="AG113" t="inlineStr"/>
      <c r="AH113" t="inlineStr"/>
      <c r="AI113" t="inlineStr">
        <is>
          <t>HD</t>
        </is>
      </c>
      <c r="AJ113" t="inlineStr"/>
      <c r="AK113" t="inlineStr"/>
      <c r="AL113" t="inlineStr"/>
      <c r="AM113" t="inlineStr">
        <is>
          <t>f</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is>
          <t>R</t>
        </is>
      </c>
      <c r="BD113" t="inlineStr">
        <is>
          <t>x</t>
        </is>
      </c>
      <c r="BE113" t="inlineStr"/>
      <c r="BF113" t="inlineStr"/>
      <c r="BG113" t="n">
        <v>110</v>
      </c>
      <c r="BH113" t="inlineStr"/>
      <c r="BI113" t="inlineStr"/>
      <c r="BJ113" t="inlineStr"/>
      <c r="BK113" t="inlineStr"/>
      <c r="BL113" t="inlineStr"/>
      <c r="BM113" t="inlineStr">
        <is>
          <t>ja vor</t>
        </is>
      </c>
      <c r="BN113" t="n">
        <v>0.5</v>
      </c>
      <c r="BO113" t="inlineStr"/>
      <c r="BP113" t="inlineStr">
        <is>
          <t>Gewebe</t>
        </is>
      </c>
      <c r="BQ113" t="inlineStr"/>
      <c r="BR113" t="inlineStr"/>
      <c r="BS113" t="inlineStr"/>
      <c r="BT113" t="inlineStr"/>
      <c r="BU113" t="inlineStr"/>
      <c r="BV113" t="inlineStr"/>
      <c r="BW113" t="inlineStr"/>
      <c r="BX113" t="inlineStr"/>
      <c r="BY113" t="inlineStr"/>
      <c r="BZ113" t="inlineStr"/>
      <c r="CA113" t="inlineStr"/>
      <c r="CB113" t="inlineStr">
        <is>
          <t>x</t>
        </is>
      </c>
      <c r="CC113" t="inlineStr"/>
      <c r="CD113" t="inlineStr"/>
      <c r="CE113" t="inlineStr"/>
      <c r="CF113" t="inlineStr"/>
      <c r="CG113" t="inlineStr"/>
      <c r="CH113" t="inlineStr"/>
      <c r="CI113" t="inlineStr"/>
      <c r="CJ113" t="inlineStr"/>
      <c r="CK113" t="inlineStr"/>
      <c r="CL113" t="inlineStr"/>
      <c r="CM113" t="n">
        <v>0.5</v>
      </c>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t>
        </is>
      </c>
      <c r="B114" t="b">
        <v>1</v>
      </c>
      <c r="C114" t="inlineStr"/>
      <c r="D114" t="inlineStr"/>
      <c r="E114" t="n">
        <v>116</v>
      </c>
      <c r="F114">
        <f>HYPERLINK("https://portal.dnb.de/opac.htm?method=simpleSearch&amp;cqlMode=true&amp;query=idn%3D1066965684", "Portal")</f>
        <v/>
      </c>
      <c r="G114" t="inlineStr">
        <is>
          <t>Aaf</t>
        </is>
      </c>
      <c r="H114" t="inlineStr">
        <is>
          <t>L-1479-315495901</t>
        </is>
      </c>
      <c r="I114" t="inlineStr">
        <is>
          <t>1066965684</t>
        </is>
      </c>
      <c r="J114" t="inlineStr">
        <is>
          <t>II 4,2b</t>
        </is>
      </c>
      <c r="K114" t="inlineStr">
        <is>
          <t>II 4,2b</t>
        </is>
      </c>
      <c r="L114" t="inlineStr">
        <is>
          <t>II 4,2b</t>
        </is>
      </c>
      <c r="M114" t="inlineStr"/>
      <c r="N114" t="inlineStr">
        <is>
          <t xml:space="preserve">De civitate dei : </t>
        </is>
      </c>
      <c r="O114" t="inlineStr">
        <is>
          <t xml:space="preserve"> : </t>
        </is>
      </c>
      <c r="P114" t="inlineStr">
        <is>
          <t>X</t>
        </is>
      </c>
      <c r="Q114" t="inlineStr"/>
      <c r="R114" t="inlineStr">
        <is>
          <t>Halbledereinband</t>
        </is>
      </c>
      <c r="S114" t="inlineStr">
        <is>
          <t>&gt; 42 cm</t>
        </is>
      </c>
      <c r="T114" t="inlineStr">
        <is>
          <t>80° bis 110°, einseitig digitalisierbar?</t>
        </is>
      </c>
      <c r="U114" t="inlineStr">
        <is>
          <t>hohler Rücken, erhabene Illuminationen</t>
        </is>
      </c>
      <c r="V114" t="inlineStr">
        <is>
          <t>nicht auflegen</t>
        </is>
      </c>
      <c r="W114" t="inlineStr"/>
      <c r="X114" t="inlineStr"/>
      <c r="Y114" t="n">
        <v>0</v>
      </c>
      <c r="Z114" t="inlineStr"/>
      <c r="AA114" t="inlineStr"/>
      <c r="AB114" t="inlineStr"/>
      <c r="AC114" t="inlineStr"/>
      <c r="AD114" t="inlineStr"/>
      <c r="AE114" t="inlineStr"/>
      <c r="AF114" t="inlineStr"/>
      <c r="AG114" t="inlineStr"/>
      <c r="AH114" t="inlineStr"/>
      <c r="AI114" t="inlineStr">
        <is>
          <t>HL</t>
        </is>
      </c>
      <c r="AJ114" t="inlineStr"/>
      <c r="AK114" t="inlineStr">
        <is>
          <t>x</t>
        </is>
      </c>
      <c r="AL114" t="inlineStr">
        <is>
          <t>x</t>
        </is>
      </c>
      <c r="AM114" t="inlineStr">
        <is>
          <t>h/E</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is>
          <t>I/R</t>
        </is>
      </c>
      <c r="BD114" t="inlineStr">
        <is>
          <t>x</t>
        </is>
      </c>
      <c r="BE114" t="inlineStr"/>
      <c r="BF114" t="inlineStr"/>
      <c r="BG114" t="n">
        <v>110</v>
      </c>
      <c r="BH114" t="inlineStr"/>
      <c r="BI114" t="inlineStr"/>
      <c r="BJ114" t="inlineStr"/>
      <c r="BK114" t="inlineStr"/>
      <c r="BL114" t="inlineStr"/>
      <c r="BM114" t="inlineStr">
        <is>
          <t>n</t>
        </is>
      </c>
      <c r="BN114" t="n">
        <v>0</v>
      </c>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t>
        </is>
      </c>
      <c r="B115" t="b">
        <v>1</v>
      </c>
      <c r="C115" t="inlineStr">
        <is>
          <t>x</t>
        </is>
      </c>
      <c r="D115" t="inlineStr"/>
      <c r="E115" t="n">
        <v>117</v>
      </c>
      <c r="F115">
        <f>HYPERLINK("https://portal.dnb.de/opac.htm?method=simpleSearch&amp;cqlMode=true&amp;query=idn%3D1066970920", "Portal")</f>
        <v/>
      </c>
      <c r="G115" t="inlineStr">
        <is>
          <t>Aa</t>
        </is>
      </c>
      <c r="H115" t="inlineStr">
        <is>
          <t>L-1479-315501286</t>
        </is>
      </c>
      <c r="I115" t="inlineStr">
        <is>
          <t>1066970920</t>
        </is>
      </c>
      <c r="J115" t="inlineStr">
        <is>
          <t>II 4,2c</t>
        </is>
      </c>
      <c r="K115" t="inlineStr">
        <is>
          <t>II 4,2c</t>
        </is>
      </c>
      <c r="L115" t="inlineStr">
        <is>
          <t>II 4,2c</t>
        </is>
      </c>
      <c r="M115" t="inlineStr"/>
      <c r="N115" t="inlineStr">
        <is>
          <t xml:space="preserve">Sermonarium de peccatis per adventum et per duas quadragesimas : </t>
        </is>
      </c>
      <c r="O115" t="inlineStr">
        <is>
          <t xml:space="preserve"> : </t>
        </is>
      </c>
      <c r="P115" t="inlineStr">
        <is>
          <t>X</t>
        </is>
      </c>
      <c r="Q115" t="inlineStr">
        <is>
          <t>5000,00 EUR</t>
        </is>
      </c>
      <c r="R115" t="inlineStr">
        <is>
          <t>Ledereinband, Schließen, erhabene Buchbeschläge</t>
        </is>
      </c>
      <c r="S115" t="inlineStr">
        <is>
          <t>&gt; 42 cm</t>
        </is>
      </c>
      <c r="T115" t="inlineStr">
        <is>
          <t>80° bis 110°, einseitig digitalisierbar?</t>
        </is>
      </c>
      <c r="U115" t="inlineStr">
        <is>
          <t>fester Rücken mit Schmuckprägung, welliger Buchblock, erhabene Illuminationen</t>
        </is>
      </c>
      <c r="V115" t="inlineStr">
        <is>
          <t>nicht auflegen</t>
        </is>
      </c>
      <c r="W115" t="inlineStr"/>
      <c r="X115" t="inlineStr"/>
      <c r="Y115" t="n">
        <v>1</v>
      </c>
      <c r="Z115" t="inlineStr"/>
      <c r="AA115" t="inlineStr"/>
      <c r="AB115" t="inlineStr"/>
      <c r="AC115" t="inlineStr"/>
      <c r="AD115" t="inlineStr"/>
      <c r="AE115" t="inlineStr"/>
      <c r="AF115" t="inlineStr"/>
      <c r="AG115" t="inlineStr"/>
      <c r="AH115" t="inlineStr"/>
      <c r="AI115" t="inlineStr">
        <is>
          <t>HD</t>
        </is>
      </c>
      <c r="AJ115" t="inlineStr"/>
      <c r="AK115" t="inlineStr">
        <is>
          <t>x</t>
        </is>
      </c>
      <c r="AL115" t="inlineStr"/>
      <c r="AM115" t="inlineStr">
        <is>
          <t>f/V</t>
        </is>
      </c>
      <c r="AN115" t="inlineStr"/>
      <c r="AO115" t="inlineStr"/>
      <c r="AP115" t="inlineStr"/>
      <c r="AQ115" t="inlineStr"/>
      <c r="AR115" t="inlineStr"/>
      <c r="AS115" t="inlineStr">
        <is>
          <t>Pa</t>
        </is>
      </c>
      <c r="AT115" t="inlineStr"/>
      <c r="AU115" t="inlineStr"/>
      <c r="AV115" t="inlineStr"/>
      <c r="AW115" t="inlineStr">
        <is>
          <t>x</t>
        </is>
      </c>
      <c r="AX115" t="inlineStr"/>
      <c r="AY115" t="inlineStr"/>
      <c r="AZ115" t="inlineStr"/>
      <c r="BA115" t="inlineStr"/>
      <c r="BB115" t="inlineStr"/>
      <c r="BC115" t="inlineStr">
        <is>
          <t>I/R</t>
        </is>
      </c>
      <c r="BD115" t="inlineStr">
        <is>
          <t>x</t>
        </is>
      </c>
      <c r="BE115" t="inlineStr"/>
      <c r="BF115" t="inlineStr"/>
      <c r="BG115" t="n">
        <v>45</v>
      </c>
      <c r="BH115" t="inlineStr"/>
      <c r="BI115" t="inlineStr"/>
      <c r="BJ115" t="inlineStr"/>
      <c r="BK115" t="inlineStr"/>
      <c r="BL115" t="inlineStr"/>
      <c r="BM115" t="inlineStr">
        <is>
          <t>ja vor</t>
        </is>
      </c>
      <c r="BN115" t="n">
        <v>1</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is>
          <t>x</t>
        </is>
      </c>
      <c r="CC115" t="inlineStr"/>
      <c r="CD115" t="inlineStr"/>
      <c r="CE115" t="inlineStr"/>
      <c r="CF115" t="inlineStr"/>
      <c r="CG115" t="inlineStr"/>
      <c r="CH115" t="inlineStr"/>
      <c r="CI115" t="inlineStr"/>
      <c r="CJ115" t="inlineStr"/>
      <c r="CK115" t="inlineStr"/>
      <c r="CL115" t="inlineStr"/>
      <c r="CM115" t="n">
        <v>0.5</v>
      </c>
      <c r="CN115" t="inlineStr"/>
      <c r="CO115" t="inlineStr">
        <is>
          <t>x</t>
        </is>
      </c>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n">
        <v>0.5</v>
      </c>
      <c r="DG115" t="inlineStr">
        <is>
          <t>Trockenreinigung Vorsätze und erste und letzte Blätter am Rand</t>
        </is>
      </c>
    </row>
    <row r="116">
      <c r="A116" t="inlineStr">
        <is>
          <t>II</t>
        </is>
      </c>
      <c r="B116" t="b">
        <v>1</v>
      </c>
      <c r="C116" t="inlineStr">
        <is>
          <t>x</t>
        </is>
      </c>
      <c r="D116" t="inlineStr"/>
      <c r="E116" t="n">
        <v>118</v>
      </c>
      <c r="F116">
        <f>HYPERLINK("https://portal.dnb.de/opac.htm?method=simpleSearch&amp;cqlMode=true&amp;query=idn%3D106696856X", "Portal")</f>
        <v/>
      </c>
      <c r="G116" t="inlineStr">
        <is>
          <t>Aa</t>
        </is>
      </c>
      <c r="H116" t="inlineStr">
        <is>
          <t>L-1481-315498811</t>
        </is>
      </c>
      <c r="I116" t="inlineStr">
        <is>
          <t>106696856X</t>
        </is>
      </c>
      <c r="J116" t="inlineStr">
        <is>
          <t>II 4,2d</t>
        </is>
      </c>
      <c r="K116" t="inlineStr">
        <is>
          <t>II 4,2d</t>
        </is>
      </c>
      <c r="L116" t="inlineStr">
        <is>
          <t>II 4,2d</t>
        </is>
      </c>
      <c r="M116" t="inlineStr"/>
      <c r="N116" t="inlineStr">
        <is>
          <t xml:space="preserve">Decretum : </t>
        </is>
      </c>
      <c r="O116" t="inlineStr">
        <is>
          <t xml:space="preserve"> : </t>
        </is>
      </c>
      <c r="P116" t="inlineStr">
        <is>
          <t>X</t>
        </is>
      </c>
      <c r="Q116" t="inlineStr">
        <is>
          <t>12000,00 EUR</t>
        </is>
      </c>
      <c r="R116" t="inlineStr">
        <is>
          <t>Ledereinband, Schließen, erhabene Buchbeschläge</t>
        </is>
      </c>
      <c r="S116" t="inlineStr">
        <is>
          <t>&gt; 42 cm</t>
        </is>
      </c>
      <c r="T116" t="inlineStr">
        <is>
          <t>80° bis 110°, einseitig digitalisierbar?</t>
        </is>
      </c>
      <c r="U116" t="inlineStr">
        <is>
          <t>fester Rücken mit Schmuckprägung, erhabene Illuminationen</t>
        </is>
      </c>
      <c r="V116" t="inlineStr">
        <is>
          <t>nicht auflegen</t>
        </is>
      </c>
      <c r="W116" t="inlineStr"/>
      <c r="X116" t="inlineStr">
        <is>
          <t>Signaturfahne austauschen</t>
        </is>
      </c>
      <c r="Y116" t="n">
        <v>2</v>
      </c>
      <c r="Z116" t="inlineStr"/>
      <c r="AA116" t="inlineStr"/>
      <c r="AB116" t="inlineStr"/>
      <c r="AC116" t="inlineStr"/>
      <c r="AD116" t="inlineStr"/>
      <c r="AE116" t="inlineStr"/>
      <c r="AF116" t="inlineStr"/>
      <c r="AG116" t="inlineStr"/>
      <c r="AH116" t="inlineStr"/>
      <c r="AI116" t="inlineStr">
        <is>
          <t>HD</t>
        </is>
      </c>
      <c r="AJ116" t="inlineStr"/>
      <c r="AK116" t="inlineStr">
        <is>
          <t>x</t>
        </is>
      </c>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is>
          <t>I/R</t>
        </is>
      </c>
      <c r="BD116" t="inlineStr">
        <is>
          <t>x</t>
        </is>
      </c>
      <c r="BE116" t="inlineStr"/>
      <c r="BF116" t="inlineStr"/>
      <c r="BG116" t="n">
        <v>60</v>
      </c>
      <c r="BH116" t="inlineStr"/>
      <c r="BI116" t="inlineStr"/>
      <c r="BJ116" t="inlineStr"/>
      <c r="BK116" t="inlineStr"/>
      <c r="BL116" t="inlineStr"/>
      <c r="BM116" t="inlineStr">
        <is>
          <t>ja vor</t>
        </is>
      </c>
      <c r="BN116" t="n">
        <v>1</v>
      </c>
      <c r="BO116" t="inlineStr"/>
      <c r="BP116" t="inlineStr"/>
      <c r="BQ116" t="inlineStr"/>
      <c r="BR116" t="inlineStr"/>
      <c r="BS116" t="inlineStr"/>
      <c r="BT116" t="inlineStr"/>
      <c r="BU116" t="inlineStr"/>
      <c r="BV116" t="inlineStr"/>
      <c r="BW116" t="inlineStr"/>
      <c r="BX116" t="inlineStr"/>
      <c r="BY116" t="inlineStr"/>
      <c r="BZ116" t="inlineStr"/>
      <c r="CA116" t="inlineStr">
        <is>
          <t>x</t>
        </is>
      </c>
      <c r="CB116" t="inlineStr">
        <is>
          <t>x</t>
        </is>
      </c>
      <c r="CC116" t="inlineStr"/>
      <c r="CD116" t="inlineStr"/>
      <c r="CE116" t="inlineStr"/>
      <c r="CF116" t="inlineStr"/>
      <c r="CG116" t="inlineStr"/>
      <c r="CH116" t="inlineStr"/>
      <c r="CI116" t="inlineStr"/>
      <c r="CJ116" t="inlineStr"/>
      <c r="CK116" t="inlineStr"/>
      <c r="CL116" t="inlineStr"/>
      <c r="CM116" t="n">
        <v>1</v>
      </c>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t>
        </is>
      </c>
      <c r="B117" t="b">
        <v>1</v>
      </c>
      <c r="C117" t="inlineStr">
        <is>
          <t>x</t>
        </is>
      </c>
      <c r="D117" t="inlineStr"/>
      <c r="E117" t="n">
        <v>119</v>
      </c>
      <c r="F117">
        <f>HYPERLINK("https://portal.dnb.de/opac.htm?method=simpleSearch&amp;cqlMode=true&amp;query=idn%3D1066968322", "Portal")</f>
        <v/>
      </c>
      <c r="G117" t="inlineStr">
        <is>
          <t>Aaf</t>
        </is>
      </c>
      <c r="H117" t="inlineStr">
        <is>
          <t>L-1472-315498579</t>
        </is>
      </c>
      <c r="I117" t="inlineStr">
        <is>
          <t>1066968322</t>
        </is>
      </c>
      <c r="J117" t="inlineStr">
        <is>
          <t>II 4,2e</t>
        </is>
      </c>
      <c r="K117" t="inlineStr">
        <is>
          <t>II 4,2e</t>
        </is>
      </c>
      <c r="L117" t="inlineStr">
        <is>
          <t>II 4,2e</t>
        </is>
      </c>
      <c r="M117" t="inlineStr"/>
      <c r="N117" t="inlineStr">
        <is>
          <t xml:space="preserve">Epistolae : </t>
        </is>
      </c>
      <c r="O117" t="inlineStr">
        <is>
          <t xml:space="preserve"> : </t>
        </is>
      </c>
      <c r="P117" t="inlineStr">
        <is>
          <t>X</t>
        </is>
      </c>
      <c r="Q117" t="inlineStr">
        <is>
          <t>5000,00 EUR</t>
        </is>
      </c>
      <c r="R117" t="inlineStr">
        <is>
          <t>Ledereinband, Schließen, erhabene Buchbeschläge</t>
        </is>
      </c>
      <c r="S117" t="inlineStr">
        <is>
          <t>bis 35 cm</t>
        </is>
      </c>
      <c r="T117" t="inlineStr"/>
      <c r="U117" t="inlineStr">
        <is>
          <t>hohler Rücken, erhabene Illuminationen</t>
        </is>
      </c>
      <c r="V117" t="inlineStr">
        <is>
          <t>nicht auflegen</t>
        </is>
      </c>
      <c r="W117" t="inlineStr">
        <is>
          <t>Kassette</t>
        </is>
      </c>
      <c r="X117" t="inlineStr">
        <is>
          <t>Nein</t>
        </is>
      </c>
      <c r="Y117" t="n">
        <v>1</v>
      </c>
      <c r="Z117" t="inlineStr"/>
      <c r="AA117" t="inlineStr"/>
      <c r="AB117" t="inlineStr"/>
      <c r="AC117" t="inlineStr"/>
      <c r="AD117" t="inlineStr"/>
      <c r="AE117" t="inlineStr"/>
      <c r="AF117" t="inlineStr"/>
      <c r="AG117" t="inlineStr"/>
      <c r="AH117" t="inlineStr"/>
      <c r="AI117" t="inlineStr">
        <is>
          <t>L</t>
        </is>
      </c>
      <c r="AJ117" t="inlineStr"/>
      <c r="AK117" t="inlineStr">
        <is>
          <t>x</t>
        </is>
      </c>
      <c r="AL117" t="inlineStr"/>
      <c r="AM117" t="inlineStr">
        <is>
          <t>h/E</t>
        </is>
      </c>
      <c r="AN117" t="inlineStr"/>
      <c r="AO117" t="inlineStr">
        <is>
          <t>x</t>
        </is>
      </c>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is>
          <t>I</t>
        </is>
      </c>
      <c r="BD117" t="inlineStr">
        <is>
          <t>x</t>
        </is>
      </c>
      <c r="BE117" t="inlineStr"/>
      <c r="BF117" t="inlineStr"/>
      <c r="BG117" t="n">
        <v>60</v>
      </c>
      <c r="BH117" t="inlineStr"/>
      <c r="BI117" t="inlineStr"/>
      <c r="BJ117" t="inlineStr"/>
      <c r="BK117" t="inlineStr"/>
      <c r="BL117" t="inlineStr"/>
      <c r="BM117" t="inlineStr">
        <is>
          <t>ja vor</t>
        </is>
      </c>
      <c r="BN117" t="n">
        <v>3</v>
      </c>
      <c r="BO117" t="inlineStr"/>
      <c r="BP117" t="inlineStr">
        <is>
          <t>Wellpappe</t>
        </is>
      </c>
      <c r="BQ117" t="inlineStr"/>
      <c r="BR117" t="inlineStr"/>
      <c r="BS117" t="inlineStr"/>
      <c r="BT117" t="inlineStr"/>
      <c r="BU117" t="inlineStr"/>
      <c r="BV117" t="inlineStr"/>
      <c r="BW117" t="inlineStr"/>
      <c r="BX117" t="inlineStr"/>
      <c r="BY117" t="inlineStr">
        <is>
          <t>Umschlag (Leder pudert)</t>
        </is>
      </c>
      <c r="BZ117" t="inlineStr"/>
      <c r="CA117" t="inlineStr">
        <is>
          <t>x</t>
        </is>
      </c>
      <c r="CB117" t="inlineStr"/>
      <c r="CC117" t="inlineStr"/>
      <c r="CD117" t="inlineStr">
        <is>
          <t>v/h</t>
        </is>
      </c>
      <c r="CE117" t="inlineStr"/>
      <c r="CF117" t="inlineStr"/>
      <c r="CG117" t="inlineStr"/>
      <c r="CH117" t="inlineStr"/>
      <c r="CI117" t="inlineStr"/>
      <c r="CJ117" t="inlineStr"/>
      <c r="CK117" t="inlineStr"/>
      <c r="CL117" t="inlineStr"/>
      <c r="CM117" t="n">
        <v>3</v>
      </c>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t>
        </is>
      </c>
      <c r="B118" t="b">
        <v>1</v>
      </c>
      <c r="C118" t="inlineStr"/>
      <c r="D118" t="inlineStr"/>
      <c r="E118" t="n">
        <v>120</v>
      </c>
      <c r="F118">
        <f>HYPERLINK("https://portal.dnb.de/opac.htm?method=simpleSearch&amp;cqlMode=true&amp;query=idn%3D1066967113", "Portal")</f>
        <v/>
      </c>
      <c r="G118" t="inlineStr">
        <is>
          <t>Aa</t>
        </is>
      </c>
      <c r="H118" t="inlineStr">
        <is>
          <t>L-1475-315497378</t>
        </is>
      </c>
      <c r="I118" t="inlineStr">
        <is>
          <t>1066967113</t>
        </is>
      </c>
      <c r="J118" t="inlineStr">
        <is>
          <t>II 4,2f</t>
        </is>
      </c>
      <c r="K118" t="inlineStr">
        <is>
          <t>II 4,2f</t>
        </is>
      </c>
      <c r="L118" t="inlineStr">
        <is>
          <t>II 4,2f</t>
        </is>
      </c>
      <c r="M118" t="inlineStr"/>
      <c r="N118" t="inlineStr">
        <is>
          <t xml:space="preserve">Speculum sapientiae : </t>
        </is>
      </c>
      <c r="O118" t="inlineStr">
        <is>
          <t xml:space="preserve"> : </t>
        </is>
      </c>
      <c r="P118" t="inlineStr">
        <is>
          <t>X</t>
        </is>
      </c>
      <c r="Q118" t="inlineStr"/>
      <c r="R118" t="inlineStr">
        <is>
          <t>Ledereinband</t>
        </is>
      </c>
      <c r="S118" t="inlineStr">
        <is>
          <t>bis 35 cm</t>
        </is>
      </c>
      <c r="T118" t="inlineStr">
        <is>
          <t>180°</t>
        </is>
      </c>
      <c r="U118" t="inlineStr">
        <is>
          <t>fester Rücken mit Schmuckprägung, erhabene Illuminationen</t>
        </is>
      </c>
      <c r="V118" t="inlineStr">
        <is>
          <t>nicht auflegen</t>
        </is>
      </c>
      <c r="W118" t="inlineStr">
        <is>
          <t>Kassette</t>
        </is>
      </c>
      <c r="X118" t="inlineStr">
        <is>
          <t>Nein</t>
        </is>
      </c>
      <c r="Y118" t="n">
        <v>0</v>
      </c>
      <c r="Z118" t="inlineStr"/>
      <c r="AA118" t="inlineStr"/>
      <c r="AB118" t="inlineStr"/>
      <c r="AC118" t="inlineStr"/>
      <c r="AD118" t="inlineStr"/>
      <c r="AE118" t="inlineStr"/>
      <c r="AF118" t="inlineStr"/>
      <c r="AG118" t="inlineStr"/>
      <c r="AH118" t="inlineStr"/>
      <c r="AI118" t="inlineStr">
        <is>
          <t>L</t>
        </is>
      </c>
      <c r="AJ118" t="inlineStr"/>
      <c r="AK118" t="inlineStr"/>
      <c r="AL118" t="inlineStr">
        <is>
          <t>x</t>
        </is>
      </c>
      <c r="AM118" t="inlineStr">
        <is>
          <t>f</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is>
          <t>I/R</t>
        </is>
      </c>
      <c r="BD118" t="inlineStr">
        <is>
          <t>x</t>
        </is>
      </c>
      <c r="BE118" t="inlineStr"/>
      <c r="BF118" t="inlineStr"/>
      <c r="BG118" t="inlineStr">
        <is>
          <t>max 180</t>
        </is>
      </c>
      <c r="BH118" t="inlineStr"/>
      <c r="BI118" t="inlineStr"/>
      <c r="BJ118" t="inlineStr"/>
      <c r="BK118" t="inlineStr"/>
      <c r="BL118" t="inlineStr"/>
      <c r="BM118" t="inlineStr">
        <is>
          <t>n</t>
        </is>
      </c>
      <c r="BN118" t="n">
        <v>0</v>
      </c>
      <c r="BO118" t="inlineStr"/>
      <c r="BP118" t="inlineStr">
        <is>
          <t>Gewebe</t>
        </is>
      </c>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t>
        </is>
      </c>
      <c r="B119" t="b">
        <v>1</v>
      </c>
      <c r="C119" t="inlineStr"/>
      <c r="D119" t="inlineStr"/>
      <c r="E119" t="n">
        <v>121</v>
      </c>
      <c r="F119">
        <f>HYPERLINK("https://portal.dnb.de/opac.htm?method=simpleSearch&amp;cqlMode=true&amp;query=idn%3D1066972656", "Portal")</f>
        <v/>
      </c>
      <c r="G119" t="inlineStr">
        <is>
          <t>Aaf</t>
        </is>
      </c>
      <c r="H119" t="inlineStr">
        <is>
          <t>L-1474-315503076</t>
        </is>
      </c>
      <c r="I119" t="inlineStr">
        <is>
          <t>1066972656</t>
        </is>
      </c>
      <c r="J119" t="inlineStr">
        <is>
          <t>II 4,2g</t>
        </is>
      </c>
      <c r="K119" t="inlineStr">
        <is>
          <t>II 4,2g</t>
        </is>
      </c>
      <c r="L119" t="inlineStr">
        <is>
          <t>II 4,2g</t>
        </is>
      </c>
      <c r="M119" t="inlineStr"/>
      <c r="N119" t="inlineStr">
        <is>
          <t xml:space="preserve">Summa theologiae, P. 3 : </t>
        </is>
      </c>
      <c r="O119" t="inlineStr">
        <is>
          <t xml:space="preserve"> : </t>
        </is>
      </c>
      <c r="P119" t="inlineStr">
        <is>
          <t>X</t>
        </is>
      </c>
      <c r="Q119" t="inlineStr"/>
      <c r="R119" t="inlineStr">
        <is>
          <t>Ledereinband</t>
        </is>
      </c>
      <c r="S119" t="inlineStr">
        <is>
          <t>bis 42 cm</t>
        </is>
      </c>
      <c r="T119" t="inlineStr">
        <is>
          <t>80° bis 110°, einseitig digitalisierbar?</t>
        </is>
      </c>
      <c r="U119" t="inlineStr">
        <is>
          <t>hohler Rücken, erhabene Illuminationen</t>
        </is>
      </c>
      <c r="V119" t="inlineStr">
        <is>
          <t>nicht auflegen</t>
        </is>
      </c>
      <c r="W119" t="inlineStr">
        <is>
          <t>Kassette</t>
        </is>
      </c>
      <c r="X119" t="inlineStr">
        <is>
          <t>Nein</t>
        </is>
      </c>
      <c r="Y119" t="n">
        <v>0</v>
      </c>
      <c r="Z119" t="inlineStr"/>
      <c r="AA119" t="inlineStr"/>
      <c r="AB119" t="inlineStr"/>
      <c r="AC119" t="inlineStr"/>
      <c r="AD119" t="inlineStr"/>
      <c r="AE119" t="inlineStr"/>
      <c r="AF119" t="inlineStr"/>
      <c r="AG119" t="inlineStr"/>
      <c r="AH119" t="inlineStr"/>
      <c r="AI119" t="inlineStr">
        <is>
          <t>HD</t>
        </is>
      </c>
      <c r="AJ119" t="inlineStr"/>
      <c r="AK119" t="inlineStr">
        <is>
          <t>x</t>
        </is>
      </c>
      <c r="AL119" t="inlineStr"/>
      <c r="AM119" t="inlineStr">
        <is>
          <t>f/V</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is>
          <t>B/I/R</t>
        </is>
      </c>
      <c r="BD119" t="inlineStr">
        <is>
          <t>x</t>
        </is>
      </c>
      <c r="BE119" t="inlineStr"/>
      <c r="BF119" t="inlineStr"/>
      <c r="BG119" t="n">
        <v>110</v>
      </c>
      <c r="BH119" t="inlineStr"/>
      <c r="BI119" t="inlineStr"/>
      <c r="BJ119" t="inlineStr"/>
      <c r="BK119" t="inlineStr"/>
      <c r="BL119" t="inlineStr"/>
      <c r="BM119" t="inlineStr">
        <is>
          <t>n</t>
        </is>
      </c>
      <c r="BN119" t="n">
        <v>0</v>
      </c>
      <c r="BO119" t="inlineStr"/>
      <c r="BP119" t="inlineStr"/>
      <c r="BQ119" t="inlineStr">
        <is>
          <t>x</t>
        </is>
      </c>
      <c r="BR119" t="inlineStr"/>
      <c r="BS119" t="inlineStr"/>
      <c r="BT119" t="inlineStr"/>
      <c r="BU119" t="inlineStr">
        <is>
          <t>x</t>
        </is>
      </c>
      <c r="BV119" t="inlineStr">
        <is>
          <t>Schuber viel zu eng --&gt; auf keinen Fall wieder einschubern!!</t>
        </is>
      </c>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t>
        </is>
      </c>
      <c r="B120" t="b">
        <v>1</v>
      </c>
      <c r="C120" t="inlineStr"/>
      <c r="D120" t="inlineStr"/>
      <c r="E120" t="n">
        <v>122</v>
      </c>
      <c r="F120">
        <f>HYPERLINK("https://portal.dnb.de/opac.htm?method=simpleSearch&amp;cqlMode=true&amp;query=idn%3D1066969795", "Portal")</f>
        <v/>
      </c>
      <c r="G120" t="inlineStr">
        <is>
          <t>Aaf</t>
        </is>
      </c>
      <c r="H120" t="inlineStr">
        <is>
          <t>L-1474-315500131</t>
        </is>
      </c>
      <c r="I120" t="inlineStr">
        <is>
          <t>1066969795</t>
        </is>
      </c>
      <c r="J120" t="inlineStr">
        <is>
          <t>II 4,2h</t>
        </is>
      </c>
      <c r="K120" t="inlineStr">
        <is>
          <t>II 4,2h</t>
        </is>
      </c>
      <c r="L120" t="inlineStr">
        <is>
          <t>II 4,2h</t>
        </is>
      </c>
      <c r="M120" t="inlineStr"/>
      <c r="N120" t="inlineStr">
        <is>
          <t xml:space="preserve">Vocabularius iuris utriusque : </t>
        </is>
      </c>
      <c r="O120" t="inlineStr">
        <is>
          <t xml:space="preserve"> : </t>
        </is>
      </c>
      <c r="P120" t="inlineStr">
        <is>
          <t>X</t>
        </is>
      </c>
      <c r="Q120" t="inlineStr"/>
      <c r="R120" t="inlineStr">
        <is>
          <t>Halbledereinband</t>
        </is>
      </c>
      <c r="S120" t="inlineStr">
        <is>
          <t>bis 35 cm</t>
        </is>
      </c>
      <c r="T120" t="inlineStr">
        <is>
          <t>180°</t>
        </is>
      </c>
      <c r="U120" t="inlineStr">
        <is>
          <t>hohler Rücken, erhabene Illuminationen</t>
        </is>
      </c>
      <c r="V120" t="inlineStr">
        <is>
          <t>nicht auflegen</t>
        </is>
      </c>
      <c r="W120" t="inlineStr">
        <is>
          <t>Kassette</t>
        </is>
      </c>
      <c r="X120" t="inlineStr">
        <is>
          <t>Nein</t>
        </is>
      </c>
      <c r="Y120" t="n">
        <v>0</v>
      </c>
      <c r="Z120" t="inlineStr"/>
      <c r="AA120" t="inlineStr"/>
      <c r="AB120" t="inlineStr"/>
      <c r="AC120" t="inlineStr"/>
      <c r="AD120" t="inlineStr"/>
      <c r="AE120" t="inlineStr"/>
      <c r="AF120" t="inlineStr"/>
      <c r="AG120" t="inlineStr"/>
      <c r="AH120" t="inlineStr"/>
      <c r="AI120" t="inlineStr">
        <is>
          <t>HL</t>
        </is>
      </c>
      <c r="AJ120" t="inlineStr"/>
      <c r="AK120" t="inlineStr">
        <is>
          <t>x</t>
        </is>
      </c>
      <c r="AL120" t="inlineStr"/>
      <c r="AM120" t="inlineStr">
        <is>
          <t>h/E</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is>
          <t>I/R</t>
        </is>
      </c>
      <c r="BD120" t="inlineStr">
        <is>
          <t>x</t>
        </is>
      </c>
      <c r="BE120" t="inlineStr"/>
      <c r="BF120" t="inlineStr"/>
      <c r="BG120" t="inlineStr">
        <is>
          <t>max 60</t>
        </is>
      </c>
      <c r="BH120" t="inlineStr"/>
      <c r="BI120" t="inlineStr"/>
      <c r="BJ120" t="inlineStr"/>
      <c r="BK120" t="inlineStr"/>
      <c r="BL120" t="inlineStr"/>
      <c r="BM120" t="inlineStr">
        <is>
          <t>n</t>
        </is>
      </c>
      <c r="BN120" t="n">
        <v>0</v>
      </c>
      <c r="BO120" t="inlineStr"/>
      <c r="BP120" t="inlineStr">
        <is>
          <t>Wellpappe</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t>
        </is>
      </c>
      <c r="B121" t="b">
        <v>1</v>
      </c>
      <c r="C121" t="inlineStr"/>
      <c r="D121" t="inlineStr"/>
      <c r="E121" t="n">
        <v>123</v>
      </c>
      <c r="F121">
        <f>HYPERLINK("https://portal.dnb.de/opac.htm?method=simpleSearch&amp;cqlMode=true&amp;query=idn%3D1066968551", "Portal")</f>
        <v/>
      </c>
      <c r="G121" t="inlineStr">
        <is>
          <t>Aa</t>
        </is>
      </c>
      <c r="H121" t="inlineStr">
        <is>
          <t>L-1476-315498803</t>
        </is>
      </c>
      <c r="I121" t="inlineStr">
        <is>
          <t>1066968551</t>
        </is>
      </c>
      <c r="J121" t="inlineStr">
        <is>
          <t>II 4,3a</t>
        </is>
      </c>
      <c r="K121" t="inlineStr">
        <is>
          <t>II 4,3a</t>
        </is>
      </c>
      <c r="L121" t="inlineStr">
        <is>
          <t>II 4,3a</t>
        </is>
      </c>
      <c r="M121" t="inlineStr"/>
      <c r="N121" t="inlineStr">
        <is>
          <t xml:space="preserve">Decretum : </t>
        </is>
      </c>
      <c r="O121" t="inlineStr">
        <is>
          <t xml:space="preserve"> : </t>
        </is>
      </c>
      <c r="P121" t="inlineStr">
        <is>
          <t>X</t>
        </is>
      </c>
      <c r="Q121" t="inlineStr"/>
      <c r="R121" t="inlineStr">
        <is>
          <t>Halbledereinband, Schließen, erhabene Buchbeschläge</t>
        </is>
      </c>
      <c r="S121" t="inlineStr">
        <is>
          <t>&gt; 42 cm</t>
        </is>
      </c>
      <c r="T121" t="inlineStr">
        <is>
          <t>80° bis 110°, einseitig digitalisierbar?</t>
        </is>
      </c>
      <c r="U121" t="inlineStr">
        <is>
          <t>fester Rücken mit Schmuckprägung, erhabene Illuminationen</t>
        </is>
      </c>
      <c r="V121" t="inlineStr">
        <is>
          <t>nicht auflegen</t>
        </is>
      </c>
      <c r="W121" t="inlineStr"/>
      <c r="X121" t="inlineStr">
        <is>
          <t>Signaturfahne austauschen</t>
        </is>
      </c>
      <c r="Y121" t="n">
        <v>0</v>
      </c>
      <c r="Z121" t="inlineStr"/>
      <c r="AA121" t="inlineStr"/>
      <c r="AB121" t="inlineStr"/>
      <c r="AC121" t="inlineStr"/>
      <c r="AD121" t="inlineStr"/>
      <c r="AE121" t="inlineStr"/>
      <c r="AF121" t="inlineStr"/>
      <c r="AG121" t="inlineStr"/>
      <c r="AH121" t="inlineStr"/>
      <c r="AI121" t="inlineStr">
        <is>
          <t>HL</t>
        </is>
      </c>
      <c r="AJ121" t="inlineStr"/>
      <c r="AK121" t="inlineStr">
        <is>
          <t>x</t>
        </is>
      </c>
      <c r="AL121" t="inlineStr"/>
      <c r="AM121" t="inlineStr">
        <is>
          <t>f/V</t>
        </is>
      </c>
      <c r="AN121" t="inlineStr"/>
      <c r="AO121" t="inlineStr"/>
      <c r="AP121" t="inlineStr"/>
      <c r="AQ121" t="inlineStr"/>
      <c r="AR121" t="inlineStr"/>
      <c r="AS121" t="inlineStr">
        <is>
          <t>Pa</t>
        </is>
      </c>
      <c r="AT121" t="inlineStr"/>
      <c r="AU121" t="inlineStr"/>
      <c r="AV121" t="inlineStr"/>
      <c r="AW121" t="inlineStr"/>
      <c r="AX121" t="inlineStr"/>
      <c r="AY121" t="inlineStr"/>
      <c r="AZ121" t="inlineStr"/>
      <c r="BA121" t="inlineStr"/>
      <c r="BB121" t="inlineStr"/>
      <c r="BC121" t="inlineStr">
        <is>
          <t>I/R</t>
        </is>
      </c>
      <c r="BD121" t="inlineStr">
        <is>
          <t>x</t>
        </is>
      </c>
      <c r="BE121" t="inlineStr"/>
      <c r="BF121" t="inlineStr"/>
      <c r="BG121" t="n">
        <v>110</v>
      </c>
      <c r="BH121" t="inlineStr"/>
      <c r="BI121" t="inlineStr"/>
      <c r="BJ121" t="inlineStr"/>
      <c r="BK121" t="inlineStr"/>
      <c r="BL121" t="inlineStr"/>
      <c r="BM121" t="inlineStr">
        <is>
          <t>n</t>
        </is>
      </c>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t>
        </is>
      </c>
      <c r="B122" t="b">
        <v>1</v>
      </c>
      <c r="C122" t="inlineStr"/>
      <c r="D122" t="inlineStr"/>
      <c r="E122" t="n">
        <v>124</v>
      </c>
      <c r="F122">
        <f>HYPERLINK("https://portal.dnb.de/opac.htm?method=simpleSearch&amp;cqlMode=true&amp;query=idn%3D1066969310", "Portal")</f>
        <v/>
      </c>
      <c r="G122" t="inlineStr">
        <is>
          <t>Aaf</t>
        </is>
      </c>
      <c r="H122" t="inlineStr">
        <is>
          <t>L-1482-315499648</t>
        </is>
      </c>
      <c r="I122" t="inlineStr">
        <is>
          <t>1066969310</t>
        </is>
      </c>
      <c r="J122" t="inlineStr">
        <is>
          <t>II 4,3c</t>
        </is>
      </c>
      <c r="K122" t="inlineStr">
        <is>
          <t>II 4,3c</t>
        </is>
      </c>
      <c r="L122" t="inlineStr">
        <is>
          <t>II 4,3c</t>
        </is>
      </c>
      <c r="M122" t="inlineStr"/>
      <c r="N122" t="inlineStr">
        <is>
          <t xml:space="preserve">Postilla super evangelia : </t>
        </is>
      </c>
      <c r="O122" t="inlineStr">
        <is>
          <t xml:space="preserve"> : </t>
        </is>
      </c>
      <c r="P122" t="inlineStr">
        <is>
          <t>X</t>
        </is>
      </c>
      <c r="Q122" t="inlineStr"/>
      <c r="R122" t="inlineStr">
        <is>
          <t>Ledereinband, Schließen, erhabene Buchbeschläge</t>
        </is>
      </c>
      <c r="S122" t="inlineStr">
        <is>
          <t>&gt; 42 cm</t>
        </is>
      </c>
      <c r="T122" t="inlineStr">
        <is>
          <t>80° bis 110°, einseitig digitalisierbar?</t>
        </is>
      </c>
      <c r="U122" t="inlineStr">
        <is>
          <t>fester Rücken mit Schmuckprägung, erhabene Illuminationen</t>
        </is>
      </c>
      <c r="V122" t="inlineStr">
        <is>
          <t>nicht auflegen</t>
        </is>
      </c>
      <c r="W122" t="inlineStr"/>
      <c r="X122" t="inlineStr">
        <is>
          <t>Signaturfahne austauschen</t>
        </is>
      </c>
      <c r="Y122" t="n">
        <v>2</v>
      </c>
      <c r="Z122" t="inlineStr"/>
      <c r="AA122" t="inlineStr">
        <is>
          <t>gereinigt, Fragmanet in Sammelbox</t>
        </is>
      </c>
      <c r="AB122" t="inlineStr"/>
      <c r="AC122" t="inlineStr"/>
      <c r="AD122" t="inlineStr"/>
      <c r="AE122" t="inlineStr"/>
      <c r="AF122" t="inlineStr"/>
      <c r="AG122" t="inlineStr">
        <is>
          <t>x</t>
        </is>
      </c>
      <c r="AH122" t="inlineStr"/>
      <c r="AI122" t="inlineStr">
        <is>
          <t>HD</t>
        </is>
      </c>
      <c r="AJ122" t="inlineStr"/>
      <c r="AK122" t="inlineStr">
        <is>
          <t>x</t>
        </is>
      </c>
      <c r="AL122" t="inlineStr"/>
      <c r="AM122" t="inlineStr">
        <is>
          <t>f/V</t>
        </is>
      </c>
      <c r="AN122" t="inlineStr"/>
      <c r="AO122" t="inlineStr"/>
      <c r="AP122" t="inlineStr"/>
      <c r="AQ122" t="inlineStr"/>
      <c r="AR122" t="inlineStr"/>
      <c r="AS122" t="inlineStr">
        <is>
          <t>Pa</t>
        </is>
      </c>
      <c r="AT122" t="inlineStr"/>
      <c r="AU122" t="inlineStr"/>
      <c r="AV122" t="inlineStr"/>
      <c r="AW122" t="inlineStr"/>
      <c r="AX122" t="inlineStr"/>
      <c r="AY122" t="inlineStr"/>
      <c r="AZ122" t="inlineStr"/>
      <c r="BA122" t="inlineStr"/>
      <c r="BB122" t="inlineStr"/>
      <c r="BC122" t="inlineStr">
        <is>
          <t>I/R</t>
        </is>
      </c>
      <c r="BD122" t="inlineStr">
        <is>
          <t>x</t>
        </is>
      </c>
      <c r="BE122" t="inlineStr"/>
      <c r="BF122" t="inlineStr"/>
      <c r="BG122" t="n">
        <v>60</v>
      </c>
      <c r="BH122" t="inlineStr"/>
      <c r="BI122" t="inlineStr"/>
      <c r="BJ122" t="inlineStr"/>
      <c r="BK122" t="inlineStr"/>
      <c r="BL122" t="inlineStr"/>
      <c r="BM122" t="inlineStr">
        <is>
          <t>n</t>
        </is>
      </c>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t>
        </is>
      </c>
      <c r="B123" t="b">
        <v>1</v>
      </c>
      <c r="C123" t="inlineStr"/>
      <c r="D123" t="inlineStr"/>
      <c r="E123" t="n">
        <v>125</v>
      </c>
      <c r="F123">
        <f>HYPERLINK("https://portal.dnb.de/opac.htm?method=simpleSearch&amp;cqlMode=true&amp;query=idn%3D1066972052", "Portal")</f>
        <v/>
      </c>
      <c r="G123" t="inlineStr">
        <is>
          <t>Aa</t>
        </is>
      </c>
      <c r="H123" t="inlineStr">
        <is>
          <t>L-1482-315502479</t>
        </is>
      </c>
      <c r="I123" t="inlineStr">
        <is>
          <t>1066972052</t>
        </is>
      </c>
      <c r="J123" t="inlineStr">
        <is>
          <t>II 4,3d</t>
        </is>
      </c>
      <c r="K123" t="inlineStr">
        <is>
          <t>II 4,3d</t>
        </is>
      </c>
      <c r="L123" t="inlineStr">
        <is>
          <t>II 4,3d</t>
        </is>
      </c>
      <c r="M123" t="inlineStr"/>
      <c r="N123" t="inlineStr">
        <is>
          <t xml:space="preserve">Fasciculus temporum : </t>
        </is>
      </c>
      <c r="O123" t="inlineStr">
        <is>
          <t xml:space="preserve"> : </t>
        </is>
      </c>
      <c r="P123" t="inlineStr">
        <is>
          <t>X</t>
        </is>
      </c>
      <c r="Q123" t="inlineStr"/>
      <c r="R123" t="inlineStr">
        <is>
          <t>Ledereinband, Schließen, erhabene Buchbeschläge</t>
        </is>
      </c>
      <c r="S123" t="inlineStr">
        <is>
          <t>bis 35 cm</t>
        </is>
      </c>
      <c r="T123" t="inlineStr">
        <is>
          <t>80° bis 110°, einseitig digitalisierbar?</t>
        </is>
      </c>
      <c r="U123" t="inlineStr">
        <is>
          <t>fester Rücken mit Schmuckprägung</t>
        </is>
      </c>
      <c r="V123" t="inlineStr"/>
      <c r="W123" t="inlineStr">
        <is>
          <t>Kassette</t>
        </is>
      </c>
      <c r="X123" t="inlineStr">
        <is>
          <t>Nein</t>
        </is>
      </c>
      <c r="Y123" t="n">
        <v>1</v>
      </c>
      <c r="Z123" t="inlineStr"/>
      <c r="AA123" t="inlineStr"/>
      <c r="AB123" t="inlineStr"/>
      <c r="AC123" t="inlineStr"/>
      <c r="AD123" t="inlineStr"/>
      <c r="AE123" t="inlineStr"/>
      <c r="AF123" t="inlineStr"/>
      <c r="AG123" t="inlineStr"/>
      <c r="AH123" t="inlineStr"/>
      <c r="AI123" t="inlineStr">
        <is>
          <t>L</t>
        </is>
      </c>
      <c r="AJ123" t="inlineStr"/>
      <c r="AK123" t="inlineStr">
        <is>
          <t>x</t>
        </is>
      </c>
      <c r="AL123" t="inlineStr"/>
      <c r="AM123" t="inlineStr">
        <is>
          <t>f</t>
        </is>
      </c>
      <c r="AN123" t="inlineStr"/>
      <c r="AO123" t="inlineStr">
        <is>
          <t>x</t>
        </is>
      </c>
      <c r="AP123" t="inlineStr"/>
      <c r="AQ123" t="inlineStr"/>
      <c r="AR123" t="inlineStr"/>
      <c r="AS123" t="inlineStr">
        <is>
          <t>Pa</t>
        </is>
      </c>
      <c r="AT123" t="inlineStr"/>
      <c r="AU123" t="inlineStr"/>
      <c r="AV123" t="inlineStr"/>
      <c r="AW123" t="inlineStr"/>
      <c r="AX123" t="inlineStr"/>
      <c r="AY123" t="inlineStr"/>
      <c r="AZ123" t="inlineStr"/>
      <c r="BA123" t="inlineStr"/>
      <c r="BB123" t="inlineStr"/>
      <c r="BC123" t="inlineStr"/>
      <c r="BD123" t="inlineStr"/>
      <c r="BE123" t="inlineStr"/>
      <c r="BF123" t="inlineStr"/>
      <c r="BG123" t="n">
        <v>60</v>
      </c>
      <c r="BH123" t="inlineStr"/>
      <c r="BI123" t="inlineStr"/>
      <c r="BJ123" t="inlineStr"/>
      <c r="BK123" t="inlineStr"/>
      <c r="BL123" t="inlineStr"/>
      <c r="BM123" t="inlineStr">
        <is>
          <t>n</t>
        </is>
      </c>
      <c r="BN123" t="n">
        <v>0</v>
      </c>
      <c r="BO123" t="inlineStr"/>
      <c r="BP123" t="inlineStr">
        <is>
          <t>Wellpappe</t>
        </is>
      </c>
      <c r="BQ123" t="inlineStr"/>
      <c r="BR123" t="inlineStr"/>
      <c r="BS123" t="inlineStr"/>
      <c r="BT123" t="inlineStr"/>
      <c r="BU123" t="inlineStr"/>
      <c r="BV123" t="inlineStr"/>
      <c r="BW123" t="inlineStr"/>
      <c r="BX123" t="inlineStr"/>
      <c r="BY123" t="inlineStr">
        <is>
          <t>Umschlag (Leder pudert)</t>
        </is>
      </c>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t>
        </is>
      </c>
      <c r="B124" t="b">
        <v>1</v>
      </c>
      <c r="C124" t="inlineStr"/>
      <c r="D124" t="inlineStr"/>
      <c r="E124" t="n">
        <v>126</v>
      </c>
      <c r="F124">
        <f>HYPERLINK("https://portal.dnb.de/opac.htm?method=simpleSearch&amp;cqlMode=true&amp;query=idn%3D1066966656", "Portal")</f>
        <v/>
      </c>
      <c r="G124" t="inlineStr">
        <is>
          <t>Aaf</t>
        </is>
      </c>
      <c r="H124" t="inlineStr">
        <is>
          <t>L-1474-315496940</t>
        </is>
      </c>
      <c r="I124" t="inlineStr">
        <is>
          <t>1066966656</t>
        </is>
      </c>
      <c r="J124" t="inlineStr">
        <is>
          <t>II 4,3e</t>
        </is>
      </c>
      <c r="K124" t="inlineStr">
        <is>
          <t>II 4,3e</t>
        </is>
      </c>
      <c r="L124" t="inlineStr">
        <is>
          <t>II 4,3e -1</t>
        </is>
      </c>
      <c r="M124" t="inlineStr"/>
      <c r="N124" t="inlineStr">
        <is>
          <t xml:space="preserve">Biblia, lat. : </t>
        </is>
      </c>
      <c r="O124" t="inlineStr">
        <is>
          <t xml:space="preserve"> : </t>
        </is>
      </c>
      <c r="P124" t="inlineStr">
        <is>
          <t>X</t>
        </is>
      </c>
      <c r="Q124" t="inlineStr"/>
      <c r="R124" t="inlineStr">
        <is>
          <t>Ledereinband</t>
        </is>
      </c>
      <c r="S124" t="inlineStr">
        <is>
          <t>bis 42 cm</t>
        </is>
      </c>
      <c r="T124" t="inlineStr">
        <is>
          <t>80° bis 110°, einseitig digitalisierbar?</t>
        </is>
      </c>
      <c r="U124" t="inlineStr">
        <is>
          <t>fester Rücken mit Schmuckprägung, erhabene Illuminationen</t>
        </is>
      </c>
      <c r="V124" t="inlineStr"/>
      <c r="W124" t="inlineStr"/>
      <c r="X124" t="inlineStr"/>
      <c r="Y124" t="n">
        <v>0</v>
      </c>
      <c r="Z124" t="inlineStr"/>
      <c r="AA124" t="inlineStr"/>
      <c r="AB124" t="inlineStr"/>
      <c r="AC124" t="inlineStr"/>
      <c r="AD124" t="inlineStr"/>
      <c r="AE124" t="inlineStr"/>
      <c r="AF124" t="inlineStr"/>
      <c r="AG124" t="inlineStr"/>
      <c r="AH124" t="inlineStr"/>
      <c r="AI124" t="inlineStr">
        <is>
          <t>HD</t>
        </is>
      </c>
      <c r="AJ124" t="inlineStr"/>
      <c r="AK124" t="inlineStr">
        <is>
          <t>x</t>
        </is>
      </c>
      <c r="AL124" t="inlineStr"/>
      <c r="AM124" t="inlineStr">
        <is>
          <t>f/V</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c r="BC124" t="inlineStr">
        <is>
          <t>I/R</t>
        </is>
      </c>
      <c r="BD124" t="inlineStr">
        <is>
          <t>x</t>
        </is>
      </c>
      <c r="BE124" t="inlineStr"/>
      <c r="BF124" t="inlineStr"/>
      <c r="BG124" t="n">
        <v>110</v>
      </c>
      <c r="BH124" t="inlineStr"/>
      <c r="BI124" t="inlineStr"/>
      <c r="BJ124" t="inlineStr"/>
      <c r="BK124" t="inlineStr"/>
      <c r="BL124" t="inlineStr"/>
      <c r="BM124" t="inlineStr">
        <is>
          <t>n</t>
        </is>
      </c>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t>
        </is>
      </c>
      <c r="B125" t="b">
        <v>0</v>
      </c>
      <c r="C125" t="inlineStr"/>
      <c r="D125" t="inlineStr"/>
      <c r="E125" t="inlineStr"/>
      <c r="F125">
        <f>HYPERLINK("https://portal.dnb.de/opac.htm?method=simpleSearch&amp;cqlMode=true&amp;query=idn%3D", "Portal")</f>
        <v/>
      </c>
      <c r="G125" t="inlineStr"/>
      <c r="H125" t="inlineStr"/>
      <c r="I125" t="inlineStr"/>
      <c r="J125" t="inlineStr"/>
      <c r="K125" t="inlineStr"/>
      <c r="L125" t="inlineStr">
        <is>
          <t>II 4,3e -2</t>
        </is>
      </c>
      <c r="M125" t="inlineStr"/>
      <c r="N125" t="inlineStr"/>
      <c r="O125" t="inlineStr"/>
      <c r="P125" t="inlineStr">
        <is>
          <t>X</t>
        </is>
      </c>
      <c r="Q125" t="inlineStr"/>
      <c r="R125" t="inlineStr">
        <is>
          <t>Ledereinband</t>
        </is>
      </c>
      <c r="S125" t="inlineStr">
        <is>
          <t>bis 42 cm</t>
        </is>
      </c>
      <c r="T125" t="inlineStr">
        <is>
          <t>80° bis 110°, einseitig digitalisierbar?</t>
        </is>
      </c>
      <c r="U125" t="inlineStr">
        <is>
          <t>fester Rücken mit Schmuckprägung, erhabene Illuminationen</t>
        </is>
      </c>
      <c r="V125" t="inlineStr"/>
      <c r="W125" t="inlineStr"/>
      <c r="X125" t="inlineStr"/>
      <c r="Y125" t="n">
        <v>0</v>
      </c>
      <c r="Z125" t="inlineStr"/>
      <c r="AA125" t="inlineStr"/>
      <c r="AB125" t="inlineStr"/>
      <c r="AC125" t="inlineStr"/>
      <c r="AD125" t="inlineStr"/>
      <c r="AE125" t="inlineStr"/>
      <c r="AF125" t="inlineStr"/>
      <c r="AG125" t="inlineStr"/>
      <c r="AH125" t="inlineStr"/>
      <c r="AI125" t="inlineStr">
        <is>
          <t>HD</t>
        </is>
      </c>
      <c r="AJ125" t="inlineStr"/>
      <c r="AK125" t="inlineStr">
        <is>
          <t>x</t>
        </is>
      </c>
      <c r="AL125" t="inlineStr"/>
      <c r="AM125" t="inlineStr">
        <is>
          <t>f/V</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is>
          <t>I/R</t>
        </is>
      </c>
      <c r="BD125" t="inlineStr">
        <is>
          <t>x</t>
        </is>
      </c>
      <c r="BE125" t="inlineStr"/>
      <c r="BF125" t="inlineStr"/>
      <c r="BG125" t="n">
        <v>110</v>
      </c>
      <c r="BH125" t="inlineStr"/>
      <c r="BI125" t="inlineStr"/>
      <c r="BJ125" t="inlineStr"/>
      <c r="BK125" t="inlineStr"/>
      <c r="BL125" t="inlineStr"/>
      <c r="BM125" t="inlineStr">
        <is>
          <t>n</t>
        </is>
      </c>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t>
        </is>
      </c>
      <c r="B126" t="b">
        <v>1</v>
      </c>
      <c r="C126" t="inlineStr"/>
      <c r="D126" t="inlineStr"/>
      <c r="E126" t="n">
        <v>128</v>
      </c>
      <c r="F126">
        <f>HYPERLINK("https://portal.dnb.de/opac.htm?method=simpleSearch&amp;cqlMode=true&amp;query=idn%3D1066972028", "Portal")</f>
        <v/>
      </c>
      <c r="G126" t="inlineStr">
        <is>
          <t>Aal</t>
        </is>
      </c>
      <c r="H126" t="inlineStr">
        <is>
          <t>L-1475-315502444</t>
        </is>
      </c>
      <c r="I126" t="inlineStr">
        <is>
          <t>1066972028</t>
        </is>
      </c>
      <c r="J126" t="inlineStr">
        <is>
          <t>II 4,4a</t>
        </is>
      </c>
      <c r="K126" t="inlineStr">
        <is>
          <t>II 4,4a</t>
        </is>
      </c>
      <c r="L126" t="inlineStr">
        <is>
          <t>II 4,4a</t>
        </is>
      </c>
      <c r="M126" t="inlineStr"/>
      <c r="N126" t="inlineStr">
        <is>
          <t xml:space="preserve">Speculum vitae humanae : </t>
        </is>
      </c>
      <c r="O126" t="inlineStr">
        <is>
          <t xml:space="preserve"> : </t>
        </is>
      </c>
      <c r="P126" t="inlineStr">
        <is>
          <t>X</t>
        </is>
      </c>
      <c r="Q126" t="inlineStr"/>
      <c r="R126" t="inlineStr">
        <is>
          <t>Ledereinband</t>
        </is>
      </c>
      <c r="S126" t="inlineStr">
        <is>
          <t>bis 35 cm</t>
        </is>
      </c>
      <c r="T126" t="inlineStr">
        <is>
          <t>180°</t>
        </is>
      </c>
      <c r="U126" t="inlineStr">
        <is>
          <t>fester Rücken mit Schmuckprägung, welliger Buchblock, erhabene Illuminationen</t>
        </is>
      </c>
      <c r="V126" t="inlineStr">
        <is>
          <t>nicht auflegen</t>
        </is>
      </c>
      <c r="W126" t="inlineStr">
        <is>
          <t>Kassette</t>
        </is>
      </c>
      <c r="X126" t="inlineStr">
        <is>
          <t>Nein</t>
        </is>
      </c>
      <c r="Y126" t="n">
        <v>0</v>
      </c>
      <c r="Z126" t="inlineStr"/>
      <c r="AA126" t="inlineStr"/>
      <c r="AB126" t="inlineStr"/>
      <c r="AC126" t="inlineStr"/>
      <c r="AD126" t="inlineStr"/>
      <c r="AE126" t="inlineStr"/>
      <c r="AF126" t="inlineStr"/>
      <c r="AG126" t="inlineStr"/>
      <c r="AH126" t="inlineStr"/>
      <c r="AI126" t="inlineStr">
        <is>
          <t>L</t>
        </is>
      </c>
      <c r="AJ126" t="inlineStr"/>
      <c r="AK126" t="inlineStr">
        <is>
          <t>x</t>
        </is>
      </c>
      <c r="AL126" t="inlineStr"/>
      <c r="AM126" t="inlineStr">
        <is>
          <t>f</t>
        </is>
      </c>
      <c r="AN126" t="inlineStr"/>
      <c r="AO126" t="inlineStr"/>
      <c r="AP126" t="inlineStr"/>
      <c r="AQ126" t="inlineStr"/>
      <c r="AR126" t="inlineStr"/>
      <c r="AS126" t="inlineStr">
        <is>
          <t>Pa</t>
        </is>
      </c>
      <c r="AT126" t="inlineStr"/>
      <c r="AU126" t="inlineStr"/>
      <c r="AV126" t="inlineStr"/>
      <c r="AW126" t="inlineStr"/>
      <c r="AX126" t="inlineStr"/>
      <c r="AY126" t="inlineStr"/>
      <c r="AZ126" t="inlineStr"/>
      <c r="BA126" t="inlineStr"/>
      <c r="BB126" t="inlineStr"/>
      <c r="BC126" t="inlineStr">
        <is>
          <t>I/R</t>
        </is>
      </c>
      <c r="BD126" t="inlineStr">
        <is>
          <t>x</t>
        </is>
      </c>
      <c r="BE126" t="inlineStr"/>
      <c r="BF126" t="inlineStr"/>
      <c r="BG126" t="n">
        <v>110</v>
      </c>
      <c r="BH126" t="inlineStr"/>
      <c r="BI126" t="inlineStr"/>
      <c r="BJ126" t="inlineStr"/>
      <c r="BK126" t="inlineStr"/>
      <c r="BL126" t="inlineStr"/>
      <c r="BM126" t="inlineStr">
        <is>
          <t>n</t>
        </is>
      </c>
      <c r="BN126" t="n">
        <v>0</v>
      </c>
      <c r="BO126" t="inlineStr"/>
      <c r="BP126" t="inlineStr">
        <is>
          <t>Wellpappe</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t>
        </is>
      </c>
      <c r="B127" t="b">
        <v>1</v>
      </c>
      <c r="C127" t="inlineStr"/>
      <c r="D127" t="inlineStr"/>
      <c r="E127" t="n">
        <v>129</v>
      </c>
      <c r="F127">
        <f>HYPERLINK("https://portal.dnb.de/opac.htm?method=simpleSearch&amp;cqlMode=true&amp;query=idn%3D106696470X", "Portal")</f>
        <v/>
      </c>
      <c r="G127" t="inlineStr">
        <is>
          <t>Aaf</t>
        </is>
      </c>
      <c r="H127" t="inlineStr">
        <is>
          <t>L-1472-315494921</t>
        </is>
      </c>
      <c r="I127" t="inlineStr">
        <is>
          <t>106696470X</t>
        </is>
      </c>
      <c r="J127" t="inlineStr">
        <is>
          <t>II 4,4b</t>
        </is>
      </c>
      <c r="K127" t="inlineStr">
        <is>
          <t>II 4,4b</t>
        </is>
      </c>
      <c r="L127" t="inlineStr">
        <is>
          <t>II 4,4b</t>
        </is>
      </c>
      <c r="M127" t="inlineStr"/>
      <c r="N127" t="inlineStr">
        <is>
          <t xml:space="preserve">De arte loquendi et tacendi : </t>
        </is>
      </c>
      <c r="O127" t="inlineStr">
        <is>
          <t xml:space="preserve"> : </t>
        </is>
      </c>
      <c r="P127" t="inlineStr">
        <is>
          <t>X</t>
        </is>
      </c>
      <c r="Q127" t="inlineStr"/>
      <c r="R127" t="inlineStr">
        <is>
          <t>Halbledereinband, Schließen, erhabene Buchbeschläge</t>
        </is>
      </c>
      <c r="S127" t="inlineStr">
        <is>
          <t>bis 35 cm</t>
        </is>
      </c>
      <c r="T127" t="inlineStr">
        <is>
          <t>180°</t>
        </is>
      </c>
      <c r="U127" t="inlineStr">
        <is>
          <t>hohler Rücken, erhabene Illuminationen</t>
        </is>
      </c>
      <c r="V127" t="inlineStr">
        <is>
          <t>nicht auflegen</t>
        </is>
      </c>
      <c r="W127" t="inlineStr">
        <is>
          <t>Kassette</t>
        </is>
      </c>
      <c r="X127" t="inlineStr">
        <is>
          <t>Nein</t>
        </is>
      </c>
      <c r="Y127" t="n">
        <v>0</v>
      </c>
      <c r="Z127" t="inlineStr"/>
      <c r="AA127" t="inlineStr"/>
      <c r="AB127" t="inlineStr"/>
      <c r="AC127" t="inlineStr"/>
      <c r="AD127" t="inlineStr"/>
      <c r="AE127" t="inlineStr"/>
      <c r="AF127" t="inlineStr"/>
      <c r="AG127" t="inlineStr"/>
      <c r="AH127" t="inlineStr"/>
      <c r="AI127" t="inlineStr">
        <is>
          <t>HL</t>
        </is>
      </c>
      <c r="AJ127" t="inlineStr"/>
      <c r="AK127" t="inlineStr">
        <is>
          <t>x</t>
        </is>
      </c>
      <c r="AL127" t="inlineStr"/>
      <c r="AM127" t="inlineStr">
        <is>
          <t>h/E</t>
        </is>
      </c>
      <c r="AN127" t="inlineStr"/>
      <c r="AO127" t="inlineStr"/>
      <c r="AP127" t="inlineStr"/>
      <c r="AQ127" t="inlineStr"/>
      <c r="AR127" t="inlineStr"/>
      <c r="AS127" t="inlineStr">
        <is>
          <t>Pa</t>
        </is>
      </c>
      <c r="AT127" t="inlineStr">
        <is>
          <t>x</t>
        </is>
      </c>
      <c r="AU127" t="inlineStr"/>
      <c r="AV127" t="inlineStr"/>
      <c r="AW127" t="inlineStr"/>
      <c r="AX127" t="inlineStr"/>
      <c r="AY127" t="inlineStr"/>
      <c r="AZ127" t="inlineStr"/>
      <c r="BA127" t="inlineStr"/>
      <c r="BB127" t="inlineStr"/>
      <c r="BC127" t="inlineStr">
        <is>
          <t>I/R</t>
        </is>
      </c>
      <c r="BD127" t="inlineStr">
        <is>
          <t>x</t>
        </is>
      </c>
      <c r="BE127" t="inlineStr"/>
      <c r="BF127" t="inlineStr"/>
      <c r="BG127" t="n">
        <v>110</v>
      </c>
      <c r="BH127" t="inlineStr"/>
      <c r="BI127" t="inlineStr"/>
      <c r="BJ127" t="inlineStr"/>
      <c r="BK127" t="inlineStr"/>
      <c r="BL127" t="inlineStr"/>
      <c r="BM127" t="inlineStr">
        <is>
          <t>n</t>
        </is>
      </c>
      <c r="BN127" t="n">
        <v>0</v>
      </c>
      <c r="BO127" t="inlineStr"/>
      <c r="BP127" t="inlineStr">
        <is>
          <t>Wellpappe</t>
        </is>
      </c>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t>
        </is>
      </c>
      <c r="B128" t="b">
        <v>1</v>
      </c>
      <c r="C128" t="inlineStr">
        <is>
          <t>x</t>
        </is>
      </c>
      <c r="D128" t="inlineStr"/>
      <c r="E128" t="n">
        <v>130</v>
      </c>
      <c r="F128">
        <f>HYPERLINK("https://portal.dnb.de/opac.htm?method=simpleSearch&amp;cqlMode=true&amp;query=idn%3D1066969868", "Portal")</f>
        <v/>
      </c>
      <c r="G128" t="inlineStr">
        <is>
          <t>Aaf</t>
        </is>
      </c>
      <c r="H128" t="inlineStr">
        <is>
          <t>L-1473-315500190</t>
        </is>
      </c>
      <c r="I128" t="inlineStr">
        <is>
          <t>1066969868</t>
        </is>
      </c>
      <c r="J128" t="inlineStr">
        <is>
          <t>II 4,4c</t>
        </is>
      </c>
      <c r="K128" t="inlineStr">
        <is>
          <t>II 4,4c</t>
        </is>
      </c>
      <c r="L128" t="inlineStr">
        <is>
          <t>II 4,4c</t>
        </is>
      </c>
      <c r="M128" t="inlineStr"/>
      <c r="N128" t="inlineStr">
        <is>
          <t xml:space="preserve">Summa de sponsalibus et matrimoniis : </t>
        </is>
      </c>
      <c r="O128" t="inlineStr">
        <is>
          <t xml:space="preserve"> : </t>
        </is>
      </c>
      <c r="P128" t="inlineStr">
        <is>
          <t>X</t>
        </is>
      </c>
      <c r="Q128" t="inlineStr">
        <is>
          <t>1500,00 EUR</t>
        </is>
      </c>
      <c r="R128" t="inlineStr">
        <is>
          <t>Halbledereinband, Schließen, erhabene Buchbeschläge</t>
        </is>
      </c>
      <c r="S128" t="inlineStr">
        <is>
          <t>bis 35 cm</t>
        </is>
      </c>
      <c r="T128" t="inlineStr">
        <is>
          <t>180°</t>
        </is>
      </c>
      <c r="U128" t="inlineStr">
        <is>
          <t>hohler Rücken, erhabene Illuminationen, stark brüchiges Einbandmaterial</t>
        </is>
      </c>
      <c r="V128" t="inlineStr">
        <is>
          <t>nicht auflegen</t>
        </is>
      </c>
      <c r="W128" t="inlineStr">
        <is>
          <t>Kassette</t>
        </is>
      </c>
      <c r="X128" t="inlineStr">
        <is>
          <t>Nein</t>
        </is>
      </c>
      <c r="Y128" t="n">
        <v>2</v>
      </c>
      <c r="Z128" t="inlineStr"/>
      <c r="AA128" t="inlineStr"/>
      <c r="AB128" t="inlineStr"/>
      <c r="AC128" t="inlineStr"/>
      <c r="AD128" t="inlineStr"/>
      <c r="AE128" t="inlineStr"/>
      <c r="AF128" t="inlineStr"/>
      <c r="AG128" t="inlineStr"/>
      <c r="AH128" t="inlineStr"/>
      <c r="AI128" t="inlineStr">
        <is>
          <t>HL</t>
        </is>
      </c>
      <c r="AJ128" t="inlineStr"/>
      <c r="AK128" t="inlineStr">
        <is>
          <t>x</t>
        </is>
      </c>
      <c r="AL128" t="inlineStr"/>
      <c r="AM128" t="inlineStr">
        <is>
          <t>h/E</t>
        </is>
      </c>
      <c r="AN128" t="inlineStr"/>
      <c r="AO128" t="inlineStr">
        <is>
          <t>x</t>
        </is>
      </c>
      <c r="AP128" t="inlineStr"/>
      <c r="AQ128" t="inlineStr"/>
      <c r="AR128" t="inlineStr"/>
      <c r="AS128" t="inlineStr">
        <is>
          <t>Pa</t>
        </is>
      </c>
      <c r="AT128" t="inlineStr">
        <is>
          <t>x</t>
        </is>
      </c>
      <c r="AU128" t="inlineStr"/>
      <c r="AV128" t="inlineStr"/>
      <c r="AW128" t="inlineStr"/>
      <c r="AX128" t="inlineStr"/>
      <c r="AY128" t="inlineStr"/>
      <c r="AZ128" t="inlineStr"/>
      <c r="BA128" t="inlineStr"/>
      <c r="BB128" t="inlineStr"/>
      <c r="BC128" t="inlineStr">
        <is>
          <t>I/R</t>
        </is>
      </c>
      <c r="BD128" t="inlineStr">
        <is>
          <t>x</t>
        </is>
      </c>
      <c r="BE128" t="inlineStr"/>
      <c r="BF128" t="inlineStr"/>
      <c r="BG128" t="n">
        <v>60</v>
      </c>
      <c r="BH128" t="inlineStr"/>
      <c r="BI128" t="inlineStr"/>
      <c r="BJ128" t="inlineStr"/>
      <c r="BK128" t="inlineStr"/>
      <c r="BL128" t="inlineStr"/>
      <c r="BM128" t="inlineStr">
        <is>
          <t>ja vor</t>
        </is>
      </c>
      <c r="BN128" t="n">
        <v>1</v>
      </c>
      <c r="BO128" t="inlineStr"/>
      <c r="BP128" t="inlineStr">
        <is>
          <t>Wellpappe</t>
        </is>
      </c>
      <c r="BQ128" t="inlineStr"/>
      <c r="BR128" t="inlineStr"/>
      <c r="BS128" t="inlineStr"/>
      <c r="BT128" t="inlineStr"/>
      <c r="BU128" t="inlineStr"/>
      <c r="BV128" t="inlineStr"/>
      <c r="BW128" t="inlineStr"/>
      <c r="BX128" t="inlineStr"/>
      <c r="BY128" t="inlineStr">
        <is>
          <t>Umschlag (Leder pudert)</t>
        </is>
      </c>
      <c r="BZ128" t="inlineStr"/>
      <c r="CA128" t="inlineStr">
        <is>
          <t>x</t>
        </is>
      </c>
      <c r="CB128" t="inlineStr"/>
      <c r="CC128" t="inlineStr"/>
      <c r="CD128" t="inlineStr">
        <is>
          <t>v/h</t>
        </is>
      </c>
      <c r="CE128" t="inlineStr"/>
      <c r="CF128" t="inlineStr"/>
      <c r="CG128" t="inlineStr"/>
      <c r="CH128" t="inlineStr"/>
      <c r="CI128" t="inlineStr"/>
      <c r="CJ128" t="inlineStr"/>
      <c r="CK128" t="inlineStr"/>
      <c r="CL128" t="inlineStr"/>
      <c r="CM128" t="n">
        <v>1</v>
      </c>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t>
        </is>
      </c>
      <c r="B129" t="b">
        <v>1</v>
      </c>
      <c r="C129" t="inlineStr">
        <is>
          <t>x</t>
        </is>
      </c>
      <c r="D129" t="inlineStr"/>
      <c r="E129" t="n">
        <v>131</v>
      </c>
      <c r="F129">
        <f>HYPERLINK("https://portal.dnb.de/opac.htm?method=simpleSearch&amp;cqlMode=true&amp;query=idn%3D1066968330", "Portal")</f>
        <v/>
      </c>
      <c r="G129" t="inlineStr">
        <is>
          <t>Aa</t>
        </is>
      </c>
      <c r="H129" t="inlineStr">
        <is>
          <t>L-1474-315498587</t>
        </is>
      </c>
      <c r="I129" t="inlineStr">
        <is>
          <t>1066968330</t>
        </is>
      </c>
      <c r="J129" t="inlineStr">
        <is>
          <t>II 4,4d</t>
        </is>
      </c>
      <c r="K129" t="inlineStr">
        <is>
          <t>II 4,4d</t>
        </is>
      </c>
      <c r="L129" t="inlineStr">
        <is>
          <t>II 4,4d</t>
        </is>
      </c>
      <c r="M129" t="inlineStr"/>
      <c r="N129" t="inlineStr">
        <is>
          <t xml:space="preserve">Epistolae : </t>
        </is>
      </c>
      <c r="O129" t="inlineStr">
        <is>
          <t xml:space="preserve"> : </t>
        </is>
      </c>
      <c r="P129" t="inlineStr">
        <is>
          <t>X</t>
        </is>
      </c>
      <c r="Q129" t="inlineStr">
        <is>
          <t>2000,00 EUR</t>
        </is>
      </c>
      <c r="R129" t="inlineStr">
        <is>
          <t>Halbledereinband, Schließen, erhabene Buchbeschläge</t>
        </is>
      </c>
      <c r="S129" t="inlineStr">
        <is>
          <t>bis 35 cm</t>
        </is>
      </c>
      <c r="T129" t="inlineStr">
        <is>
          <t>180°</t>
        </is>
      </c>
      <c r="U129" t="inlineStr">
        <is>
          <t>hohler Rücken, erhabene Illuminationen, stark brüchiges Einbandmaterial</t>
        </is>
      </c>
      <c r="V129" t="inlineStr">
        <is>
          <t>nicht auflegen</t>
        </is>
      </c>
      <c r="W129" t="inlineStr">
        <is>
          <t>Kassette</t>
        </is>
      </c>
      <c r="X129" t="inlineStr">
        <is>
          <t>Nein</t>
        </is>
      </c>
      <c r="Y129" t="n">
        <v>3</v>
      </c>
      <c r="Z129" t="inlineStr"/>
      <c r="AA129" t="inlineStr"/>
      <c r="AB129" t="inlineStr"/>
      <c r="AC129" t="inlineStr"/>
      <c r="AD129" t="inlineStr"/>
      <c r="AE129" t="inlineStr"/>
      <c r="AF129" t="inlineStr"/>
      <c r="AG129" t="inlineStr"/>
      <c r="AH129" t="inlineStr"/>
      <c r="AI129" t="inlineStr">
        <is>
          <t>HL</t>
        </is>
      </c>
      <c r="AJ129" t="inlineStr"/>
      <c r="AK129" t="inlineStr">
        <is>
          <t>x</t>
        </is>
      </c>
      <c r="AL129" t="inlineStr"/>
      <c r="AM129" t="inlineStr">
        <is>
          <t>h/E</t>
        </is>
      </c>
      <c r="AN129" t="inlineStr"/>
      <c r="AO129" t="inlineStr">
        <is>
          <t>x</t>
        </is>
      </c>
      <c r="AP129" t="inlineStr"/>
      <c r="AQ129" t="inlineStr"/>
      <c r="AR129" t="inlineStr"/>
      <c r="AS129" t="inlineStr">
        <is>
          <t>Pa</t>
        </is>
      </c>
      <c r="AT129" t="inlineStr">
        <is>
          <t>x</t>
        </is>
      </c>
      <c r="AU129" t="inlineStr"/>
      <c r="AV129" t="inlineStr"/>
      <c r="AW129" t="inlineStr"/>
      <c r="AX129" t="inlineStr"/>
      <c r="AY129" t="inlineStr"/>
      <c r="AZ129" t="inlineStr"/>
      <c r="BA129" t="inlineStr"/>
      <c r="BB129" t="inlineStr"/>
      <c r="BC129" t="inlineStr">
        <is>
          <t>I/R</t>
        </is>
      </c>
      <c r="BD129" t="inlineStr">
        <is>
          <t>x</t>
        </is>
      </c>
      <c r="BE129" t="inlineStr"/>
      <c r="BF129" t="inlineStr"/>
      <c r="BG129" t="n">
        <v>110</v>
      </c>
      <c r="BH129" t="inlineStr"/>
      <c r="BI129" t="inlineStr"/>
      <c r="BJ129" t="inlineStr"/>
      <c r="BK129" t="inlineStr"/>
      <c r="BL129" t="inlineStr"/>
      <c r="BM129" t="inlineStr">
        <is>
          <t>ja vor</t>
        </is>
      </c>
      <c r="BN129" t="n">
        <v>1</v>
      </c>
      <c r="BO129" t="inlineStr"/>
      <c r="BP129" t="inlineStr">
        <is>
          <t>Wellpappe</t>
        </is>
      </c>
      <c r="BQ129" t="inlineStr"/>
      <c r="BR129" t="inlineStr"/>
      <c r="BS129" t="inlineStr"/>
      <c r="BT129" t="inlineStr"/>
      <c r="BU129" t="inlineStr"/>
      <c r="BV129" t="inlineStr"/>
      <c r="BW129" t="inlineStr"/>
      <c r="BX129" t="inlineStr"/>
      <c r="BY129" t="inlineStr">
        <is>
          <t>Umschlag (Leder pudert)</t>
        </is>
      </c>
      <c r="BZ129" t="inlineStr"/>
      <c r="CA129" t="inlineStr">
        <is>
          <t>x</t>
        </is>
      </c>
      <c r="CB129" t="inlineStr"/>
      <c r="CC129" t="inlineStr"/>
      <c r="CD129" t="inlineStr">
        <is>
          <t>v/h</t>
        </is>
      </c>
      <c r="CE129" t="inlineStr"/>
      <c r="CF129" t="inlineStr"/>
      <c r="CG129" t="inlineStr"/>
      <c r="CH129" t="inlineStr"/>
      <c r="CI129" t="inlineStr"/>
      <c r="CJ129" t="inlineStr"/>
      <c r="CK129" t="inlineStr"/>
      <c r="CL129" t="inlineStr"/>
      <c r="CM129" t="n">
        <v>1</v>
      </c>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t>
        </is>
      </c>
      <c r="B130" t="b">
        <v>1</v>
      </c>
      <c r="C130" t="inlineStr"/>
      <c r="D130" t="inlineStr"/>
      <c r="E130" t="n">
        <v>132</v>
      </c>
      <c r="F130">
        <f>HYPERLINK("https://portal.dnb.de/opac.htm?method=simpleSearch&amp;cqlMode=true&amp;query=idn%3D1066966338", "Portal")</f>
        <v/>
      </c>
      <c r="G130" t="inlineStr">
        <is>
          <t>Aa</t>
        </is>
      </c>
      <c r="H130" t="inlineStr">
        <is>
          <t>L-1472-315496614</t>
        </is>
      </c>
      <c r="I130" t="inlineStr">
        <is>
          <t>1066966338</t>
        </is>
      </c>
      <c r="J130" t="inlineStr">
        <is>
          <t>II 4,4e</t>
        </is>
      </c>
      <c r="K130" t="inlineStr">
        <is>
          <t>II 4,4e</t>
        </is>
      </c>
      <c r="L130" t="inlineStr">
        <is>
          <t>II 4,4e</t>
        </is>
      </c>
      <c r="M130" t="inlineStr"/>
      <c r="N130" t="inlineStr">
        <is>
          <t xml:space="preserve">Speculum de honestate vitae : </t>
        </is>
      </c>
      <c r="O130" t="inlineStr">
        <is>
          <t xml:space="preserve"> : </t>
        </is>
      </c>
      <c r="P130" t="inlineStr">
        <is>
          <t>X</t>
        </is>
      </c>
      <c r="Q130" t="inlineStr"/>
      <c r="R130" t="inlineStr">
        <is>
          <t>Gewebeeinband, Schließen, erhabene Buchbeschläge</t>
        </is>
      </c>
      <c r="S130" t="inlineStr">
        <is>
          <t>bis 25 cm</t>
        </is>
      </c>
      <c r="T130" t="inlineStr">
        <is>
          <t>180°</t>
        </is>
      </c>
      <c r="U130" t="inlineStr">
        <is>
          <t>hohler Rücken, erhabene Illuminationen</t>
        </is>
      </c>
      <c r="V130" t="inlineStr">
        <is>
          <t>nicht auflegen</t>
        </is>
      </c>
      <c r="W130" t="inlineStr">
        <is>
          <t>Kassette</t>
        </is>
      </c>
      <c r="X130" t="inlineStr">
        <is>
          <t>Nein</t>
        </is>
      </c>
      <c r="Y130" t="n">
        <v>0</v>
      </c>
      <c r="Z130" t="inlineStr"/>
      <c r="AA130" t="inlineStr"/>
      <c r="AB130" t="inlineStr"/>
      <c r="AC130" t="inlineStr"/>
      <c r="AD130" t="inlineStr"/>
      <c r="AE130" t="inlineStr"/>
      <c r="AF130" t="inlineStr"/>
      <c r="AG130" t="inlineStr"/>
      <c r="AH130" t="inlineStr"/>
      <c r="AI130" t="inlineStr">
        <is>
          <t>G</t>
        </is>
      </c>
      <c r="AJ130" t="inlineStr"/>
      <c r="AK130" t="inlineStr">
        <is>
          <t>x</t>
        </is>
      </c>
      <c r="AL130" t="inlineStr"/>
      <c r="AM130" t="inlineStr">
        <is>
          <t>h/E</t>
        </is>
      </c>
      <c r="AN130" t="inlineStr"/>
      <c r="AO130" t="inlineStr"/>
      <c r="AP130" t="inlineStr"/>
      <c r="AQ130" t="inlineStr"/>
      <c r="AR130" t="inlineStr"/>
      <c r="AS130" t="inlineStr">
        <is>
          <t>Pa</t>
        </is>
      </c>
      <c r="AT130" t="inlineStr">
        <is>
          <t>x</t>
        </is>
      </c>
      <c r="AU130" t="inlineStr"/>
      <c r="AV130" t="inlineStr"/>
      <c r="AW130" t="inlineStr"/>
      <c r="AX130" t="inlineStr"/>
      <c r="AY130" t="inlineStr"/>
      <c r="AZ130" t="inlineStr"/>
      <c r="BA130" t="inlineStr"/>
      <c r="BB130" t="inlineStr"/>
      <c r="BC130" t="inlineStr">
        <is>
          <t>I/R</t>
        </is>
      </c>
      <c r="BD130" t="inlineStr">
        <is>
          <t>x</t>
        </is>
      </c>
      <c r="BE130" t="inlineStr"/>
      <c r="BF130" t="inlineStr"/>
      <c r="BG130" t="n">
        <v>110</v>
      </c>
      <c r="BH130" t="inlineStr"/>
      <c r="BI130" t="inlineStr"/>
      <c r="BJ130" t="inlineStr"/>
      <c r="BK130" t="inlineStr"/>
      <c r="BL130" t="inlineStr"/>
      <c r="BM130" t="inlineStr">
        <is>
          <t>n</t>
        </is>
      </c>
      <c r="BN130" t="n">
        <v>0</v>
      </c>
      <c r="BO130" t="inlineStr"/>
      <c r="BP130" t="inlineStr">
        <is>
          <t>Wellpappe</t>
        </is>
      </c>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t>
        </is>
      </c>
      <c r="B131" t="b">
        <v>1</v>
      </c>
      <c r="C131" t="inlineStr"/>
      <c r="D131" t="inlineStr"/>
      <c r="E131" t="n">
        <v>133</v>
      </c>
      <c r="F131">
        <f>HYPERLINK("https://portal.dnb.de/opac.htm?method=simpleSearch&amp;cqlMode=true&amp;query=idn%3D1072053101", "Portal")</f>
        <v/>
      </c>
      <c r="G131" t="inlineStr">
        <is>
          <t>Aa</t>
        </is>
      </c>
      <c r="H131" t="inlineStr">
        <is>
          <t>L-1475-326852794</t>
        </is>
      </c>
      <c r="I131" t="inlineStr">
        <is>
          <t>1072053101</t>
        </is>
      </c>
      <c r="J131" t="inlineStr">
        <is>
          <t>II 4,4f</t>
        </is>
      </c>
      <c r="K131" t="inlineStr">
        <is>
          <t>II 4,4f</t>
        </is>
      </c>
      <c r="L131" t="inlineStr">
        <is>
          <t>II 4,4f</t>
        </is>
      </c>
      <c r="M131" t="inlineStr"/>
      <c r="N131" t="inlineStr">
        <is>
          <t xml:space="preserve">Die @guldin Bull. Add: Fridericus III, Reformation und Ordnung vom 14. August 1442 : </t>
        </is>
      </c>
      <c r="O131" t="inlineStr">
        <is>
          <t xml:space="preserve"> : </t>
        </is>
      </c>
      <c r="P131" t="inlineStr">
        <is>
          <t>X</t>
        </is>
      </c>
      <c r="Q131" t="inlineStr"/>
      <c r="R131" t="inlineStr">
        <is>
          <t>Pergamentband</t>
        </is>
      </c>
      <c r="S131" t="inlineStr">
        <is>
          <t>bis 25 cm</t>
        </is>
      </c>
      <c r="T131" t="inlineStr"/>
      <c r="U131" t="inlineStr">
        <is>
          <t>hohler Rücken, erhabene Illuminationen</t>
        </is>
      </c>
      <c r="V131" t="inlineStr">
        <is>
          <t>nicht auflegen</t>
        </is>
      </c>
      <c r="W131" t="inlineStr">
        <is>
          <t>Kassette</t>
        </is>
      </c>
      <c r="X131" t="inlineStr">
        <is>
          <t>Nein</t>
        </is>
      </c>
      <c r="Y131" t="n">
        <v>0</v>
      </c>
      <c r="Z131" t="inlineStr"/>
      <c r="AA131" t="inlineStr"/>
      <c r="AB131" t="inlineStr"/>
      <c r="AC131" t="inlineStr"/>
      <c r="AD131" t="inlineStr"/>
      <c r="AE131" t="inlineStr"/>
      <c r="AF131" t="inlineStr"/>
      <c r="AG131" t="inlineStr"/>
      <c r="AH131" t="inlineStr"/>
      <c r="AI131" t="inlineStr">
        <is>
          <t>Pg</t>
        </is>
      </c>
      <c r="AJ131" t="inlineStr"/>
      <c r="AK131" t="inlineStr"/>
      <c r="AL131" t="inlineStr">
        <is>
          <t>x</t>
        </is>
      </c>
      <c r="AM131" t="inlineStr">
        <is>
          <t>h</t>
        </is>
      </c>
      <c r="AN131" t="inlineStr"/>
      <c r="AO131" t="inlineStr"/>
      <c r="AP131" t="inlineStr"/>
      <c r="AQ131" t="inlineStr"/>
      <c r="AR131" t="inlineStr"/>
      <c r="AS131" t="inlineStr">
        <is>
          <t>Pa</t>
        </is>
      </c>
      <c r="AT131" t="inlineStr"/>
      <c r="AU131" t="inlineStr"/>
      <c r="AV131" t="inlineStr"/>
      <c r="AW131" t="inlineStr"/>
      <c r="AX131" t="inlineStr"/>
      <c r="AY131" t="inlineStr"/>
      <c r="AZ131" t="inlineStr"/>
      <c r="BA131" t="inlineStr"/>
      <c r="BB131" t="inlineStr"/>
      <c r="BC131" t="inlineStr">
        <is>
          <t>I/R</t>
        </is>
      </c>
      <c r="BD131" t="inlineStr">
        <is>
          <t>x</t>
        </is>
      </c>
      <c r="BE131" t="inlineStr"/>
      <c r="BF131" t="inlineStr"/>
      <c r="BG131" t="n">
        <v>110</v>
      </c>
      <c r="BH131" t="inlineStr"/>
      <c r="BI131" t="inlineStr"/>
      <c r="BJ131" t="inlineStr"/>
      <c r="BK131" t="inlineStr"/>
      <c r="BL131" t="inlineStr"/>
      <c r="BM131" t="inlineStr">
        <is>
          <t>n</t>
        </is>
      </c>
      <c r="BN131" t="n">
        <v>0</v>
      </c>
      <c r="BO131" t="inlineStr"/>
      <c r="BP131" t="inlineStr">
        <is>
          <t>Gewebe</t>
        </is>
      </c>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t>
        </is>
      </c>
      <c r="B132" t="b">
        <v>1</v>
      </c>
      <c r="C132" t="inlineStr"/>
      <c r="D132" t="inlineStr"/>
      <c r="E132" t="n">
        <v>134</v>
      </c>
      <c r="F132">
        <f>HYPERLINK("https://portal.dnb.de/opac.htm?method=simpleSearch&amp;cqlMode=true&amp;query=idn%3D1066968721", "Portal")</f>
        <v/>
      </c>
      <c r="G132" t="inlineStr">
        <is>
          <t>Aaf</t>
        </is>
      </c>
      <c r="H132" t="inlineStr">
        <is>
          <t>L-1472-315498978</t>
        </is>
      </c>
      <c r="I132" t="inlineStr">
        <is>
          <t>1066968721</t>
        </is>
      </c>
      <c r="J132" t="inlineStr">
        <is>
          <t>II 4,4g</t>
        </is>
      </c>
      <c r="K132" t="inlineStr">
        <is>
          <t>II 4,4g</t>
        </is>
      </c>
      <c r="L132" t="inlineStr">
        <is>
          <t>II 4,4g</t>
        </is>
      </c>
      <c r="M132" t="inlineStr"/>
      <c r="N132" t="inlineStr">
        <is>
          <t xml:space="preserve">Pastorale sive Regula pastoralis : </t>
        </is>
      </c>
      <c r="O132" t="inlineStr">
        <is>
          <t xml:space="preserve"> : </t>
        </is>
      </c>
      <c r="P132" t="inlineStr">
        <is>
          <t>X</t>
        </is>
      </c>
      <c r="Q132" t="inlineStr"/>
      <c r="R132" t="inlineStr">
        <is>
          <t>Ledereinband, Schließen, erhabene Buchbeschläge</t>
        </is>
      </c>
      <c r="S132" t="inlineStr">
        <is>
          <t>bis 25 cm</t>
        </is>
      </c>
      <c r="T132" t="inlineStr">
        <is>
          <t>nur sehr geringer Öffnungswinkel</t>
        </is>
      </c>
      <c r="U132" t="inlineStr">
        <is>
          <t>fester Rücken mit Schmuckprägung, welliger Buchblock, erhabene Illuminationen</t>
        </is>
      </c>
      <c r="V132" t="inlineStr">
        <is>
          <t>nicht auflegen</t>
        </is>
      </c>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is>
          <t>HD</t>
        </is>
      </c>
      <c r="AJ132" t="inlineStr"/>
      <c r="AK132" t="inlineStr">
        <is>
          <t>x</t>
        </is>
      </c>
      <c r="AL132" t="inlineStr"/>
      <c r="AM132" t="inlineStr">
        <is>
          <t>f</t>
        </is>
      </c>
      <c r="AN132" t="inlineStr"/>
      <c r="AO132" t="inlineStr"/>
      <c r="AP132" t="inlineStr"/>
      <c r="AQ132" t="inlineStr"/>
      <c r="AR132" t="inlineStr"/>
      <c r="AS132" t="inlineStr">
        <is>
          <t>Pa</t>
        </is>
      </c>
      <c r="AT132" t="inlineStr"/>
      <c r="AU132" t="inlineStr"/>
      <c r="AV132" t="inlineStr"/>
      <c r="AW132" t="inlineStr">
        <is>
          <t>x</t>
        </is>
      </c>
      <c r="AX132" t="inlineStr"/>
      <c r="AY132" t="inlineStr"/>
      <c r="AZ132" t="inlineStr"/>
      <c r="BA132" t="inlineStr"/>
      <c r="BB132" t="inlineStr"/>
      <c r="BC132" t="inlineStr">
        <is>
          <t>I/R</t>
        </is>
      </c>
      <c r="BD132" t="inlineStr">
        <is>
          <t>x</t>
        </is>
      </c>
      <c r="BE132" t="inlineStr"/>
      <c r="BF132" t="inlineStr"/>
      <c r="BG132" t="n">
        <v>45</v>
      </c>
      <c r="BH132" t="inlineStr"/>
      <c r="BI132" t="inlineStr"/>
      <c r="BJ132" t="inlineStr"/>
      <c r="BK132" t="inlineStr"/>
      <c r="BL132" t="inlineStr"/>
      <c r="BM132" t="inlineStr">
        <is>
          <t>n</t>
        </is>
      </c>
      <c r="BN132" t="n">
        <v>0</v>
      </c>
      <c r="BO132" t="inlineStr"/>
      <c r="BP132" t="inlineStr">
        <is>
          <t>Wellpappe</t>
        </is>
      </c>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t>
        </is>
      </c>
      <c r="B133" t="b">
        <v>1</v>
      </c>
      <c r="C133" t="inlineStr">
        <is>
          <t>x</t>
        </is>
      </c>
      <c r="D133" t="inlineStr"/>
      <c r="E133" t="n">
        <v>135</v>
      </c>
      <c r="F133">
        <f>HYPERLINK("https://portal.dnb.de/opac.htm?method=simpleSearch&amp;cqlMode=true&amp;query=idn%3D1066969671", "Portal")</f>
        <v/>
      </c>
      <c r="G133" t="inlineStr">
        <is>
          <t>Aaf</t>
        </is>
      </c>
      <c r="H133" t="inlineStr">
        <is>
          <t>L-1474-315500018</t>
        </is>
      </c>
      <c r="I133" t="inlineStr">
        <is>
          <t>1066969671</t>
        </is>
      </c>
      <c r="J133" t="inlineStr">
        <is>
          <t>II 4,4h</t>
        </is>
      </c>
      <c r="K133" t="inlineStr">
        <is>
          <t>II 4,4h</t>
        </is>
      </c>
      <c r="L133" t="inlineStr">
        <is>
          <t>II 4,4h</t>
        </is>
      </c>
      <c r="M133" t="inlineStr"/>
      <c r="N133" t="inlineStr">
        <is>
          <t xml:space="preserve">De veritate dicenda aut tacenda : </t>
        </is>
      </c>
      <c r="O133" t="inlineStr">
        <is>
          <t xml:space="preserve"> : </t>
        </is>
      </c>
      <c r="P133" t="inlineStr">
        <is>
          <t>X</t>
        </is>
      </c>
      <c r="Q133" t="inlineStr">
        <is>
          <t>1500,00 EUR</t>
        </is>
      </c>
      <c r="R133" t="inlineStr">
        <is>
          <t>Halbledereinband, Schließen, erhabene Buchbeschläge</t>
        </is>
      </c>
      <c r="S133" t="inlineStr">
        <is>
          <t>bis 35 cm</t>
        </is>
      </c>
      <c r="T133" t="inlineStr">
        <is>
          <t>180°</t>
        </is>
      </c>
      <c r="U133" t="inlineStr">
        <is>
          <t>fester Rücken mit Schmuckprägung, erhabene Illuminationen</t>
        </is>
      </c>
      <c r="V133" t="inlineStr">
        <is>
          <t>nicht auflegen</t>
        </is>
      </c>
      <c r="W133" t="inlineStr">
        <is>
          <t>Kassette</t>
        </is>
      </c>
      <c r="X133" t="inlineStr">
        <is>
          <t>Nein</t>
        </is>
      </c>
      <c r="Y133" t="n">
        <v>2</v>
      </c>
      <c r="Z133" t="inlineStr"/>
      <c r="AA133" t="inlineStr"/>
      <c r="AB133" t="inlineStr"/>
      <c r="AC133" t="inlineStr"/>
      <c r="AD133" t="inlineStr"/>
      <c r="AE133" t="inlineStr"/>
      <c r="AF133" t="inlineStr"/>
      <c r="AG133" t="inlineStr"/>
      <c r="AH133" t="inlineStr"/>
      <c r="AI133" t="inlineStr">
        <is>
          <t>HL</t>
        </is>
      </c>
      <c r="AJ133" t="inlineStr"/>
      <c r="AK133" t="inlineStr">
        <is>
          <t>x</t>
        </is>
      </c>
      <c r="AL133" t="inlineStr"/>
      <c r="AM133" t="inlineStr">
        <is>
          <t>f/E</t>
        </is>
      </c>
      <c r="AN133" t="inlineStr"/>
      <c r="AO133" t="inlineStr"/>
      <c r="AP133" t="inlineStr"/>
      <c r="AQ133" t="inlineStr"/>
      <c r="AR133" t="inlineStr"/>
      <c r="AS133" t="inlineStr">
        <is>
          <t>Pa</t>
        </is>
      </c>
      <c r="AT133" t="inlineStr">
        <is>
          <t>x</t>
        </is>
      </c>
      <c r="AU133" t="inlineStr"/>
      <c r="AV133" t="inlineStr"/>
      <c r="AW133" t="inlineStr"/>
      <c r="AX133" t="inlineStr"/>
      <c r="AY133" t="inlineStr"/>
      <c r="AZ133" t="inlineStr"/>
      <c r="BA133" t="inlineStr"/>
      <c r="BB133" t="inlineStr"/>
      <c r="BC133" t="inlineStr">
        <is>
          <t>I/R</t>
        </is>
      </c>
      <c r="BD133" t="inlineStr">
        <is>
          <t>x</t>
        </is>
      </c>
      <c r="BE133" t="inlineStr"/>
      <c r="BF133" t="inlineStr"/>
      <c r="BG133" t="n">
        <v>110</v>
      </c>
      <c r="BH133" t="inlineStr"/>
      <c r="BI133" t="inlineStr"/>
      <c r="BJ133" t="inlineStr"/>
      <c r="BK133" t="inlineStr"/>
      <c r="BL133" t="inlineStr"/>
      <c r="BM133" t="inlineStr">
        <is>
          <t>ja vor</t>
        </is>
      </c>
      <c r="BN133" t="n">
        <v>0.5</v>
      </c>
      <c r="BO133" t="inlineStr"/>
      <c r="BP133" t="inlineStr">
        <is>
          <t>Wellpappe</t>
        </is>
      </c>
      <c r="BQ133" t="inlineStr"/>
      <c r="BR133" t="inlineStr"/>
      <c r="BS133" t="inlineStr"/>
      <c r="BT133" t="inlineStr"/>
      <c r="BU133" t="inlineStr"/>
      <c r="BV133" t="inlineStr"/>
      <c r="BW133" t="inlineStr"/>
      <c r="BX133" t="inlineStr"/>
      <c r="BY133" t="inlineStr"/>
      <c r="BZ133" t="inlineStr"/>
      <c r="CA133" t="inlineStr">
        <is>
          <t>x</t>
        </is>
      </c>
      <c r="CB133" t="inlineStr"/>
      <c r="CC133" t="inlineStr">
        <is>
          <t>x</t>
        </is>
      </c>
      <c r="CD133" t="inlineStr"/>
      <c r="CE133" t="inlineStr"/>
      <c r="CF133" t="inlineStr"/>
      <c r="CG133" t="inlineStr"/>
      <c r="CH133" t="inlineStr"/>
      <c r="CI133" t="inlineStr"/>
      <c r="CJ133" t="inlineStr"/>
      <c r="CK133" t="inlineStr"/>
      <c r="CL133" t="inlineStr"/>
      <c r="CM133" t="n">
        <v>0.5</v>
      </c>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t>
        </is>
      </c>
      <c r="B134" t="b">
        <v>1</v>
      </c>
      <c r="C134" t="inlineStr"/>
      <c r="D134" t="inlineStr"/>
      <c r="E134" t="n">
        <v>136</v>
      </c>
      <c r="F134">
        <f>HYPERLINK("https://portal.dnb.de/opac.htm?method=simpleSearch&amp;cqlMode=true&amp;query=idn%3D1066965838", "Portal")</f>
        <v/>
      </c>
      <c r="G134" t="inlineStr">
        <is>
          <t>Aaf</t>
        </is>
      </c>
      <c r="H134" t="inlineStr">
        <is>
          <t>L-1489-31549610X</t>
        </is>
      </c>
      <c r="I134" t="inlineStr">
        <is>
          <t>1066965838</t>
        </is>
      </c>
      <c r="J134" t="inlineStr">
        <is>
          <t>II 4,5a</t>
        </is>
      </c>
      <c r="K134" t="inlineStr">
        <is>
          <t>II 4,5a</t>
        </is>
      </c>
      <c r="L134" t="inlineStr">
        <is>
          <t>II 4,5a</t>
        </is>
      </c>
      <c r="M134" t="inlineStr"/>
      <c r="N134" t="inlineStr">
        <is>
          <t>Explanatio psalmorum : P. 1-3</t>
        </is>
      </c>
      <c r="O134" t="inlineStr">
        <is>
          <t xml:space="preserve"> : </t>
        </is>
      </c>
      <c r="P134" t="inlineStr">
        <is>
          <t>X</t>
        </is>
      </c>
      <c r="Q134" t="inlineStr"/>
      <c r="R134" t="inlineStr">
        <is>
          <t>Ledereinband</t>
        </is>
      </c>
      <c r="S134" t="inlineStr">
        <is>
          <t>bis 35 cm</t>
        </is>
      </c>
      <c r="T134" t="inlineStr">
        <is>
          <t>nur sehr geringer Öffnungswinkel</t>
        </is>
      </c>
      <c r="U134" t="inlineStr">
        <is>
          <t>fester Rücken mit Schmuckprägung, welliger Buchblock, Schrift bis in den Falz</t>
        </is>
      </c>
      <c r="V134" t="inlineStr"/>
      <c r="W134" t="inlineStr">
        <is>
          <t>Kassette</t>
        </is>
      </c>
      <c r="X134" t="inlineStr">
        <is>
          <t>Nein</t>
        </is>
      </c>
      <c r="Y134" t="n">
        <v>1</v>
      </c>
      <c r="Z134" t="inlineStr"/>
      <c r="AA134" t="inlineStr"/>
      <c r="AB134" t="inlineStr"/>
      <c r="AC134" t="inlineStr"/>
      <c r="AD134" t="inlineStr"/>
      <c r="AE134" t="inlineStr"/>
      <c r="AF134" t="inlineStr"/>
      <c r="AG134" t="inlineStr"/>
      <c r="AH134" t="inlineStr"/>
      <c r="AI134" t="inlineStr">
        <is>
          <t>HD</t>
        </is>
      </c>
      <c r="AJ134" t="inlineStr"/>
      <c r="AK134" t="inlineStr">
        <is>
          <t>x</t>
        </is>
      </c>
      <c r="AL134" t="inlineStr"/>
      <c r="AM134" t="inlineStr">
        <is>
          <t>f</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r="BB134" t="inlineStr"/>
      <c r="BC134" t="inlineStr"/>
      <c r="BD134" t="inlineStr"/>
      <c r="BE134" t="n">
        <v>0</v>
      </c>
      <c r="BF134" t="inlineStr"/>
      <c r="BG134" t="n">
        <v>60</v>
      </c>
      <c r="BH134" t="inlineStr"/>
      <c r="BI134" t="inlineStr"/>
      <c r="BJ134" t="inlineStr"/>
      <c r="BK134" t="inlineStr"/>
      <c r="BL134" t="inlineStr"/>
      <c r="BM134" t="inlineStr">
        <is>
          <t>n</t>
        </is>
      </c>
      <c r="BN134" t="n">
        <v>0</v>
      </c>
      <c r="BO134" t="inlineStr"/>
      <c r="BP134" t="inlineStr">
        <is>
          <t>Wellpappe</t>
        </is>
      </c>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t>
        </is>
      </c>
      <c r="B135" t="b">
        <v>1</v>
      </c>
      <c r="C135" t="inlineStr">
        <is>
          <t>x</t>
        </is>
      </c>
      <c r="D135" t="inlineStr"/>
      <c r="E135" t="inlineStr"/>
      <c r="F135">
        <f>HYPERLINK("https://portal.dnb.de/opac.htm?method=simpleSearch&amp;cqlMode=true&amp;query=idn%3D1268949655", "Portal")</f>
        <v/>
      </c>
      <c r="G135" t="inlineStr">
        <is>
          <t>Qd</t>
        </is>
      </c>
      <c r="H135" t="inlineStr">
        <is>
          <t>L-1490-834332256</t>
        </is>
      </c>
      <c r="I135" t="inlineStr">
        <is>
          <t>1268949655</t>
        </is>
      </c>
      <c r="J135" t="inlineStr">
        <is>
          <t>II 4,5b</t>
        </is>
      </c>
      <c r="K135" t="inlineStr">
        <is>
          <t>II 4,5b</t>
        </is>
      </c>
      <c r="L135" t="inlineStr">
        <is>
          <t>II 4,5b</t>
        </is>
      </c>
      <c r="M135" t="inlineStr"/>
      <c r="N135" t="inlineStr">
        <is>
          <t xml:space="preserve">Sammelband mit zwei Inkunabeln : </t>
        </is>
      </c>
      <c r="O135" t="inlineStr">
        <is>
          <t xml:space="preserve"> : </t>
        </is>
      </c>
      <c r="P135" t="inlineStr">
        <is>
          <t>X</t>
        </is>
      </c>
      <c r="Q135" t="inlineStr">
        <is>
          <t>3600,00 EUR</t>
        </is>
      </c>
      <c r="R135" t="inlineStr">
        <is>
          <t>Ledereinband</t>
        </is>
      </c>
      <c r="S135" t="inlineStr">
        <is>
          <t>bis 35 cm</t>
        </is>
      </c>
      <c r="T135" t="inlineStr">
        <is>
          <t>80° bis 110°, einseitig digitalisierbar?</t>
        </is>
      </c>
      <c r="U135" t="inlineStr">
        <is>
          <t>welliger Buchblock, Schrift bis in den Falz, stark brüchiges Einbandmaterial, erhabene Illuminationen</t>
        </is>
      </c>
      <c r="V135" t="inlineStr">
        <is>
          <t>nicht auflegen</t>
        </is>
      </c>
      <c r="W135" t="inlineStr">
        <is>
          <t>Kassette</t>
        </is>
      </c>
      <c r="X135" t="inlineStr">
        <is>
          <t>Nein</t>
        </is>
      </c>
      <c r="Y135" t="n">
        <v>3</v>
      </c>
      <c r="Z135" t="inlineStr"/>
      <c r="AA135" t="inlineStr"/>
      <c r="AB135" t="inlineStr"/>
      <c r="AC135" t="inlineStr"/>
      <c r="AD135" t="inlineStr"/>
      <c r="AE135" t="inlineStr"/>
      <c r="AF135" t="inlineStr"/>
      <c r="AG135" t="inlineStr"/>
      <c r="AH135" t="inlineStr"/>
      <c r="AI135" t="inlineStr">
        <is>
          <t>HD</t>
        </is>
      </c>
      <c r="AJ135" t="inlineStr"/>
      <c r="AK135" t="inlineStr">
        <is>
          <t>x</t>
        </is>
      </c>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c r="BA135" t="inlineStr"/>
      <c r="BB135" t="inlineStr"/>
      <c r="BC135" t="inlineStr">
        <is>
          <t>I</t>
        </is>
      </c>
      <c r="BD135" t="inlineStr">
        <is>
          <t>x</t>
        </is>
      </c>
      <c r="BE135" t="n">
        <v>0</v>
      </c>
      <c r="BF135" t="inlineStr"/>
      <c r="BG135" t="n">
        <v>60</v>
      </c>
      <c r="BH135" t="inlineStr"/>
      <c r="BI135" t="inlineStr"/>
      <c r="BJ135" t="inlineStr"/>
      <c r="BK135" t="inlineStr"/>
      <c r="BL135" t="inlineStr"/>
      <c r="BM135" t="inlineStr">
        <is>
          <t>ja vor</t>
        </is>
      </c>
      <c r="BN135" t="n">
        <v>6</v>
      </c>
      <c r="BO135" t="inlineStr"/>
      <c r="BP135" t="inlineStr">
        <is>
          <t>Wellpappe</t>
        </is>
      </c>
      <c r="BQ135" t="inlineStr"/>
      <c r="BR135" t="inlineStr"/>
      <c r="BS135" t="inlineStr"/>
      <c r="BT135" t="inlineStr"/>
      <c r="BU135" t="inlineStr"/>
      <c r="BV135" t="inlineStr"/>
      <c r="BW135" t="inlineStr"/>
      <c r="BX135" t="inlineStr"/>
      <c r="BY135" t="inlineStr"/>
      <c r="BZ135" t="inlineStr"/>
      <c r="CA135" t="inlineStr">
        <is>
          <t>x</t>
        </is>
      </c>
      <c r="CB135" t="inlineStr">
        <is>
          <t>x</t>
        </is>
      </c>
      <c r="CC135" t="inlineStr"/>
      <c r="CD135" t="inlineStr">
        <is>
          <t>v</t>
        </is>
      </c>
      <c r="CE135" t="n">
        <v>4</v>
      </c>
      <c r="CF135" t="inlineStr"/>
      <c r="CG135" t="inlineStr"/>
      <c r="CH135" t="inlineStr"/>
      <c r="CI135" t="inlineStr"/>
      <c r="CJ135" t="inlineStr"/>
      <c r="CK135" t="inlineStr"/>
      <c r="CL135" t="inlineStr"/>
      <c r="CM135" t="n">
        <v>6</v>
      </c>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t>
        </is>
      </c>
      <c r="B136" t="b">
        <v>0</v>
      </c>
      <c r="C136" t="inlineStr">
        <is>
          <t>x</t>
        </is>
      </c>
      <c r="D136" t="inlineStr"/>
      <c r="E136" t="n">
        <v>138</v>
      </c>
      <c r="F136">
        <f>HYPERLINK("https://portal.dnb.de/opac.htm?method=simpleSearch&amp;cqlMode=true&amp;query=idn%3D1066965773", "Portal")</f>
        <v/>
      </c>
      <c r="G136" t="inlineStr">
        <is>
          <t>Aa</t>
        </is>
      </c>
      <c r="H136" t="inlineStr">
        <is>
          <t>L-1490-315496010</t>
        </is>
      </c>
      <c r="I136" t="inlineStr">
        <is>
          <t>1066965773</t>
        </is>
      </c>
      <c r="J136" t="inlineStr">
        <is>
          <t>II 4,5c</t>
        </is>
      </c>
      <c r="K136" t="inlineStr"/>
      <c r="L136" t="inlineStr">
        <is>
          <t>II 4,5c (angebunden an II 4,5b)</t>
        </is>
      </c>
      <c r="M136" t="inlineStr">
        <is>
          <t>?? Ist eigenes Buch.</t>
        </is>
      </c>
      <c r="N136" t="inlineStr"/>
      <c r="O136" t="inlineStr"/>
      <c r="P136" t="inlineStr">
        <is>
          <t>X</t>
        </is>
      </c>
      <c r="Q136" t="inlineStr"/>
      <c r="R136" t="inlineStr">
        <is>
          <t>Halbledereinband, Schließen, erhabene Buchbeschläge</t>
        </is>
      </c>
      <c r="S136" t="inlineStr">
        <is>
          <t>bis 35 cm</t>
        </is>
      </c>
      <c r="T136" t="inlineStr">
        <is>
          <t>80° bis 110°, einseitig digitalisierbar?</t>
        </is>
      </c>
      <c r="U136" t="inlineStr">
        <is>
          <t>fester Rücken mit Schmuckprägung, welliger Buchblock, erhabene Illuminationen</t>
        </is>
      </c>
      <c r="V136" t="inlineStr">
        <is>
          <t>nicht auflegen</t>
        </is>
      </c>
      <c r="W136" t="inlineStr">
        <is>
          <t>Kassette</t>
        </is>
      </c>
      <c r="X136" t="inlineStr">
        <is>
          <t>Nein</t>
        </is>
      </c>
      <c r="Y136" t="n">
        <v>2</v>
      </c>
      <c r="Z136" t="inlineStr"/>
      <c r="AA136" t="inlineStr"/>
      <c r="AB136" t="inlineStr"/>
      <c r="AC136" t="inlineStr"/>
      <c r="AD136" t="inlineStr"/>
      <c r="AE136" t="inlineStr"/>
      <c r="AF136" t="inlineStr"/>
      <c r="AG136" t="inlineStr"/>
      <c r="AH136" t="inlineStr"/>
      <c r="AI136" t="inlineStr">
        <is>
          <t>HD</t>
        </is>
      </c>
      <c r="AJ136" t="inlineStr"/>
      <c r="AK136" t="inlineStr">
        <is>
          <t>x</t>
        </is>
      </c>
      <c r="AL136" t="inlineStr"/>
      <c r="AM136" t="inlineStr">
        <is>
          <t>f</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c r="BA136" t="inlineStr"/>
      <c r="BB136" t="inlineStr"/>
      <c r="BC136" t="inlineStr">
        <is>
          <t>I/R</t>
        </is>
      </c>
      <c r="BD136" t="inlineStr">
        <is>
          <t>x</t>
        </is>
      </c>
      <c r="BE136" t="inlineStr"/>
      <c r="BF136" t="inlineStr"/>
      <c r="BG136" t="n">
        <v>60</v>
      </c>
      <c r="BH136" t="inlineStr"/>
      <c r="BI136" t="inlineStr"/>
      <c r="BJ136" t="inlineStr"/>
      <c r="BK136" t="inlineStr"/>
      <c r="BL136" t="inlineStr"/>
      <c r="BM136" t="inlineStr">
        <is>
          <t>ja vor</t>
        </is>
      </c>
      <c r="BN136" t="n">
        <v>0.5</v>
      </c>
      <c r="BO136" t="inlineStr"/>
      <c r="BP136" t="inlineStr">
        <is>
          <t>Wellpappe</t>
        </is>
      </c>
      <c r="BQ136" t="inlineStr"/>
      <c r="BR136" t="inlineStr"/>
      <c r="BS136" t="inlineStr"/>
      <c r="BT136" t="inlineStr"/>
      <c r="BU136" t="inlineStr"/>
      <c r="BV136" t="inlineStr"/>
      <c r="BW136" t="inlineStr"/>
      <c r="BX136" t="inlineStr"/>
      <c r="BY136" t="inlineStr"/>
      <c r="BZ136" t="inlineStr"/>
      <c r="CA136" t="inlineStr"/>
      <c r="CB136" t="inlineStr">
        <is>
          <t>x</t>
        </is>
      </c>
      <c r="CC136" t="inlineStr"/>
      <c r="CD136" t="inlineStr"/>
      <c r="CE136" t="inlineStr"/>
      <c r="CF136" t="inlineStr"/>
      <c r="CG136" t="inlineStr"/>
      <c r="CH136" t="inlineStr"/>
      <c r="CI136" t="inlineStr"/>
      <c r="CJ136" t="inlineStr"/>
      <c r="CK136" t="inlineStr"/>
      <c r="CL136" t="inlineStr"/>
      <c r="CM136" t="n">
        <v>0.5</v>
      </c>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t>
        </is>
      </c>
      <c r="B137" t="b">
        <v>1</v>
      </c>
      <c r="C137" t="inlineStr"/>
      <c r="D137" t="inlineStr"/>
      <c r="E137" t="n">
        <v>139</v>
      </c>
      <c r="F137">
        <f>HYPERLINK("https://portal.dnb.de/opac.htm?method=simpleSearch&amp;cqlMode=true&amp;query=idn%3D1066967407", "Portal")</f>
        <v/>
      </c>
      <c r="G137" t="inlineStr">
        <is>
          <t>Aaf</t>
        </is>
      </c>
      <c r="H137" t="inlineStr">
        <is>
          <t>L-1491-315497661</t>
        </is>
      </c>
      <c r="I137" t="inlineStr">
        <is>
          <t>1066967407</t>
        </is>
      </c>
      <c r="J137" t="inlineStr">
        <is>
          <t>II 4,5d</t>
        </is>
      </c>
      <c r="K137" t="inlineStr">
        <is>
          <t>II 4,5d</t>
        </is>
      </c>
      <c r="L137" t="inlineStr">
        <is>
          <t>II 4,5d</t>
        </is>
      </c>
      <c r="M137" t="inlineStr"/>
      <c r="N137" t="inlineStr">
        <is>
          <t xml:space="preserve">Expositio in Psalterium : </t>
        </is>
      </c>
      <c r="O137" t="inlineStr">
        <is>
          <t xml:space="preserve"> : </t>
        </is>
      </c>
      <c r="P137" t="inlineStr">
        <is>
          <t>X</t>
        </is>
      </c>
      <c r="Q137" t="inlineStr"/>
      <c r="R137" t="inlineStr">
        <is>
          <t>Ledereinband, Schließen, erhabene Buchbeschläge</t>
        </is>
      </c>
      <c r="S137" t="inlineStr">
        <is>
          <t>bis 35 cm</t>
        </is>
      </c>
      <c r="T137" t="inlineStr">
        <is>
          <t>80° bis 110°, einseitig digitalisierbar?</t>
        </is>
      </c>
      <c r="U137" t="inlineStr">
        <is>
          <t>fester Rücken mit Schmuckprägung, welliger Buchblock, Schrift bis in den Falz, erhabene Illuminationen</t>
        </is>
      </c>
      <c r="V137" t="inlineStr">
        <is>
          <t>nicht auflegen</t>
        </is>
      </c>
      <c r="W137" t="inlineStr">
        <is>
          <t>Kassette</t>
        </is>
      </c>
      <c r="X137" t="inlineStr">
        <is>
          <t>Nein</t>
        </is>
      </c>
      <c r="Y137" t="n">
        <v>1</v>
      </c>
      <c r="Z137" t="inlineStr"/>
      <c r="AA137" t="inlineStr"/>
      <c r="AB137" t="inlineStr"/>
      <c r="AC137" t="inlineStr"/>
      <c r="AD137" t="inlineStr"/>
      <c r="AE137" t="inlineStr"/>
      <c r="AF137" t="inlineStr"/>
      <c r="AG137" t="inlineStr"/>
      <c r="AH137" t="inlineStr"/>
      <c r="AI137" t="inlineStr">
        <is>
          <t>HD</t>
        </is>
      </c>
      <c r="AJ137" t="inlineStr"/>
      <c r="AK137" t="inlineStr">
        <is>
          <t>x</t>
        </is>
      </c>
      <c r="AL137" t="inlineStr"/>
      <c r="AM137" t="inlineStr">
        <is>
          <t>f</t>
        </is>
      </c>
      <c r="AN137" t="inlineStr"/>
      <c r="AO137" t="inlineStr"/>
      <c r="AP137" t="inlineStr"/>
      <c r="AQ137" t="inlineStr"/>
      <c r="AR137" t="inlineStr"/>
      <c r="AS137" t="inlineStr">
        <is>
          <t>Pa</t>
        </is>
      </c>
      <c r="AT137" t="inlineStr"/>
      <c r="AU137" t="inlineStr"/>
      <c r="AV137" t="inlineStr"/>
      <c r="AW137" t="inlineStr">
        <is>
          <t>x</t>
        </is>
      </c>
      <c r="AX137" t="inlineStr"/>
      <c r="AY137" t="inlineStr"/>
      <c r="AZ137" t="inlineStr"/>
      <c r="BA137" t="inlineStr"/>
      <c r="BB137" t="inlineStr"/>
      <c r="BC137" t="inlineStr">
        <is>
          <t xml:space="preserve">I/R </t>
        </is>
      </c>
      <c r="BD137" t="inlineStr">
        <is>
          <t>x</t>
        </is>
      </c>
      <c r="BE137" t="n">
        <v>0</v>
      </c>
      <c r="BF137" t="inlineStr"/>
      <c r="BG137" t="n">
        <v>60</v>
      </c>
      <c r="BH137" t="inlineStr"/>
      <c r="BI137" t="inlineStr"/>
      <c r="BJ137" t="inlineStr"/>
      <c r="BK137" t="inlineStr"/>
      <c r="BL137" t="inlineStr"/>
      <c r="BM137" t="inlineStr">
        <is>
          <t>n</t>
        </is>
      </c>
      <c r="BN137" t="n">
        <v>0</v>
      </c>
      <c r="BO137" t="inlineStr"/>
      <c r="BP137" t="inlineStr">
        <is>
          <t>Wellpappe</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t>
        </is>
      </c>
      <c r="B138" t="b">
        <v>1</v>
      </c>
      <c r="C138" t="inlineStr"/>
      <c r="D138" t="inlineStr"/>
      <c r="E138" t="n">
        <v>140</v>
      </c>
      <c r="F138">
        <f>HYPERLINK("https://portal.dnb.de/opac.htm?method=simpleSearch&amp;cqlMode=true&amp;query=idn%3D1085177637", "Portal")</f>
        <v/>
      </c>
      <c r="G138" t="inlineStr">
        <is>
          <t>Afl</t>
        </is>
      </c>
      <c r="H138" t="inlineStr">
        <is>
          <t>L-1492-329246070</t>
        </is>
      </c>
      <c r="I138" t="inlineStr">
        <is>
          <t>1085177637</t>
        </is>
      </c>
      <c r="J138" t="inlineStr">
        <is>
          <t>II 4,5e - 2</t>
        </is>
      </c>
      <c r="K138" t="inlineStr">
        <is>
          <t>II 4,5e - 2</t>
        </is>
      </c>
      <c r="L138" t="inlineStr">
        <is>
          <t>II 4,5e - 2</t>
        </is>
      </c>
      <c r="M138" t="inlineStr"/>
      <c r="N138" t="inlineStr">
        <is>
          <t>Opera</t>
        </is>
      </c>
      <c r="O138" t="inlineStr">
        <is>
          <t xml:space="preserve">[Pt. 2] : </t>
        </is>
      </c>
      <c r="P138" t="inlineStr">
        <is>
          <t>X</t>
        </is>
      </c>
      <c r="Q138" t="inlineStr"/>
      <c r="R138" t="inlineStr">
        <is>
          <t>Halbledereinband, Schließen, erhabene Buchbeschläge</t>
        </is>
      </c>
      <c r="S138" t="inlineStr">
        <is>
          <t>bis 35 cm</t>
        </is>
      </c>
      <c r="T138" t="inlineStr">
        <is>
          <t>nur sehr geringer Öffnungswinkel</t>
        </is>
      </c>
      <c r="U138" t="inlineStr">
        <is>
          <t>fester Rücken mit Schmuckprägung, welliger Buchblock, Schrift bis in den Falz, erhabene Illuminationen</t>
        </is>
      </c>
      <c r="V138" t="inlineStr">
        <is>
          <t>nicht auflegen</t>
        </is>
      </c>
      <c r="W138" t="inlineStr">
        <is>
          <t>Kassette</t>
        </is>
      </c>
      <c r="X138" t="inlineStr">
        <is>
          <t>Nein</t>
        </is>
      </c>
      <c r="Y138" t="n">
        <v>0</v>
      </c>
      <c r="Z138" t="inlineStr"/>
      <c r="AA138" t="inlineStr"/>
      <c r="AB138" t="inlineStr"/>
      <c r="AC138" t="inlineStr"/>
      <c r="AD138" t="inlineStr"/>
      <c r="AE138" t="inlineStr"/>
      <c r="AF138" t="inlineStr"/>
      <c r="AG138" t="inlineStr"/>
      <c r="AH138" t="inlineStr"/>
      <c r="AI138" t="inlineStr">
        <is>
          <t>HL</t>
        </is>
      </c>
      <c r="AJ138" t="inlineStr"/>
      <c r="AK138" t="inlineStr"/>
      <c r="AL138" t="inlineStr">
        <is>
          <t>x</t>
        </is>
      </c>
      <c r="AM138" t="inlineStr">
        <is>
          <t>f</t>
        </is>
      </c>
      <c r="AN138" t="inlineStr"/>
      <c r="AO138" t="inlineStr"/>
      <c r="AP138" t="inlineStr"/>
      <c r="AQ138" t="inlineStr"/>
      <c r="AR138" t="inlineStr"/>
      <c r="AS138" t="inlineStr">
        <is>
          <t>Pa</t>
        </is>
      </c>
      <c r="AT138" t="inlineStr"/>
      <c r="AU138" t="inlineStr"/>
      <c r="AV138" t="inlineStr"/>
      <c r="AW138" t="inlineStr"/>
      <c r="AX138" t="inlineStr">
        <is>
          <t>x</t>
        </is>
      </c>
      <c r="AY138" t="inlineStr"/>
      <c r="AZ138" t="inlineStr"/>
      <c r="BA138" t="inlineStr"/>
      <c r="BB138" t="inlineStr"/>
      <c r="BC138" t="inlineStr">
        <is>
          <t xml:space="preserve">I/R </t>
        </is>
      </c>
      <c r="BD138" t="inlineStr">
        <is>
          <t>x</t>
        </is>
      </c>
      <c r="BE138" t="n">
        <v>0</v>
      </c>
      <c r="BF138" t="inlineStr"/>
      <c r="BG138" t="n">
        <v>180</v>
      </c>
      <c r="BH138" t="inlineStr"/>
      <c r="BI138" t="inlineStr"/>
      <c r="BJ138" t="inlineStr"/>
      <c r="BK138" t="inlineStr"/>
      <c r="BL138" t="inlineStr"/>
      <c r="BM138" t="inlineStr">
        <is>
          <t>n</t>
        </is>
      </c>
      <c r="BN138" t="n">
        <v>0</v>
      </c>
      <c r="BO138" t="inlineStr"/>
      <c r="BP138" t="inlineStr">
        <is>
          <t>Wellpappe</t>
        </is>
      </c>
      <c r="BQ138" t="inlineStr"/>
      <c r="BR138" t="inlineStr"/>
      <c r="BS138" t="inlineStr"/>
      <c r="BT138" t="inlineStr"/>
      <c r="BU138" t="inlineStr"/>
      <c r="BV138" t="inlineStr">
        <is>
          <t>trotzt 180° Öffnungswinkel Textverlust (Marginalien)</t>
        </is>
      </c>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t>
        </is>
      </c>
      <c r="B139" t="b">
        <v>1</v>
      </c>
      <c r="C139" t="inlineStr"/>
      <c r="D139" t="inlineStr"/>
      <c r="E139" t="n">
        <v>141</v>
      </c>
      <c r="F139">
        <f>HYPERLINK("https://portal.dnb.de/opac.htm?method=simpleSearch&amp;cqlMode=true&amp;query=idn%3D1085177750", "Portal")</f>
        <v/>
      </c>
      <c r="G139" t="inlineStr">
        <is>
          <t>Afl</t>
        </is>
      </c>
      <c r="H139" t="inlineStr">
        <is>
          <t>L-1492-352777192</t>
        </is>
      </c>
      <c r="I139" t="inlineStr">
        <is>
          <t>1085177750</t>
        </is>
      </c>
      <c r="J139" t="inlineStr">
        <is>
          <t>II 4,5e - 3</t>
        </is>
      </c>
      <c r="K139" t="inlineStr">
        <is>
          <t>II 4,5e - 3</t>
        </is>
      </c>
      <c r="L139" t="inlineStr">
        <is>
          <t>II 4,5e - 3</t>
        </is>
      </c>
      <c r="M139" t="inlineStr"/>
      <c r="N139" t="inlineStr">
        <is>
          <t>Opera</t>
        </is>
      </c>
      <c r="O139" t="inlineStr">
        <is>
          <t xml:space="preserve">[Pt. 3] : </t>
        </is>
      </c>
      <c r="P139" t="inlineStr">
        <is>
          <t>X</t>
        </is>
      </c>
      <c r="Q139" t="inlineStr"/>
      <c r="R139" t="inlineStr">
        <is>
          <t>Halbledereinband, Schließen, erhabene Buchbeschläge</t>
        </is>
      </c>
      <c r="S139" t="inlineStr">
        <is>
          <t>bis 35 cm</t>
        </is>
      </c>
      <c r="T139" t="inlineStr">
        <is>
          <t>nur sehr geringer Öffnungswinkel</t>
        </is>
      </c>
      <c r="U139" t="inlineStr">
        <is>
          <t>fester Rücken mit Schmuckprägung, welliger Buchblock, Schrift bis in den Falz, erhabene Illuminationen</t>
        </is>
      </c>
      <c r="V139" t="inlineStr">
        <is>
          <t>nicht auflegen</t>
        </is>
      </c>
      <c r="W139" t="inlineStr">
        <is>
          <t>Kassette</t>
        </is>
      </c>
      <c r="X139" t="inlineStr">
        <is>
          <t>Nein</t>
        </is>
      </c>
      <c r="Y139" t="n">
        <v>0</v>
      </c>
      <c r="Z139" t="inlineStr"/>
      <c r="AA139" t="inlineStr"/>
      <c r="AB139" t="inlineStr"/>
      <c r="AC139" t="inlineStr"/>
      <c r="AD139" t="inlineStr"/>
      <c r="AE139" t="inlineStr"/>
      <c r="AF139" t="inlineStr"/>
      <c r="AG139" t="inlineStr"/>
      <c r="AH139" t="inlineStr"/>
      <c r="AI139" t="inlineStr">
        <is>
          <t>HL</t>
        </is>
      </c>
      <c r="AJ139" t="inlineStr"/>
      <c r="AK139" t="inlineStr"/>
      <c r="AL139" t="inlineStr">
        <is>
          <t>x</t>
        </is>
      </c>
      <c r="AM139" t="inlineStr">
        <is>
          <t>f</t>
        </is>
      </c>
      <c r="AN139" t="inlineStr"/>
      <c r="AO139" t="inlineStr"/>
      <c r="AP139" t="inlineStr"/>
      <c r="AQ139" t="inlineStr"/>
      <c r="AR139" t="inlineStr"/>
      <c r="AS139" t="inlineStr">
        <is>
          <t>Pa</t>
        </is>
      </c>
      <c r="AT139" t="inlineStr"/>
      <c r="AU139" t="inlineStr"/>
      <c r="AV139" t="inlineStr"/>
      <c r="AW139" t="inlineStr"/>
      <c r="AX139" t="inlineStr">
        <is>
          <t>x</t>
        </is>
      </c>
      <c r="AY139" t="inlineStr"/>
      <c r="AZ139" t="inlineStr"/>
      <c r="BA139" t="inlineStr"/>
      <c r="BB139" t="inlineStr"/>
      <c r="BC139" t="inlineStr">
        <is>
          <t>I/R</t>
        </is>
      </c>
      <c r="BD139" t="inlineStr">
        <is>
          <t>x</t>
        </is>
      </c>
      <c r="BE139" t="n">
        <v>0</v>
      </c>
      <c r="BF139" t="inlineStr"/>
      <c r="BG139" t="n">
        <v>180</v>
      </c>
      <c r="BH139" t="inlineStr"/>
      <c r="BI139" t="inlineStr"/>
      <c r="BJ139" t="inlineStr"/>
      <c r="BK139" t="inlineStr"/>
      <c r="BL139" t="inlineStr"/>
      <c r="BM139" t="inlineStr">
        <is>
          <t>n</t>
        </is>
      </c>
      <c r="BN139" t="n">
        <v>0</v>
      </c>
      <c r="BO139" t="inlineStr"/>
      <c r="BP139" t="inlineStr">
        <is>
          <t>Wellpappe</t>
        </is>
      </c>
      <c r="BQ139" t="inlineStr"/>
      <c r="BR139" t="inlineStr"/>
      <c r="BS139" t="inlineStr"/>
      <c r="BT139" t="inlineStr"/>
      <c r="BU139" t="inlineStr"/>
      <c r="BV139" t="inlineStr">
        <is>
          <t>trotzt 180° Öffnungswinkel Textverlust (Marginalien)</t>
        </is>
      </c>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t>
        </is>
      </c>
      <c r="B140" t="b">
        <v>1</v>
      </c>
      <c r="C140" t="inlineStr"/>
      <c r="D140" t="inlineStr"/>
      <c r="E140" t="n">
        <v>142</v>
      </c>
      <c r="F140">
        <f>HYPERLINK("https://portal.dnb.de/opac.htm?method=simpleSearch&amp;cqlMode=true&amp;query=idn%3D1085177238", "Portal")</f>
        <v/>
      </c>
      <c r="G140" t="inlineStr">
        <is>
          <t>Afl</t>
        </is>
      </c>
      <c r="H140" t="inlineStr">
        <is>
          <t>L-1492-315495448</t>
        </is>
      </c>
      <c r="I140" t="inlineStr">
        <is>
          <t>1085177238</t>
        </is>
      </c>
      <c r="J140" t="inlineStr">
        <is>
          <t>II 4,5ea - Fragm.</t>
        </is>
      </c>
      <c r="K140" t="inlineStr">
        <is>
          <t>II 4,5ea - Fragm.</t>
        </is>
      </c>
      <c r="L140" t="inlineStr">
        <is>
          <t>II 4,5ea - Fragm.</t>
        </is>
      </c>
      <c r="M140" t="inlineStr"/>
      <c r="N140" t="inlineStr">
        <is>
          <t>Opera</t>
        </is>
      </c>
      <c r="O140" t="inlineStr">
        <is>
          <t xml:space="preserve">[Pt. 1] : </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t>
        </is>
      </c>
      <c r="B141" t="b">
        <v>1</v>
      </c>
      <c r="C141" t="inlineStr"/>
      <c r="D141" t="inlineStr"/>
      <c r="E141" t="n">
        <v>143</v>
      </c>
      <c r="F141">
        <f>HYPERLINK("https://portal.dnb.de/opac.htm?method=simpleSearch&amp;cqlMode=true&amp;query=idn%3D1066964734", "Portal")</f>
        <v/>
      </c>
      <c r="G141" t="inlineStr">
        <is>
          <t>Aaf</t>
        </is>
      </c>
      <c r="H141" t="inlineStr">
        <is>
          <t>L-1493-31549493X</t>
        </is>
      </c>
      <c r="I141" t="inlineStr">
        <is>
          <t>1066964734</t>
        </is>
      </c>
      <c r="J141" t="inlineStr">
        <is>
          <t>II 4,5f</t>
        </is>
      </c>
      <c r="K141" t="inlineStr">
        <is>
          <t>II 4,5f</t>
        </is>
      </c>
      <c r="L141" t="inlineStr">
        <is>
          <t>II 4,5f</t>
        </is>
      </c>
      <c r="M141" t="inlineStr"/>
      <c r="N141" t="inlineStr">
        <is>
          <t xml:space="preserve">Epistolae : </t>
        </is>
      </c>
      <c r="O141" t="inlineStr">
        <is>
          <t xml:space="preserve"> : </t>
        </is>
      </c>
      <c r="P141" t="inlineStr">
        <is>
          <t>X</t>
        </is>
      </c>
      <c r="Q141" t="inlineStr"/>
      <c r="R141" t="inlineStr">
        <is>
          <t>Halbledereinband, Schließen, erhabene Buchbeschläge</t>
        </is>
      </c>
      <c r="S141" t="inlineStr">
        <is>
          <t>bis 35 cm</t>
        </is>
      </c>
      <c r="T141" t="inlineStr">
        <is>
          <t>80° bis 110°, einseitig digitalisierbar?</t>
        </is>
      </c>
      <c r="U141" t="inlineStr">
        <is>
          <t>Schrift bis in den Falz</t>
        </is>
      </c>
      <c r="V141" t="inlineStr"/>
      <c r="W141" t="inlineStr">
        <is>
          <t>Kassette</t>
        </is>
      </c>
      <c r="X141" t="inlineStr">
        <is>
          <t>Nein</t>
        </is>
      </c>
      <c r="Y141" t="n">
        <v>0</v>
      </c>
      <c r="Z141" t="inlineStr"/>
      <c r="AA141" t="inlineStr">
        <is>
          <t>Originaleinband separat</t>
        </is>
      </c>
      <c r="AB141" t="inlineStr"/>
      <c r="AC141" t="inlineStr"/>
      <c r="AD141" t="inlineStr"/>
      <c r="AE141" t="inlineStr"/>
      <c r="AF141" t="inlineStr"/>
      <c r="AG141" t="inlineStr"/>
      <c r="AH141" t="inlineStr"/>
      <c r="AI141" t="inlineStr">
        <is>
          <t>HD</t>
        </is>
      </c>
      <c r="AJ141" t="inlineStr"/>
      <c r="AK141" t="inlineStr"/>
      <c r="AL141" t="inlineStr">
        <is>
          <t>x</t>
        </is>
      </c>
      <c r="AM141" t="inlineStr">
        <is>
          <t>f</t>
        </is>
      </c>
      <c r="AN141" t="inlineStr"/>
      <c r="AO141" t="inlineStr"/>
      <c r="AP141" t="inlineStr"/>
      <c r="AQ141" t="inlineStr"/>
      <c r="AR141" t="inlineStr"/>
      <c r="AS141" t="inlineStr">
        <is>
          <t>Pa</t>
        </is>
      </c>
      <c r="AT141" t="inlineStr"/>
      <c r="AU141" t="inlineStr"/>
      <c r="AV141" t="inlineStr"/>
      <c r="AW141" t="inlineStr"/>
      <c r="AX141" t="inlineStr">
        <is>
          <t>x</t>
        </is>
      </c>
      <c r="AY141" t="inlineStr"/>
      <c r="AZ141" t="inlineStr"/>
      <c r="BA141" t="inlineStr"/>
      <c r="BB141" t="inlineStr"/>
      <c r="BC141" t="inlineStr"/>
      <c r="BD141" t="inlineStr"/>
      <c r="BE141" t="n">
        <v>2</v>
      </c>
      <c r="BF141" t="inlineStr"/>
      <c r="BG141" t="n">
        <v>110</v>
      </c>
      <c r="BH141" t="inlineStr"/>
      <c r="BI141" t="inlineStr"/>
      <c r="BJ141" t="inlineStr"/>
      <c r="BK141" t="inlineStr"/>
      <c r="BL141" t="inlineStr"/>
      <c r="BM141" t="inlineStr">
        <is>
          <t>n</t>
        </is>
      </c>
      <c r="BN141" t="n">
        <v>0</v>
      </c>
      <c r="BO141" t="inlineStr"/>
      <c r="BP141" t="inlineStr">
        <is>
          <t>Wellpappe</t>
        </is>
      </c>
      <c r="BQ141" t="inlineStr"/>
      <c r="BR141" t="inlineStr"/>
      <c r="BS141" t="inlineStr"/>
      <c r="BT141" t="inlineStr"/>
      <c r="BU141" t="inlineStr"/>
      <c r="BV141" t="inlineStr">
        <is>
          <t>Klemmeinband in separater Box erhalten</t>
        </is>
      </c>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t>
        </is>
      </c>
      <c r="B142" t="b">
        <v>1</v>
      </c>
      <c r="C142" t="inlineStr">
        <is>
          <t>x</t>
        </is>
      </c>
      <c r="D142" t="inlineStr"/>
      <c r="E142" t="n">
        <v>144</v>
      </c>
      <c r="F142">
        <f>HYPERLINK("https://portal.dnb.de/opac.htm?method=simpleSearch&amp;cqlMode=true&amp;query=idn%3D1066971404", "Portal")</f>
        <v/>
      </c>
      <c r="G142" t="inlineStr">
        <is>
          <t>Aaf</t>
        </is>
      </c>
      <c r="H142" t="inlineStr">
        <is>
          <t>L-1496-315501774</t>
        </is>
      </c>
      <c r="I142" t="inlineStr">
        <is>
          <t>1066971404</t>
        </is>
      </c>
      <c r="J142" t="inlineStr">
        <is>
          <t>II 4,5g</t>
        </is>
      </c>
      <c r="K142" t="inlineStr">
        <is>
          <t>II 4,5g</t>
        </is>
      </c>
      <c r="L142" t="inlineStr">
        <is>
          <t>II 4,5g</t>
        </is>
      </c>
      <c r="M142" t="inlineStr"/>
      <c r="N142" t="inlineStr">
        <is>
          <t xml:space="preserve">Opera latina : </t>
        </is>
      </c>
      <c r="O142" t="inlineStr">
        <is>
          <t xml:space="preserve"> : </t>
        </is>
      </c>
      <c r="P142" t="inlineStr">
        <is>
          <t>X</t>
        </is>
      </c>
      <c r="Q142" t="inlineStr">
        <is>
          <t>3800,00 EUR</t>
        </is>
      </c>
      <c r="R142" t="inlineStr">
        <is>
          <t>Ledereinband, Schließen, erhabene Buchbeschläge</t>
        </is>
      </c>
      <c r="S142" t="inlineStr">
        <is>
          <t>bis 35 cm</t>
        </is>
      </c>
      <c r="T142" t="inlineStr">
        <is>
          <t>80° bis 110°, einseitig digitalisierbar?</t>
        </is>
      </c>
      <c r="U142" t="inlineStr">
        <is>
          <t>fester Rücken mit Schmuckprägung, welliger Buchblock, erhabene Illuminationen</t>
        </is>
      </c>
      <c r="V142" t="inlineStr">
        <is>
          <t>nicht auflegen</t>
        </is>
      </c>
      <c r="W142" t="inlineStr">
        <is>
          <t>Kassette</t>
        </is>
      </c>
      <c r="X142" t="inlineStr">
        <is>
          <t>Nein</t>
        </is>
      </c>
      <c r="Y142" t="n">
        <v>2</v>
      </c>
      <c r="Z142" t="inlineStr"/>
      <c r="AA142" t="inlineStr"/>
      <c r="AB142" t="inlineStr"/>
      <c r="AC142" t="inlineStr"/>
      <c r="AD142" t="inlineStr"/>
      <c r="AE142" t="inlineStr"/>
      <c r="AF142" t="inlineStr"/>
      <c r="AG142" t="inlineStr"/>
      <c r="AH142" t="inlineStr"/>
      <c r="AI142" t="inlineStr">
        <is>
          <t>HD</t>
        </is>
      </c>
      <c r="AJ142" t="inlineStr"/>
      <c r="AK142" t="inlineStr">
        <is>
          <t>x</t>
        </is>
      </c>
      <c r="AL142" t="inlineStr"/>
      <c r="AM142" t="inlineStr">
        <is>
          <t>f</t>
        </is>
      </c>
      <c r="AN142" t="inlineStr"/>
      <c r="AO142" t="inlineStr"/>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is>
          <t>I/R</t>
        </is>
      </c>
      <c r="BD142" t="inlineStr">
        <is>
          <t>x</t>
        </is>
      </c>
      <c r="BE142" t="inlineStr"/>
      <c r="BF142" t="inlineStr"/>
      <c r="BG142" t="n">
        <v>60</v>
      </c>
      <c r="BH142" t="inlineStr"/>
      <c r="BI142" t="inlineStr"/>
      <c r="BJ142" t="inlineStr"/>
      <c r="BK142" t="inlineStr"/>
      <c r="BL142" t="inlineStr"/>
      <c r="BM142" t="inlineStr">
        <is>
          <t>ja vor</t>
        </is>
      </c>
      <c r="BN142" t="n">
        <v>1</v>
      </c>
      <c r="BO142" t="inlineStr"/>
      <c r="BP142" t="inlineStr">
        <is>
          <t>Wellpappe</t>
        </is>
      </c>
      <c r="BQ142" t="inlineStr"/>
      <c r="BR142" t="inlineStr"/>
      <c r="BS142" t="inlineStr"/>
      <c r="BT142" t="inlineStr"/>
      <c r="BU142" t="inlineStr"/>
      <c r="BV142" t="inlineStr"/>
      <c r="BW142" t="inlineStr"/>
      <c r="BX142" t="inlineStr"/>
      <c r="BY142" t="inlineStr"/>
      <c r="BZ142" t="inlineStr"/>
      <c r="CA142" t="inlineStr">
        <is>
          <t>x</t>
        </is>
      </c>
      <c r="CB142" t="inlineStr"/>
      <c r="CC142" t="inlineStr"/>
      <c r="CD142" t="inlineStr"/>
      <c r="CE142" t="inlineStr"/>
      <c r="CF142" t="inlineStr"/>
      <c r="CG142" t="inlineStr"/>
      <c r="CH142" t="inlineStr">
        <is>
          <t>o/u</t>
        </is>
      </c>
      <c r="CI142" t="inlineStr"/>
      <c r="CJ142" t="inlineStr"/>
      <c r="CK142" t="inlineStr"/>
      <c r="CL142" t="inlineStr"/>
      <c r="CM142" t="n">
        <v>1</v>
      </c>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t>
        </is>
      </c>
      <c r="B143" t="b">
        <v>1</v>
      </c>
      <c r="C143" t="inlineStr"/>
      <c r="D143" t="inlineStr"/>
      <c r="E143" t="n">
        <v>145</v>
      </c>
      <c r="F143">
        <f>HYPERLINK("https://portal.dnb.de/opac.htm?method=simpleSearch&amp;cqlMode=true&amp;query=idn%3D1066971005", "Portal")</f>
        <v/>
      </c>
      <c r="G143" t="inlineStr">
        <is>
          <t>Aaf</t>
        </is>
      </c>
      <c r="H143" t="inlineStr">
        <is>
          <t>L-1483-315501367</t>
        </is>
      </c>
      <c r="I143" t="inlineStr">
        <is>
          <t>1066971005</t>
        </is>
      </c>
      <c r="J143" t="inlineStr">
        <is>
          <t>II 4,6a</t>
        </is>
      </c>
      <c r="K143" t="inlineStr">
        <is>
          <t>II 4,6a</t>
        </is>
      </c>
      <c r="L143" t="inlineStr">
        <is>
          <t>II 4,6a</t>
        </is>
      </c>
      <c r="M143" t="inlineStr"/>
      <c r="N143" t="inlineStr">
        <is>
          <t xml:space="preserve">De horis canonicis dicendis : </t>
        </is>
      </c>
      <c r="O143" t="inlineStr">
        <is>
          <t xml:space="preserve"> : </t>
        </is>
      </c>
      <c r="P143" t="inlineStr">
        <is>
          <t>X</t>
        </is>
      </c>
      <c r="Q143" t="inlineStr"/>
      <c r="R143" t="inlineStr">
        <is>
          <t>Halbledereinband, Schließen, erhabene Buchbeschläge</t>
        </is>
      </c>
      <c r="S143" t="inlineStr">
        <is>
          <t>bis 25 cm</t>
        </is>
      </c>
      <c r="T143" t="inlineStr">
        <is>
          <t>80° bis 110°, einseitig digitalisierbar?</t>
        </is>
      </c>
      <c r="U143" t="inlineStr">
        <is>
          <t>hohler Rücken, erhabene Illuminationen</t>
        </is>
      </c>
      <c r="V143" t="inlineStr">
        <is>
          <t>nicht auflegen</t>
        </is>
      </c>
      <c r="W143" t="inlineStr">
        <is>
          <t>Kassette</t>
        </is>
      </c>
      <c r="X143" t="inlineStr">
        <is>
          <t>Nein</t>
        </is>
      </c>
      <c r="Y143" t="n">
        <v>2</v>
      </c>
      <c r="Z143" t="inlineStr"/>
      <c r="AA143" t="inlineStr"/>
      <c r="AB143" t="inlineStr"/>
      <c r="AC143" t="inlineStr"/>
      <c r="AD143" t="inlineStr"/>
      <c r="AE143" t="inlineStr"/>
      <c r="AF143" t="inlineStr"/>
      <c r="AG143" t="inlineStr"/>
      <c r="AH143" t="inlineStr"/>
      <c r="AI143" t="inlineStr">
        <is>
          <t>HL</t>
        </is>
      </c>
      <c r="AJ143" t="inlineStr"/>
      <c r="AK143" t="inlineStr">
        <is>
          <t>x</t>
        </is>
      </c>
      <c r="AL143" t="inlineStr"/>
      <c r="AM143" t="inlineStr">
        <is>
          <t>h/E</t>
        </is>
      </c>
      <c r="AN143" t="inlineStr"/>
      <c r="AO143" t="inlineStr"/>
      <c r="AP143" t="inlineStr"/>
      <c r="AQ143" t="inlineStr"/>
      <c r="AR143" t="inlineStr"/>
      <c r="AS143" t="inlineStr">
        <is>
          <t>Pa</t>
        </is>
      </c>
      <c r="AT143" t="inlineStr">
        <is>
          <t>x</t>
        </is>
      </c>
      <c r="AU143" t="inlineStr"/>
      <c r="AV143" t="inlineStr"/>
      <c r="AW143" t="inlineStr"/>
      <c r="AX143" t="inlineStr"/>
      <c r="AY143" t="inlineStr"/>
      <c r="AZ143" t="inlineStr"/>
      <c r="BA143" t="inlineStr"/>
      <c r="BB143" t="inlineStr"/>
      <c r="BC143" t="inlineStr">
        <is>
          <t>I/R</t>
        </is>
      </c>
      <c r="BD143" t="inlineStr">
        <is>
          <t>x</t>
        </is>
      </c>
      <c r="BE143" t="inlineStr"/>
      <c r="BF143" t="inlineStr"/>
      <c r="BG143" t="n">
        <v>180</v>
      </c>
      <c r="BH143" t="inlineStr"/>
      <c r="BI143" t="inlineStr"/>
      <c r="BJ143" t="inlineStr"/>
      <c r="BK143" t="inlineStr"/>
      <c r="BL143" t="inlineStr"/>
      <c r="BM143" t="inlineStr">
        <is>
          <t>n</t>
        </is>
      </c>
      <c r="BN143" t="n">
        <v>0</v>
      </c>
      <c r="BO143" t="inlineStr"/>
      <c r="BP143" t="inlineStr">
        <is>
          <t>Wellpappe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t>
        </is>
      </c>
      <c r="B144" t="b">
        <v>1</v>
      </c>
      <c r="C144" t="inlineStr">
        <is>
          <t>x</t>
        </is>
      </c>
      <c r="D144" t="inlineStr"/>
      <c r="E144" t="n">
        <v>146</v>
      </c>
      <c r="F144">
        <f>HYPERLINK("https://portal.dnb.de/opac.htm?method=simpleSearch&amp;cqlMode=true&amp;query=idn%3D1066971552", "Portal")</f>
        <v/>
      </c>
      <c r="G144" t="inlineStr">
        <is>
          <t>Aa</t>
        </is>
      </c>
      <c r="H144" t="inlineStr">
        <is>
          <t>L-1486-315501936</t>
        </is>
      </c>
      <c r="I144" t="inlineStr">
        <is>
          <t>1066971552</t>
        </is>
      </c>
      <c r="J144" t="inlineStr">
        <is>
          <t>II 4,7a</t>
        </is>
      </c>
      <c r="K144" t="inlineStr">
        <is>
          <t>II 4,7a</t>
        </is>
      </c>
      <c r="L144" t="inlineStr">
        <is>
          <t>II 4,7a</t>
        </is>
      </c>
      <c r="M144" t="inlineStr"/>
      <c r="N144" t="inlineStr">
        <is>
          <t xml:space="preserve">Sententiarum libri IV : </t>
        </is>
      </c>
      <c r="O144" t="inlineStr">
        <is>
          <t xml:space="preserve"> : </t>
        </is>
      </c>
      <c r="P144" t="inlineStr">
        <is>
          <t>X</t>
        </is>
      </c>
      <c r="Q144" t="inlineStr">
        <is>
          <t>8000,00 EUR</t>
        </is>
      </c>
      <c r="R144" t="inlineStr">
        <is>
          <t>Ledereinband, Schließen, erhabene Buchbeschläge</t>
        </is>
      </c>
      <c r="S144" t="inlineStr">
        <is>
          <t>bis 35 cm</t>
        </is>
      </c>
      <c r="T144" t="inlineStr">
        <is>
          <t>80° bis 110°, einseitig digitalisierbar?</t>
        </is>
      </c>
      <c r="U144" t="inlineStr">
        <is>
          <t>fester Rücken mit Schmuckprägung, welliger Buchblock, Schrift bis in den Falz, stark brüchiges Einbandmaterial, erhabene Illuminationen</t>
        </is>
      </c>
      <c r="V144" t="inlineStr">
        <is>
          <t>nicht auflegen</t>
        </is>
      </c>
      <c r="W144" t="inlineStr">
        <is>
          <t>Kassette</t>
        </is>
      </c>
      <c r="X144" t="inlineStr">
        <is>
          <t>Nein</t>
        </is>
      </c>
      <c r="Y144" t="n">
        <v>3</v>
      </c>
      <c r="Z144" t="inlineStr"/>
      <c r="AA144" t="inlineStr"/>
      <c r="AB144" t="inlineStr"/>
      <c r="AC144" t="inlineStr"/>
      <c r="AD144" t="inlineStr"/>
      <c r="AE144" t="inlineStr"/>
      <c r="AF144" t="inlineStr"/>
      <c r="AG144" t="inlineStr"/>
      <c r="AH144" t="inlineStr"/>
      <c r="AI144" t="inlineStr">
        <is>
          <t>HL</t>
        </is>
      </c>
      <c r="AJ144" t="inlineStr"/>
      <c r="AK144" t="inlineStr">
        <is>
          <t>x</t>
        </is>
      </c>
      <c r="AL144" t="inlineStr"/>
      <c r="AM144" t="inlineStr">
        <is>
          <t>f/V</t>
        </is>
      </c>
      <c r="AN144" t="inlineStr"/>
      <c r="AO144" t="inlineStr">
        <is>
          <t>x</t>
        </is>
      </c>
      <c r="AP144" t="inlineStr"/>
      <c r="AQ144" t="inlineStr"/>
      <c r="AR144" t="inlineStr"/>
      <c r="AS144" t="inlineStr">
        <is>
          <t>Pa</t>
        </is>
      </c>
      <c r="AT144" t="inlineStr"/>
      <c r="AU144" t="inlineStr"/>
      <c r="AV144" t="inlineStr"/>
      <c r="AW144" t="inlineStr">
        <is>
          <t>x</t>
        </is>
      </c>
      <c r="AX144" t="inlineStr"/>
      <c r="AY144" t="inlineStr"/>
      <c r="AZ144" t="inlineStr"/>
      <c r="BA144" t="inlineStr"/>
      <c r="BB144" t="inlineStr"/>
      <c r="BC144" t="inlineStr"/>
      <c r="BD144" t="inlineStr"/>
      <c r="BE144" t="inlineStr"/>
      <c r="BF144" t="inlineStr"/>
      <c r="BG144" t="inlineStr">
        <is>
          <t>max 60</t>
        </is>
      </c>
      <c r="BH144" t="inlineStr"/>
      <c r="BI144" t="inlineStr"/>
      <c r="BJ144" t="inlineStr"/>
      <c r="BK144" t="inlineStr"/>
      <c r="BL144" t="inlineStr"/>
      <c r="BM144" t="inlineStr">
        <is>
          <t>ja vor</t>
        </is>
      </c>
      <c r="BN144" t="n">
        <v>1</v>
      </c>
      <c r="BO144" t="inlineStr"/>
      <c r="BP144" t="inlineStr">
        <is>
          <t>Wellpappe</t>
        </is>
      </c>
      <c r="BQ144" t="inlineStr"/>
      <c r="BR144" t="inlineStr"/>
      <c r="BS144" t="inlineStr"/>
      <c r="BT144" t="inlineStr"/>
      <c r="BU144" t="inlineStr"/>
      <c r="BV144" t="inlineStr"/>
      <c r="BW144" t="inlineStr"/>
      <c r="BX144" t="inlineStr"/>
      <c r="BY144" t="inlineStr">
        <is>
          <t>Umschlag (Leder pudert)</t>
        </is>
      </c>
      <c r="BZ144" t="inlineStr"/>
      <c r="CA144" t="inlineStr">
        <is>
          <t>x</t>
        </is>
      </c>
      <c r="CB144" t="inlineStr">
        <is>
          <t>x</t>
        </is>
      </c>
      <c r="CC144" t="inlineStr"/>
      <c r="CD144" t="inlineStr">
        <is>
          <t>v</t>
        </is>
      </c>
      <c r="CE144" t="inlineStr"/>
      <c r="CF144" t="inlineStr"/>
      <c r="CG144" t="inlineStr"/>
      <c r="CH144" t="inlineStr"/>
      <c r="CI144" t="inlineStr"/>
      <c r="CJ144" t="inlineStr"/>
      <c r="CK144" t="inlineStr"/>
      <c r="CL144" t="inlineStr"/>
      <c r="CM144" t="n">
        <v>1</v>
      </c>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t>
        </is>
      </c>
      <c r="B145" t="b">
        <v>1</v>
      </c>
      <c r="C145" t="inlineStr">
        <is>
          <t>x</t>
        </is>
      </c>
      <c r="D145" t="inlineStr"/>
      <c r="E145" t="inlineStr"/>
      <c r="F145">
        <f>HYPERLINK("https://portal.dnb.de/opac.htm?method=simpleSearch&amp;cqlMode=true&amp;query=idn%3D1268958956", "Portal")</f>
        <v/>
      </c>
      <c r="G145" t="inlineStr">
        <is>
          <t>Qd</t>
        </is>
      </c>
      <c r="H145" t="inlineStr">
        <is>
          <t>L-1486-834341662</t>
        </is>
      </c>
      <c r="I145" t="inlineStr">
        <is>
          <t>1268958956</t>
        </is>
      </c>
      <c r="J145" t="inlineStr">
        <is>
          <t>II 4,7b</t>
        </is>
      </c>
      <c r="K145" t="inlineStr">
        <is>
          <t>II 4,7b</t>
        </is>
      </c>
      <c r="L145" t="inlineStr">
        <is>
          <t>II 4,7b</t>
        </is>
      </c>
      <c r="M145" t="inlineStr"/>
      <c r="N145" t="inlineStr">
        <is>
          <t xml:space="preserve">Sammelband mit zwei Inkunabeln : </t>
        </is>
      </c>
      <c r="O145" t="inlineStr">
        <is>
          <t xml:space="preserve"> : </t>
        </is>
      </c>
      <c r="P145" t="inlineStr">
        <is>
          <t>X</t>
        </is>
      </c>
      <c r="Q145" t="inlineStr"/>
      <c r="R145" t="inlineStr">
        <is>
          <t>Halbledereinband, Schließen, erhabene Buchbeschläge</t>
        </is>
      </c>
      <c r="S145" t="inlineStr">
        <is>
          <t>bis 35 cm</t>
        </is>
      </c>
      <c r="T145" t="inlineStr">
        <is>
          <t>nur sehr geringer Öffnungswinkel</t>
        </is>
      </c>
      <c r="U145" t="inlineStr">
        <is>
          <t>hohler Rücken, welliger Buchblock, erhabene Illuminationen</t>
        </is>
      </c>
      <c r="V145" t="inlineStr">
        <is>
          <t>nicht auflegen</t>
        </is>
      </c>
      <c r="W145" t="inlineStr">
        <is>
          <t>Kassette</t>
        </is>
      </c>
      <c r="X145" t="inlineStr">
        <is>
          <t>Nein</t>
        </is>
      </c>
      <c r="Y145" t="n">
        <v>1</v>
      </c>
      <c r="Z145" t="inlineStr"/>
      <c r="AA145" t="inlineStr"/>
      <c r="AB145" t="inlineStr"/>
      <c r="AC145" t="inlineStr"/>
      <c r="AD145" t="inlineStr"/>
      <c r="AE145" t="inlineStr"/>
      <c r="AF145" t="inlineStr"/>
      <c r="AG145" t="inlineStr"/>
      <c r="AH145" t="inlineStr"/>
      <c r="AI145" t="inlineStr">
        <is>
          <t>HD</t>
        </is>
      </c>
      <c r="AJ145" t="inlineStr"/>
      <c r="AK145" t="inlineStr">
        <is>
          <t>x</t>
        </is>
      </c>
      <c r="AL145" t="inlineStr"/>
      <c r="AM145" t="inlineStr">
        <is>
          <t>f/V</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is>
          <t>I/R</t>
        </is>
      </c>
      <c r="BD145" t="inlineStr">
        <is>
          <t>x</t>
        </is>
      </c>
      <c r="BE145" t="inlineStr"/>
      <c r="BF145" t="inlineStr"/>
      <c r="BG145" t="n">
        <v>45</v>
      </c>
      <c r="BH145" t="inlineStr"/>
      <c r="BI145" t="inlineStr"/>
      <c r="BJ145" t="inlineStr"/>
      <c r="BK145" t="inlineStr"/>
      <c r="BL145" t="inlineStr"/>
      <c r="BM145" t="inlineStr">
        <is>
          <t>ja vor</t>
        </is>
      </c>
      <c r="BN145" t="n">
        <v>0.5</v>
      </c>
      <c r="BO145" t="inlineStr"/>
      <c r="BP145" t="inlineStr">
        <is>
          <t>Wellpappe</t>
        </is>
      </c>
      <c r="BQ145" t="inlineStr"/>
      <c r="BR145" t="inlineStr"/>
      <c r="BS145" t="inlineStr"/>
      <c r="BT145" t="inlineStr"/>
      <c r="BU145" t="inlineStr"/>
      <c r="BV145" t="inlineStr"/>
      <c r="BW145" t="inlineStr"/>
      <c r="BX145" t="inlineStr"/>
      <c r="BY145" t="inlineStr"/>
      <c r="BZ145" t="inlineStr"/>
      <c r="CA145" t="inlineStr"/>
      <c r="CB145" t="inlineStr">
        <is>
          <t>x</t>
        </is>
      </c>
      <c r="CC145" t="inlineStr"/>
      <c r="CD145" t="inlineStr"/>
      <c r="CE145" t="inlineStr"/>
      <c r="CF145" t="inlineStr"/>
      <c r="CG145" t="inlineStr"/>
      <c r="CH145" t="inlineStr"/>
      <c r="CI145" t="inlineStr"/>
      <c r="CJ145" t="inlineStr"/>
      <c r="CK145" t="inlineStr"/>
      <c r="CL145" t="inlineStr"/>
      <c r="CM145" t="n">
        <v>0.5</v>
      </c>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t>
        </is>
      </c>
      <c r="B146" t="b">
        <v>0</v>
      </c>
      <c r="C146" t="inlineStr"/>
      <c r="D146" t="inlineStr"/>
      <c r="E146" t="n">
        <v>148</v>
      </c>
      <c r="F146">
        <f>HYPERLINK("https://portal.dnb.de/opac.htm?method=simpleSearch&amp;cqlMode=true&amp;query=idn%3D1168282241", "Portal")</f>
        <v/>
      </c>
      <c r="G146" t="inlineStr">
        <is>
          <t>Aa</t>
        </is>
      </c>
      <c r="H146" t="inlineStr">
        <is>
          <t>L-1486-465330959</t>
        </is>
      </c>
      <c r="I146" t="inlineStr">
        <is>
          <t>1168282241</t>
        </is>
      </c>
      <c r="J146" t="inlineStr">
        <is>
          <t>II 4,7b (angebunden)</t>
        </is>
      </c>
      <c r="K146" t="inlineStr"/>
      <c r="L146" t="inlineStr">
        <is>
          <t>II 4,7b (angebunden)</t>
        </is>
      </c>
      <c r="M146" t="inlineStr">
        <is>
          <t>?? Ist eigenes Buch.</t>
        </is>
      </c>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t>
        </is>
      </c>
      <c r="B147" t="b">
        <v>1</v>
      </c>
      <c r="C147" t="inlineStr"/>
      <c r="D147" t="inlineStr"/>
      <c r="E147" t="n">
        <v>149</v>
      </c>
      <c r="F147">
        <f>HYPERLINK("https://portal.dnb.de/opac.htm?method=simpleSearch&amp;cqlMode=true&amp;query=idn%3D1066966486", "Portal")</f>
        <v/>
      </c>
      <c r="G147" t="inlineStr">
        <is>
          <t>Aaf</t>
        </is>
      </c>
      <c r="H147" t="inlineStr">
        <is>
          <t>L-1487-315496770</t>
        </is>
      </c>
      <c r="I147" t="inlineStr">
        <is>
          <t>1066966486</t>
        </is>
      </c>
      <c r="J147" t="inlineStr">
        <is>
          <t>II 4,7c</t>
        </is>
      </c>
      <c r="K147" t="inlineStr">
        <is>
          <t>II 4,7c</t>
        </is>
      </c>
      <c r="L147" t="inlineStr">
        <is>
          <t>II 4,7c</t>
        </is>
      </c>
      <c r="M147" t="inlineStr"/>
      <c r="N147" t="inlineStr">
        <is>
          <t xml:space="preserve">Biblia, lat. : </t>
        </is>
      </c>
      <c r="O147" t="inlineStr">
        <is>
          <t xml:space="preserve"> : </t>
        </is>
      </c>
      <c r="P147" t="inlineStr">
        <is>
          <t>X</t>
        </is>
      </c>
      <c r="Q147" t="inlineStr"/>
      <c r="R147" t="inlineStr">
        <is>
          <t>Ledereinband, Schließen, erhabene Buchbeschläge</t>
        </is>
      </c>
      <c r="S147" t="inlineStr">
        <is>
          <t>bis 35 cm</t>
        </is>
      </c>
      <c r="T147" t="inlineStr">
        <is>
          <t>nur sehr geringer Öffnungswinkel</t>
        </is>
      </c>
      <c r="U147" t="inlineStr">
        <is>
          <t>fester Rücken mit Schmuckprägung, welliger Buchblock, Schrift bis in den Falz, erhabene Illuminationen, stark brüchiges Einbandmaterial</t>
        </is>
      </c>
      <c r="V147" t="inlineStr">
        <is>
          <t>nicht auflegen</t>
        </is>
      </c>
      <c r="W147" t="inlineStr">
        <is>
          <t>Kassette</t>
        </is>
      </c>
      <c r="X147" t="inlineStr">
        <is>
          <t>Nein</t>
        </is>
      </c>
      <c r="Y147" t="n">
        <v>3</v>
      </c>
      <c r="Z147" t="inlineStr"/>
      <c r="AA147" t="inlineStr"/>
      <c r="AB147" t="inlineStr"/>
      <c r="AC147" t="inlineStr"/>
      <c r="AD147" t="inlineStr"/>
      <c r="AE147" t="inlineStr"/>
      <c r="AF147" t="inlineStr"/>
      <c r="AG147" t="inlineStr"/>
      <c r="AH147" t="inlineStr"/>
      <c r="AI147" t="inlineStr">
        <is>
          <t>HL</t>
        </is>
      </c>
      <c r="AJ147" t="inlineStr"/>
      <c r="AK147" t="inlineStr">
        <is>
          <t>x</t>
        </is>
      </c>
      <c r="AL147" t="inlineStr"/>
      <c r="AM147" t="inlineStr">
        <is>
          <t>f/V</t>
        </is>
      </c>
      <c r="AN147" t="inlineStr"/>
      <c r="AO147" t="inlineStr"/>
      <c r="AP147" t="inlineStr"/>
      <c r="AQ147" t="inlineStr"/>
      <c r="AR147" t="inlineStr"/>
      <c r="AS147" t="inlineStr">
        <is>
          <t>Pa</t>
        </is>
      </c>
      <c r="AT147" t="inlineStr"/>
      <c r="AU147" t="inlineStr"/>
      <c r="AV147" t="inlineStr"/>
      <c r="AW147" t="inlineStr"/>
      <c r="AX147" t="inlineStr">
        <is>
          <t>x</t>
        </is>
      </c>
      <c r="AY147" t="inlineStr"/>
      <c r="AZ147" t="inlineStr"/>
      <c r="BA147" t="inlineStr"/>
      <c r="BB147" t="inlineStr"/>
      <c r="BC147" t="inlineStr">
        <is>
          <t>I</t>
        </is>
      </c>
      <c r="BD147" t="inlineStr">
        <is>
          <t>x</t>
        </is>
      </c>
      <c r="BE147" t="n">
        <v>4</v>
      </c>
      <c r="BF147" t="inlineStr"/>
      <c r="BG147" t="inlineStr">
        <is>
          <t>max 110</t>
        </is>
      </c>
      <c r="BH147" t="inlineStr"/>
      <c r="BI147" t="inlineStr"/>
      <c r="BJ147" t="inlineStr"/>
      <c r="BK147" t="inlineStr"/>
      <c r="BL147" t="inlineStr"/>
      <c r="BM147" t="inlineStr">
        <is>
          <t>n</t>
        </is>
      </c>
      <c r="BN147" t="n">
        <v>0</v>
      </c>
      <c r="BO147" t="inlineStr"/>
      <c r="BP147" t="inlineStr">
        <is>
          <t>Wellpappe</t>
        </is>
      </c>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t>
        </is>
      </c>
      <c r="B148" t="b">
        <v>1</v>
      </c>
      <c r="C148" t="inlineStr">
        <is>
          <t>x</t>
        </is>
      </c>
      <c r="D148" t="inlineStr"/>
      <c r="E148" t="n">
        <v>150</v>
      </c>
      <c r="F148">
        <f>HYPERLINK("https://portal.dnb.de/opac.htm?method=simpleSearch&amp;cqlMode=true&amp;query=idn%3D1066966060", "Portal")</f>
        <v/>
      </c>
      <c r="G148" t="inlineStr">
        <is>
          <t>Aaf</t>
        </is>
      </c>
      <c r="H148" t="inlineStr">
        <is>
          <t>L-1489-315496363</t>
        </is>
      </c>
      <c r="I148" t="inlineStr">
        <is>
          <t>1066966060</t>
        </is>
      </c>
      <c r="J148" t="inlineStr">
        <is>
          <t>II 4,7d</t>
        </is>
      </c>
      <c r="K148" t="inlineStr">
        <is>
          <t>II 4,7d</t>
        </is>
      </c>
      <c r="L148" t="inlineStr">
        <is>
          <t>II 4,7d</t>
        </is>
      </c>
      <c r="M148" t="inlineStr"/>
      <c r="N148" t="inlineStr">
        <is>
          <t xml:space="preserve">Casus decretorum : </t>
        </is>
      </c>
      <c r="O148" t="inlineStr">
        <is>
          <t xml:space="preserve"> : </t>
        </is>
      </c>
      <c r="P148" t="inlineStr">
        <is>
          <t>X</t>
        </is>
      </c>
      <c r="Q148" t="inlineStr">
        <is>
          <t>6875,00 USD</t>
        </is>
      </c>
      <c r="R148" t="inlineStr">
        <is>
          <t>Halbledereinband, Schließen, erhabene Buchbeschläge</t>
        </is>
      </c>
      <c r="S148" t="inlineStr">
        <is>
          <t>bis 35 cm</t>
        </is>
      </c>
      <c r="T148" t="inlineStr">
        <is>
          <t>80° bis 110°, einseitig digitalisierbar?</t>
        </is>
      </c>
      <c r="U148" t="inlineStr">
        <is>
          <t>fester Rücken mit Schmuckprägung, welliger Buchblock, stark brüchiges Einbandmaterial, erhabene Illuminationen</t>
        </is>
      </c>
      <c r="V148" t="inlineStr">
        <is>
          <t>nicht auflegen</t>
        </is>
      </c>
      <c r="W148" t="inlineStr">
        <is>
          <t>Kassette</t>
        </is>
      </c>
      <c r="X148" t="inlineStr">
        <is>
          <t>Nein</t>
        </is>
      </c>
      <c r="Y148" t="n">
        <v>3</v>
      </c>
      <c r="Z148" t="inlineStr"/>
      <c r="AA148" t="inlineStr"/>
      <c r="AB148" t="inlineStr"/>
      <c r="AC148" t="inlineStr"/>
      <c r="AD148" t="inlineStr"/>
      <c r="AE148" t="inlineStr"/>
      <c r="AF148" t="inlineStr"/>
      <c r="AG148" t="inlineStr"/>
      <c r="AH148" t="inlineStr"/>
      <c r="AI148" t="inlineStr">
        <is>
          <t>HD</t>
        </is>
      </c>
      <c r="AJ148" t="inlineStr"/>
      <c r="AK148" t="inlineStr">
        <is>
          <t>x</t>
        </is>
      </c>
      <c r="AL148" t="inlineStr"/>
      <c r="AM148" t="inlineStr">
        <is>
          <t>f/V</t>
        </is>
      </c>
      <c r="AN148" t="inlineStr"/>
      <c r="AO148" t="inlineStr">
        <is>
          <t>x</t>
        </is>
      </c>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is>
          <t>I/R</t>
        </is>
      </c>
      <c r="BD148" t="inlineStr">
        <is>
          <t>x</t>
        </is>
      </c>
      <c r="BE148" t="inlineStr"/>
      <c r="BF148" t="inlineStr"/>
      <c r="BG148" t="inlineStr">
        <is>
          <t>max 60</t>
        </is>
      </c>
      <c r="BH148" t="inlineStr"/>
      <c r="BI148" t="inlineStr"/>
      <c r="BJ148" t="inlineStr"/>
      <c r="BK148" t="inlineStr"/>
      <c r="BL148" t="inlineStr"/>
      <c r="BM148" t="inlineStr">
        <is>
          <t>ja vor</t>
        </is>
      </c>
      <c r="BN148" t="n">
        <v>1</v>
      </c>
      <c r="BO148" t="inlineStr"/>
      <c r="BP148" t="inlineStr">
        <is>
          <t>Wellpappe</t>
        </is>
      </c>
      <c r="BQ148" t="inlineStr"/>
      <c r="BR148" t="inlineStr"/>
      <c r="BS148" t="inlineStr"/>
      <c r="BT148" t="inlineStr"/>
      <c r="BU148" t="inlineStr"/>
      <c r="BV148" t="inlineStr"/>
      <c r="BW148" t="inlineStr"/>
      <c r="BX148" t="inlineStr"/>
      <c r="BY148" t="inlineStr">
        <is>
          <t>Umschlag (Leder pudert)</t>
        </is>
      </c>
      <c r="BZ148" t="inlineStr"/>
      <c r="CA148" t="inlineStr">
        <is>
          <t>x</t>
        </is>
      </c>
      <c r="CB148" t="inlineStr">
        <is>
          <t>x</t>
        </is>
      </c>
      <c r="CC148" t="inlineStr"/>
      <c r="CD148" t="inlineStr">
        <is>
          <t>v</t>
        </is>
      </c>
      <c r="CE148" t="inlineStr"/>
      <c r="CF148" t="inlineStr"/>
      <c r="CG148" t="inlineStr"/>
      <c r="CH148" t="inlineStr"/>
      <c r="CI148" t="inlineStr"/>
      <c r="CJ148" t="inlineStr"/>
      <c r="CK148" t="inlineStr"/>
      <c r="CL148" t="inlineStr"/>
      <c r="CM148" t="n">
        <v>1</v>
      </c>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t>
        </is>
      </c>
      <c r="B149" t="b">
        <v>1</v>
      </c>
      <c r="C149" t="inlineStr"/>
      <c r="D149" t="inlineStr"/>
      <c r="E149" t="n">
        <v>151</v>
      </c>
      <c r="F149">
        <f>HYPERLINK("https://portal.dnb.de/opac.htm?method=simpleSearch&amp;cqlMode=true&amp;query=idn%3D1066971560", "Portal")</f>
        <v/>
      </c>
      <c r="G149" t="inlineStr">
        <is>
          <t>Aa</t>
        </is>
      </c>
      <c r="H149" t="inlineStr">
        <is>
          <t>L-1489-315501944</t>
        </is>
      </c>
      <c r="I149" t="inlineStr">
        <is>
          <t>1066971560</t>
        </is>
      </c>
      <c r="J149" t="inlineStr">
        <is>
          <t>II 4,7e</t>
        </is>
      </c>
      <c r="K149" t="inlineStr">
        <is>
          <t>II 4,7e</t>
        </is>
      </c>
      <c r="L149" t="inlineStr">
        <is>
          <t>II 4,7e</t>
        </is>
      </c>
      <c r="M149" t="inlineStr"/>
      <c r="N149" t="inlineStr">
        <is>
          <t xml:space="preserve">Sententiarum libri IV : </t>
        </is>
      </c>
      <c r="O149" t="inlineStr">
        <is>
          <t xml:space="preserve"> : </t>
        </is>
      </c>
      <c r="P149" t="inlineStr">
        <is>
          <t>X</t>
        </is>
      </c>
      <c r="Q149" t="inlineStr"/>
      <c r="R149" t="inlineStr">
        <is>
          <t>Ledereinband, Schließen, erhabene Buchbeschläge</t>
        </is>
      </c>
      <c r="S149" t="inlineStr">
        <is>
          <t>bis 35 cm</t>
        </is>
      </c>
      <c r="T149" t="inlineStr">
        <is>
          <t>80° bis 110°, einseitig digitalisierbar?</t>
        </is>
      </c>
      <c r="U149" t="inlineStr">
        <is>
          <t>fester Rücken mit Schmuckprägung, welliger Buchblock, erhabene Illuminationen, Schrift bis in den Falz</t>
        </is>
      </c>
      <c r="V149" t="inlineStr">
        <is>
          <t>nicht auflegen</t>
        </is>
      </c>
      <c r="W149" t="inlineStr">
        <is>
          <t>Kassette</t>
        </is>
      </c>
      <c r="X149" t="inlineStr">
        <is>
          <t>Nein</t>
        </is>
      </c>
      <c r="Y149" t="n">
        <v>2</v>
      </c>
      <c r="Z149" t="inlineStr"/>
      <c r="AA149" t="inlineStr"/>
      <c r="AB149" t="inlineStr"/>
      <c r="AC149" t="inlineStr"/>
      <c r="AD149" t="inlineStr"/>
      <c r="AE149" t="inlineStr"/>
      <c r="AF149" t="inlineStr"/>
      <c r="AG149" t="inlineStr"/>
      <c r="AH149" t="inlineStr"/>
      <c r="AI149" t="inlineStr">
        <is>
          <t>HD</t>
        </is>
      </c>
      <c r="AJ149" t="inlineStr"/>
      <c r="AK149" t="inlineStr">
        <is>
          <t>x</t>
        </is>
      </c>
      <c r="AL149" t="inlineStr"/>
      <c r="AM149" t="inlineStr">
        <is>
          <t>f/V</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is>
          <t>I/R</t>
        </is>
      </c>
      <c r="BD149" t="inlineStr">
        <is>
          <t>x</t>
        </is>
      </c>
      <c r="BE149" t="n">
        <v>4</v>
      </c>
      <c r="BF149" t="inlineStr"/>
      <c r="BG149" t="n">
        <v>80</v>
      </c>
      <c r="BH149" t="inlineStr"/>
      <c r="BI149" t="inlineStr"/>
      <c r="BJ149" t="inlineStr"/>
      <c r="BK149" t="inlineStr"/>
      <c r="BL149" t="inlineStr"/>
      <c r="BM149" t="inlineStr">
        <is>
          <t>n</t>
        </is>
      </c>
      <c r="BN149" t="n">
        <v>0</v>
      </c>
      <c r="BO149" t="inlineStr"/>
      <c r="BP149" t="inlineStr">
        <is>
          <t>Wellpappe</t>
        </is>
      </c>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t>
        </is>
      </c>
      <c r="B150" t="b">
        <v>1</v>
      </c>
      <c r="C150" t="inlineStr">
        <is>
          <t>x</t>
        </is>
      </c>
      <c r="D150" t="inlineStr"/>
      <c r="E150" t="n">
        <v>152</v>
      </c>
      <c r="F150">
        <f>HYPERLINK("https://portal.dnb.de/opac.htm?method=simpleSearch&amp;cqlMode=true&amp;query=idn%3D1066972559", "Portal")</f>
        <v/>
      </c>
      <c r="G150" t="inlineStr">
        <is>
          <t>Aaf</t>
        </is>
      </c>
      <c r="H150" t="inlineStr">
        <is>
          <t>L-1492-315502975</t>
        </is>
      </c>
      <c r="I150" t="inlineStr">
        <is>
          <t>1066972559</t>
        </is>
      </c>
      <c r="J150" t="inlineStr">
        <is>
          <t>II 4,7f</t>
        </is>
      </c>
      <c r="K150" t="inlineStr">
        <is>
          <t>II 4,7f</t>
        </is>
      </c>
      <c r="L150" t="inlineStr">
        <is>
          <t>II 4,7f</t>
        </is>
      </c>
      <c r="M150" t="inlineStr"/>
      <c r="N150" t="inlineStr">
        <is>
          <t xml:space="preserve">Scripta ad Hanibaldum episcopum super quattuor libros Sententiarum : </t>
        </is>
      </c>
      <c r="O150" t="inlineStr">
        <is>
          <t xml:space="preserve"> : </t>
        </is>
      </c>
      <c r="P150" t="inlineStr">
        <is>
          <t>X</t>
        </is>
      </c>
      <c r="Q150" t="inlineStr">
        <is>
          <t>4500,00 EUR</t>
        </is>
      </c>
      <c r="R150" t="inlineStr">
        <is>
          <t>Halbledereinband, Schließen, erhabene Buchbeschläge</t>
        </is>
      </c>
      <c r="S150" t="inlineStr">
        <is>
          <t>bis 35 cm</t>
        </is>
      </c>
      <c r="T150" t="inlineStr">
        <is>
          <t>80° bis 110°, einseitig digitalisierbar?</t>
        </is>
      </c>
      <c r="U150" t="inlineStr">
        <is>
          <t>fester Rücken mit Schmuckprägung, welliger Buchblock, Schrift bis in den Falz, stark brüchiges Einbandmaterial, erhabene Illuminationen</t>
        </is>
      </c>
      <c r="V150" t="inlineStr">
        <is>
          <t>nicht auflegen</t>
        </is>
      </c>
      <c r="W150" t="inlineStr">
        <is>
          <t>Kassette</t>
        </is>
      </c>
      <c r="X150" t="inlineStr">
        <is>
          <t>Nein</t>
        </is>
      </c>
      <c r="Y150" t="n">
        <v>3</v>
      </c>
      <c r="Z150" t="inlineStr"/>
      <c r="AA150" t="inlineStr"/>
      <c r="AB150" t="inlineStr"/>
      <c r="AC150" t="inlineStr"/>
      <c r="AD150" t="inlineStr"/>
      <c r="AE150" t="inlineStr"/>
      <c r="AF150" t="inlineStr"/>
      <c r="AG150" t="inlineStr"/>
      <c r="AH150" t="inlineStr"/>
      <c r="AI150" t="inlineStr">
        <is>
          <t>HL</t>
        </is>
      </c>
      <c r="AJ150" t="inlineStr"/>
      <c r="AK150" t="inlineStr">
        <is>
          <t>x</t>
        </is>
      </c>
      <c r="AL150" t="inlineStr"/>
      <c r="AM150" t="inlineStr">
        <is>
          <t>h/E</t>
        </is>
      </c>
      <c r="AN150" t="inlineStr"/>
      <c r="AO150" t="inlineStr">
        <is>
          <t>x</t>
        </is>
      </c>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0.5</v>
      </c>
      <c r="BO150" t="inlineStr"/>
      <c r="BP150" t="inlineStr">
        <is>
          <t>Wellpappe</t>
        </is>
      </c>
      <c r="BQ150" t="inlineStr"/>
      <c r="BR150" t="inlineStr"/>
      <c r="BS150" t="inlineStr"/>
      <c r="BT150" t="inlineStr"/>
      <c r="BU150" t="inlineStr"/>
      <c r="BV150" t="inlineStr"/>
      <c r="BW150" t="inlineStr"/>
      <c r="BX150" t="inlineStr"/>
      <c r="BY150" t="inlineStr">
        <is>
          <t>Umschlag (Leder pudert)</t>
        </is>
      </c>
      <c r="BZ150" t="inlineStr"/>
      <c r="CA150" t="inlineStr">
        <is>
          <t>x</t>
        </is>
      </c>
      <c r="CB150" t="inlineStr"/>
      <c r="CC150" t="inlineStr"/>
      <c r="CD150" t="inlineStr">
        <is>
          <t>v/h</t>
        </is>
      </c>
      <c r="CE150" t="inlineStr"/>
      <c r="CF150" t="inlineStr"/>
      <c r="CG150" t="inlineStr"/>
      <c r="CH150" t="inlineStr"/>
      <c r="CI150" t="inlineStr"/>
      <c r="CJ150" t="inlineStr"/>
      <c r="CK150" t="inlineStr"/>
      <c r="CL150" t="inlineStr"/>
      <c r="CM150" t="n">
        <v>0.5</v>
      </c>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t>
        </is>
      </c>
      <c r="B151" t="b">
        <v>1</v>
      </c>
      <c r="C151" t="inlineStr">
        <is>
          <t>x</t>
        </is>
      </c>
      <c r="D151" t="inlineStr"/>
      <c r="E151" t="n">
        <v>153</v>
      </c>
      <c r="F151">
        <f>HYPERLINK("https://portal.dnb.de/opac.htm?method=simpleSearch&amp;cqlMode=true&amp;query=idn%3D1066966273", "Portal")</f>
        <v/>
      </c>
      <c r="G151" t="inlineStr">
        <is>
          <t>Aa</t>
        </is>
      </c>
      <c r="H151" t="inlineStr">
        <is>
          <t>L-1495-315496568</t>
        </is>
      </c>
      <c r="I151" t="inlineStr">
        <is>
          <t>1066966273</t>
        </is>
      </c>
      <c r="J151" t="inlineStr">
        <is>
          <t>II 4,7g</t>
        </is>
      </c>
      <c r="K151" t="inlineStr">
        <is>
          <t>II 4,7g</t>
        </is>
      </c>
      <c r="L151" t="inlineStr">
        <is>
          <t>II 4,7g</t>
        </is>
      </c>
      <c r="M151" t="inlineStr"/>
      <c r="N151" t="inlineStr">
        <is>
          <t xml:space="preserve">Sermones de tempore et de sanctis : </t>
        </is>
      </c>
      <c r="O151" t="inlineStr">
        <is>
          <t xml:space="preserve"> : </t>
        </is>
      </c>
      <c r="P151" t="inlineStr">
        <is>
          <t>X</t>
        </is>
      </c>
      <c r="Q151" t="inlineStr">
        <is>
          <t>2800,00 EUR</t>
        </is>
      </c>
      <c r="R151" t="inlineStr">
        <is>
          <t>Ledereinband, Schließen, erhabene Buchbeschläge</t>
        </is>
      </c>
      <c r="S151" t="inlineStr">
        <is>
          <t>bis 35 cm</t>
        </is>
      </c>
      <c r="T151" t="inlineStr">
        <is>
          <t>80° bis 110°, einseitig digitalisierbar?</t>
        </is>
      </c>
      <c r="U151" t="inlineStr">
        <is>
          <t>fester Rücken mit Schmuckprägung, Schrift bis in den Falz, stark brüchiges Einbandmaterial</t>
        </is>
      </c>
      <c r="V151" t="inlineStr"/>
      <c r="W151" t="inlineStr">
        <is>
          <t>Kassette</t>
        </is>
      </c>
      <c r="X151" t="inlineStr">
        <is>
          <t>Nein</t>
        </is>
      </c>
      <c r="Y151" t="n">
        <v>2</v>
      </c>
      <c r="Z151" t="inlineStr"/>
      <c r="AA151" t="inlineStr"/>
      <c r="AB151" t="inlineStr"/>
      <c r="AC151" t="inlineStr"/>
      <c r="AD151" t="inlineStr"/>
      <c r="AE151" t="inlineStr"/>
      <c r="AF151" t="inlineStr"/>
      <c r="AG151" t="inlineStr"/>
      <c r="AH151" t="inlineStr"/>
      <c r="AI151" t="inlineStr">
        <is>
          <t>HD</t>
        </is>
      </c>
      <c r="AJ151" t="inlineStr"/>
      <c r="AK151" t="inlineStr">
        <is>
          <t>x</t>
        </is>
      </c>
      <c r="AL151" t="inlineStr"/>
      <c r="AM151" t="inlineStr">
        <is>
          <t>f/V</t>
        </is>
      </c>
      <c r="AN151" t="inlineStr"/>
      <c r="AO151" t="inlineStr"/>
      <c r="AP151" t="inlineStr"/>
      <c r="AQ151" t="inlineStr"/>
      <c r="AR151" t="inlineStr"/>
      <c r="AS151" t="inlineStr">
        <is>
          <t>Pa</t>
        </is>
      </c>
      <c r="AT151" t="inlineStr"/>
      <c r="AU151" t="inlineStr"/>
      <c r="AV151" t="inlineStr"/>
      <c r="AW151" t="inlineStr"/>
      <c r="AX151" t="inlineStr"/>
      <c r="AY151" t="inlineStr"/>
      <c r="AZ151" t="inlineStr"/>
      <c r="BA151" t="inlineStr"/>
      <c r="BB151" t="inlineStr"/>
      <c r="BC151" t="inlineStr"/>
      <c r="BD151" t="inlineStr"/>
      <c r="BE151" t="inlineStr"/>
      <c r="BF151" t="inlineStr"/>
      <c r="BG151" t="n">
        <v>60</v>
      </c>
      <c r="BH151" t="inlineStr"/>
      <c r="BI151" t="inlineStr"/>
      <c r="BJ151" t="inlineStr"/>
      <c r="BK151" t="inlineStr"/>
      <c r="BL151" t="inlineStr"/>
      <c r="BM151" t="inlineStr">
        <is>
          <t>ja vor</t>
        </is>
      </c>
      <c r="BN151" t="n">
        <v>2</v>
      </c>
      <c r="BO151" t="inlineStr"/>
      <c r="BP151" t="inlineStr">
        <is>
          <t>Wellpappe</t>
        </is>
      </c>
      <c r="BQ151" t="inlineStr"/>
      <c r="BR151" t="inlineStr"/>
      <c r="BS151" t="inlineStr"/>
      <c r="BT151" t="inlineStr"/>
      <c r="BU151" t="inlineStr"/>
      <c r="BV151" t="inlineStr"/>
      <c r="BW151" t="inlineStr"/>
      <c r="BX151" t="inlineStr"/>
      <c r="BY151" t="inlineStr"/>
      <c r="BZ151" t="inlineStr"/>
      <c r="CA151" t="inlineStr"/>
      <c r="CB151" t="inlineStr">
        <is>
          <t>x</t>
        </is>
      </c>
      <c r="CC151" t="inlineStr"/>
      <c r="CD151" t="inlineStr">
        <is>
          <t>v</t>
        </is>
      </c>
      <c r="CE151" t="inlineStr"/>
      <c r="CF151" t="inlineStr"/>
      <c r="CG151" t="inlineStr"/>
      <c r="CH151" t="inlineStr"/>
      <c r="CI151" t="inlineStr"/>
      <c r="CJ151" t="inlineStr"/>
      <c r="CK151" t="inlineStr"/>
      <c r="CL151" t="inlineStr"/>
      <c r="CM151" t="n">
        <v>2</v>
      </c>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t>
        </is>
      </c>
      <c r="B152" t="b">
        <v>1</v>
      </c>
      <c r="C152" t="inlineStr">
        <is>
          <t>x</t>
        </is>
      </c>
      <c r="D152" t="inlineStr"/>
      <c r="E152" t="n">
        <v>154</v>
      </c>
      <c r="F152">
        <f>HYPERLINK("https://portal.dnb.de/opac.htm?method=simpleSearch&amp;cqlMode=true&amp;query=idn%3D106696873X", "Portal")</f>
        <v/>
      </c>
      <c r="G152" t="inlineStr">
        <is>
          <t>Aa</t>
        </is>
      </c>
      <c r="H152" t="inlineStr">
        <is>
          <t>L-1496-315498986</t>
        </is>
      </c>
      <c r="I152" t="inlineStr">
        <is>
          <t>106696873X</t>
        </is>
      </c>
      <c r="J152" t="inlineStr">
        <is>
          <t>II 4,8a</t>
        </is>
      </c>
      <c r="K152" t="inlineStr">
        <is>
          <t>II 4,8a</t>
        </is>
      </c>
      <c r="L152" t="inlineStr">
        <is>
          <t>II 4,8a</t>
        </is>
      </c>
      <c r="M152" t="inlineStr"/>
      <c r="N152" t="inlineStr">
        <is>
          <t xml:space="preserve">Pastorale sive Regula pastoralis : </t>
        </is>
      </c>
      <c r="O152" t="inlineStr">
        <is>
          <t xml:space="preserve"> : </t>
        </is>
      </c>
      <c r="P152" t="inlineStr">
        <is>
          <t>X</t>
        </is>
      </c>
      <c r="Q152" t="inlineStr">
        <is>
          <t>1000,00 EUR</t>
        </is>
      </c>
      <c r="R152" t="inlineStr">
        <is>
          <t>Halbledereinband, Schließen, erhabene Buchbeschläge</t>
        </is>
      </c>
      <c r="S152" t="inlineStr">
        <is>
          <t>bis 25 cm</t>
        </is>
      </c>
      <c r="T152" t="inlineStr">
        <is>
          <t>180°</t>
        </is>
      </c>
      <c r="U152" t="inlineStr">
        <is>
          <t>hohler Rücken, stark brüchiges Einbandmaterial</t>
        </is>
      </c>
      <c r="V152" t="inlineStr"/>
      <c r="W152" t="inlineStr">
        <is>
          <t>Kassette</t>
        </is>
      </c>
      <c r="X152" t="inlineStr">
        <is>
          <t>Nein</t>
        </is>
      </c>
      <c r="Y152" t="n">
        <v>3</v>
      </c>
      <c r="Z152" t="inlineStr"/>
      <c r="AA152" t="inlineStr"/>
      <c r="AB152" t="inlineStr"/>
      <c r="AC152" t="inlineStr"/>
      <c r="AD152" t="inlineStr"/>
      <c r="AE152" t="inlineStr"/>
      <c r="AF152" t="inlineStr"/>
      <c r="AG152" t="inlineStr"/>
      <c r="AH152" t="inlineStr"/>
      <c r="AI152" t="inlineStr">
        <is>
          <t>HL</t>
        </is>
      </c>
      <c r="AJ152" t="inlineStr"/>
      <c r="AK152" t="inlineStr">
        <is>
          <t>x</t>
        </is>
      </c>
      <c r="AL152" t="inlineStr"/>
      <c r="AM152" t="inlineStr">
        <is>
          <t>f/E</t>
        </is>
      </c>
      <c r="AN152" t="inlineStr"/>
      <c r="AO152" t="inlineStr">
        <is>
          <t>x</t>
        </is>
      </c>
      <c r="AP152" t="inlineStr"/>
      <c r="AQ152" t="inlineStr"/>
      <c r="AR152" t="inlineStr"/>
      <c r="AS152" t="inlineStr">
        <is>
          <t>Pa</t>
        </is>
      </c>
      <c r="AT152" t="inlineStr"/>
      <c r="AU152" t="inlineStr"/>
      <c r="AV152" t="inlineStr"/>
      <c r="AW152" t="inlineStr"/>
      <c r="AX152" t="inlineStr"/>
      <c r="AY152" t="inlineStr"/>
      <c r="AZ152" t="inlineStr"/>
      <c r="BA152" t="inlineStr"/>
      <c r="BB152" t="inlineStr"/>
      <c r="BC152" t="inlineStr"/>
      <c r="BD152" t="inlineStr"/>
      <c r="BE152" t="inlineStr"/>
      <c r="BF152" t="inlineStr"/>
      <c r="BG152" t="n">
        <v>110</v>
      </c>
      <c r="BH152" t="inlineStr"/>
      <c r="BI152" t="inlineStr"/>
      <c r="BJ152" t="inlineStr"/>
      <c r="BK152" t="inlineStr"/>
      <c r="BL152" t="inlineStr"/>
      <c r="BM152" t="inlineStr">
        <is>
          <t>ja vor</t>
        </is>
      </c>
      <c r="BN152" t="n">
        <v>0.5</v>
      </c>
      <c r="BO152" t="inlineStr"/>
      <c r="BP152" t="inlineStr">
        <is>
          <t>Wellpappe</t>
        </is>
      </c>
      <c r="BQ152" t="inlineStr"/>
      <c r="BR152" t="inlineStr"/>
      <c r="BS152" t="inlineStr"/>
      <c r="BT152" t="inlineStr"/>
      <c r="BU152" t="inlineStr"/>
      <c r="BV152" t="inlineStr"/>
      <c r="BW152" t="inlineStr"/>
      <c r="BX152" t="inlineStr"/>
      <c r="BY152" t="inlineStr">
        <is>
          <t>Umschlag (Leder pudert)</t>
        </is>
      </c>
      <c r="BZ152" t="inlineStr"/>
      <c r="CA152" t="inlineStr">
        <is>
          <t>x</t>
        </is>
      </c>
      <c r="CB152" t="inlineStr"/>
      <c r="CC152" t="inlineStr"/>
      <c r="CD152" t="inlineStr"/>
      <c r="CE152" t="inlineStr"/>
      <c r="CF152" t="inlineStr"/>
      <c r="CG152" t="inlineStr"/>
      <c r="CH152" t="inlineStr"/>
      <c r="CI152" t="inlineStr"/>
      <c r="CJ152" t="inlineStr"/>
      <c r="CK152" t="inlineStr"/>
      <c r="CL152" t="inlineStr"/>
      <c r="CM152" t="n">
        <v>0.5</v>
      </c>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t>
        </is>
      </c>
      <c r="B153" t="b">
        <v>1</v>
      </c>
      <c r="C153" t="inlineStr"/>
      <c r="D153" t="inlineStr"/>
      <c r="E153" t="n">
        <v>155</v>
      </c>
      <c r="F153">
        <f>HYPERLINK("https://portal.dnb.de/opac.htm?method=simpleSearch&amp;cqlMode=true&amp;query=idn%3D1066968632", "Portal")</f>
        <v/>
      </c>
      <c r="G153" t="inlineStr">
        <is>
          <t>Aaf</t>
        </is>
      </c>
      <c r="H153" t="inlineStr">
        <is>
          <t>L-1496-315498897</t>
        </is>
      </c>
      <c r="I153" t="inlineStr">
        <is>
          <t>1066968632</t>
        </is>
      </c>
      <c r="J153" t="inlineStr">
        <is>
          <t>II 4,8c</t>
        </is>
      </c>
      <c r="K153" t="inlineStr">
        <is>
          <t>II 4,8c</t>
        </is>
      </c>
      <c r="L153" t="inlineStr">
        <is>
          <t>II 4,8c</t>
        </is>
      </c>
      <c r="M153" t="inlineStr"/>
      <c r="N153" t="inlineStr">
        <is>
          <t xml:space="preserve">Dialogorum libri quattuor : </t>
        </is>
      </c>
      <c r="O153" t="inlineStr">
        <is>
          <t xml:space="preserve"> : </t>
        </is>
      </c>
      <c r="P153" t="inlineStr">
        <is>
          <t>X</t>
        </is>
      </c>
      <c r="Q153" t="inlineStr"/>
      <c r="R153" t="inlineStr">
        <is>
          <t>Pergamentband</t>
        </is>
      </c>
      <c r="S153" t="inlineStr">
        <is>
          <t>bis 25 cm</t>
        </is>
      </c>
      <c r="T153" t="inlineStr">
        <is>
          <t>80° bis 110°, einseitig digitalisierbar?</t>
        </is>
      </c>
      <c r="U153" t="inlineStr">
        <is>
          <t>hohler Rücken</t>
        </is>
      </c>
      <c r="V153" t="inlineStr"/>
      <c r="W153" t="inlineStr">
        <is>
          <t>Kassette</t>
        </is>
      </c>
      <c r="X153" t="inlineStr">
        <is>
          <t>Nein</t>
        </is>
      </c>
      <c r="Y153" t="n">
        <v>0</v>
      </c>
      <c r="Z153" t="inlineStr"/>
      <c r="AA153" t="inlineStr">
        <is>
          <t>Originaleinband separat</t>
        </is>
      </c>
      <c r="AB153" t="inlineStr"/>
      <c r="AC153" t="inlineStr"/>
      <c r="AD153" t="inlineStr"/>
      <c r="AE153" t="inlineStr"/>
      <c r="AF153" t="inlineStr"/>
      <c r="AG153" t="inlineStr"/>
      <c r="AH153" t="inlineStr"/>
      <c r="AI153" t="inlineStr">
        <is>
          <t>Pg</t>
        </is>
      </c>
      <c r="AJ153" t="inlineStr"/>
      <c r="AK153" t="inlineStr">
        <is>
          <t>x</t>
        </is>
      </c>
      <c r="AL153" t="inlineStr">
        <is>
          <t>x</t>
        </is>
      </c>
      <c r="AM153" t="inlineStr">
        <is>
          <t>h</t>
        </is>
      </c>
      <c r="AN153" t="inlineStr"/>
      <c r="AO153" t="inlineStr"/>
      <c r="AP153" t="inlineStr"/>
      <c r="AQ153" t="inlineStr"/>
      <c r="AR153" t="inlineStr"/>
      <c r="AS153" t="inlineStr">
        <is>
          <t>Pa</t>
        </is>
      </c>
      <c r="AT153" t="inlineStr"/>
      <c r="AU153" t="inlineStr"/>
      <c r="AV153" t="inlineStr"/>
      <c r="AW153" t="inlineStr"/>
      <c r="AX153" t="inlineStr"/>
      <c r="AY153" t="inlineStr"/>
      <c r="AZ153" t="inlineStr"/>
      <c r="BA153" t="inlineStr"/>
      <c r="BB153" t="inlineStr"/>
      <c r="BC153" t="inlineStr"/>
      <c r="BD153" t="inlineStr"/>
      <c r="BE153" t="inlineStr"/>
      <c r="BF153" t="inlineStr"/>
      <c r="BG153" t="n">
        <v>110</v>
      </c>
      <c r="BH153" t="inlineStr"/>
      <c r="BI153" t="inlineStr"/>
      <c r="BJ153" t="inlineStr"/>
      <c r="BK153" t="inlineStr"/>
      <c r="BL153" t="inlineStr"/>
      <c r="BM153" t="inlineStr">
        <is>
          <t>n</t>
        </is>
      </c>
      <c r="BN153" t="n">
        <v>0</v>
      </c>
      <c r="BO153" t="inlineStr"/>
      <c r="BP153" t="inlineStr">
        <is>
          <t>Gewebe</t>
        </is>
      </c>
      <c r="BQ153" t="inlineStr"/>
      <c r="BR153" t="inlineStr"/>
      <c r="BS153" t="inlineStr"/>
      <c r="BT153" t="inlineStr"/>
      <c r="BU153" t="inlineStr"/>
      <c r="BV153" t="inlineStr">
        <is>
          <t>Kleimmeinband liegt der Kassette bei</t>
        </is>
      </c>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t>
        </is>
      </c>
      <c r="B154" t="b">
        <v>1</v>
      </c>
      <c r="C154" t="inlineStr"/>
      <c r="D154" t="inlineStr"/>
      <c r="E154" t="n">
        <v>156</v>
      </c>
      <c r="F154">
        <f>HYPERLINK("https://portal.dnb.de/opac.htm?method=simpleSearch&amp;cqlMode=true&amp;query=idn%3D1066971935", "Portal")</f>
        <v/>
      </c>
      <c r="G154" t="inlineStr">
        <is>
          <t>Aaf</t>
        </is>
      </c>
      <c r="H154" t="inlineStr">
        <is>
          <t>L-1490-315502339</t>
        </is>
      </c>
      <c r="I154" t="inlineStr">
        <is>
          <t>1066971935</t>
        </is>
      </c>
      <c r="J154" t="inlineStr">
        <is>
          <t>II 4,8d</t>
        </is>
      </c>
      <c r="K154" t="inlineStr">
        <is>
          <t>II 4,8d</t>
        </is>
      </c>
      <c r="L154" t="inlineStr">
        <is>
          <t>II 4,8d</t>
        </is>
      </c>
      <c r="M154" t="inlineStr"/>
      <c r="N154" t="inlineStr">
        <is>
          <t xml:space="preserve">Fagifacetus sive De moribus et facetiis mensae : </t>
        </is>
      </c>
      <c r="O154" t="inlineStr">
        <is>
          <t xml:space="preserve"> : </t>
        </is>
      </c>
      <c r="P154" t="inlineStr">
        <is>
          <t>X</t>
        </is>
      </c>
      <c r="Q154" t="inlineStr"/>
      <c r="R154" t="inlineStr">
        <is>
          <t>Halbledereinband</t>
        </is>
      </c>
      <c r="S154" t="inlineStr">
        <is>
          <t>bis 25 cm</t>
        </is>
      </c>
      <c r="T154" t="inlineStr">
        <is>
          <t>180°</t>
        </is>
      </c>
      <c r="U154" t="inlineStr">
        <is>
          <t>hohler Rücken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is>
          <t>HL</t>
        </is>
      </c>
      <c r="AJ154" t="inlineStr"/>
      <c r="AK154" t="inlineStr">
        <is>
          <t>x</t>
        </is>
      </c>
      <c r="AL154" t="inlineStr"/>
      <c r="AM154" t="inlineStr">
        <is>
          <t>h/E</t>
        </is>
      </c>
      <c r="AN154" t="inlineStr"/>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c r="BC154" t="inlineStr"/>
      <c r="BD154" t="inlineStr"/>
      <c r="BE154" t="inlineStr"/>
      <c r="BF154" t="inlineStr"/>
      <c r="BG154" t="n">
        <v>180</v>
      </c>
      <c r="BH154" t="inlineStr"/>
      <c r="BI154" t="inlineStr"/>
      <c r="BJ154" t="inlineStr"/>
      <c r="BK154" t="inlineStr"/>
      <c r="BL154" t="inlineStr"/>
      <c r="BM154" t="inlineStr">
        <is>
          <t>n</t>
        </is>
      </c>
      <c r="BN154" t="n">
        <v>0</v>
      </c>
      <c r="BO154" t="inlineStr"/>
      <c r="BP154" t="inlineStr">
        <is>
          <t>Wellpappe</t>
        </is>
      </c>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t>
        </is>
      </c>
      <c r="B155" t="b">
        <v>1</v>
      </c>
      <c r="C155" t="inlineStr">
        <is>
          <t>x</t>
        </is>
      </c>
      <c r="D155" t="inlineStr"/>
      <c r="E155" t="n">
        <v>157</v>
      </c>
      <c r="F155">
        <f>HYPERLINK("https://portal.dnb.de/opac.htm?method=simpleSearch&amp;cqlMode=true&amp;query=idn%3D1066966680", "Portal")</f>
        <v/>
      </c>
      <c r="G155" t="inlineStr">
        <is>
          <t>Aa</t>
        </is>
      </c>
      <c r="H155" t="inlineStr">
        <is>
          <t>L-1495-315496983</t>
        </is>
      </c>
      <c r="I155" t="inlineStr">
        <is>
          <t>1066966680</t>
        </is>
      </c>
      <c r="J155" t="inlineStr">
        <is>
          <t>II 4,9a</t>
        </is>
      </c>
      <c r="K155" t="inlineStr">
        <is>
          <t>II 4,9a</t>
        </is>
      </c>
      <c r="L155" t="inlineStr">
        <is>
          <t>II 4,9a</t>
        </is>
      </c>
      <c r="M155" t="inlineStr"/>
      <c r="N155" t="inlineStr">
        <is>
          <t xml:space="preserve">Biblia, lat. : </t>
        </is>
      </c>
      <c r="O155" t="inlineStr">
        <is>
          <t xml:space="preserve"> : </t>
        </is>
      </c>
      <c r="P155" t="inlineStr">
        <is>
          <t>X</t>
        </is>
      </c>
      <c r="Q155" t="inlineStr">
        <is>
          <t>2000,00 EUR</t>
        </is>
      </c>
      <c r="R155" t="inlineStr">
        <is>
          <t>Ledereinband, Schließen, erhabene Buchbeschläge</t>
        </is>
      </c>
      <c r="S155" t="inlineStr">
        <is>
          <t>bis 25 cm</t>
        </is>
      </c>
      <c r="T155" t="inlineStr">
        <is>
          <t>nur sehr geringer Öffnungswinkel</t>
        </is>
      </c>
      <c r="U155" t="inlineStr">
        <is>
          <t>fester Rücken mit Schmuckprägung, Schrift bis in den Falz, stark brüchiges Einbandmaterial</t>
        </is>
      </c>
      <c r="V155" t="inlineStr"/>
      <c r="W155" t="inlineStr">
        <is>
          <t>Kassette</t>
        </is>
      </c>
      <c r="X155" t="inlineStr">
        <is>
          <t>Nein</t>
        </is>
      </c>
      <c r="Y155" t="n">
        <v>3</v>
      </c>
      <c r="Z155" t="inlineStr"/>
      <c r="AA155" t="inlineStr"/>
      <c r="AB155" t="inlineStr"/>
      <c r="AC155" t="inlineStr"/>
      <c r="AD155" t="inlineStr"/>
      <c r="AE155" t="inlineStr"/>
      <c r="AF155" t="inlineStr"/>
      <c r="AG155" t="inlineStr"/>
      <c r="AH155" t="inlineStr"/>
      <c r="AI155" t="inlineStr">
        <is>
          <t>HD</t>
        </is>
      </c>
      <c r="AJ155" t="inlineStr"/>
      <c r="AK155" t="inlineStr">
        <is>
          <t>x</t>
        </is>
      </c>
      <c r="AL155" t="inlineStr"/>
      <c r="AM155" t="inlineStr">
        <is>
          <t>f/V</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c r="BC155" t="inlineStr"/>
      <c r="BD155" t="inlineStr"/>
      <c r="BE155" t="n">
        <v>0</v>
      </c>
      <c r="BF155" t="inlineStr"/>
      <c r="BG155" t="n">
        <v>45</v>
      </c>
      <c r="BH155" t="inlineStr"/>
      <c r="BI155" t="inlineStr"/>
      <c r="BJ155" t="inlineStr"/>
      <c r="BK155" t="inlineStr"/>
      <c r="BL155" t="inlineStr"/>
      <c r="BM155" t="inlineStr">
        <is>
          <t>ja vor</t>
        </is>
      </c>
      <c r="BN155" t="n">
        <v>4</v>
      </c>
      <c r="BO155" t="inlineStr"/>
      <c r="BP155" t="inlineStr">
        <is>
          <t>Wellpappe</t>
        </is>
      </c>
      <c r="BQ155" t="inlineStr"/>
      <c r="BR155" t="inlineStr"/>
      <c r="BS155" t="inlineStr"/>
      <c r="BT155" t="inlineStr"/>
      <c r="BU155" t="inlineStr"/>
      <c r="BV155" t="inlineStr"/>
      <c r="BW155" t="inlineStr"/>
      <c r="BX155" t="inlineStr"/>
      <c r="BY155" t="inlineStr"/>
      <c r="BZ155" t="inlineStr"/>
      <c r="CA155" t="inlineStr"/>
      <c r="CB155" t="inlineStr">
        <is>
          <t>x</t>
        </is>
      </c>
      <c r="CC155" t="inlineStr"/>
      <c r="CD155" t="inlineStr"/>
      <c r="CE155" t="inlineStr"/>
      <c r="CF155" t="inlineStr"/>
      <c r="CG155" t="inlineStr"/>
      <c r="CH155" t="inlineStr">
        <is>
          <t>o/u</t>
        </is>
      </c>
      <c r="CI155" t="inlineStr"/>
      <c r="CJ155" t="inlineStr"/>
      <c r="CK155" t="inlineStr"/>
      <c r="CL155" t="inlineStr">
        <is>
          <t>o</t>
        </is>
      </c>
      <c r="CM155" t="n">
        <v>4</v>
      </c>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t>
        </is>
      </c>
      <c r="B156" t="b">
        <v>1</v>
      </c>
      <c r="C156" t="inlineStr">
        <is>
          <t>x</t>
        </is>
      </c>
      <c r="D156" t="inlineStr"/>
      <c r="E156" t="n">
        <v>158</v>
      </c>
      <c r="F156">
        <f>HYPERLINK("https://portal.dnb.de/opac.htm?method=simpleSearch&amp;cqlMode=true&amp;query=idn%3D1066970041", "Portal")</f>
        <v/>
      </c>
      <c r="G156" t="inlineStr">
        <is>
          <t>Aa</t>
        </is>
      </c>
      <c r="H156" t="inlineStr">
        <is>
          <t>L-1499-315500395</t>
        </is>
      </c>
      <c r="I156" t="inlineStr">
        <is>
          <t>1066970041</t>
        </is>
      </c>
      <c r="J156" t="inlineStr">
        <is>
          <t>II 4,9b</t>
        </is>
      </c>
      <c r="K156" t="inlineStr">
        <is>
          <t>II 4,9b</t>
        </is>
      </c>
      <c r="L156" t="inlineStr">
        <is>
          <t>II 4,9b</t>
        </is>
      </c>
      <c r="M156" t="inlineStr"/>
      <c r="N156" t="inlineStr">
        <is>
          <t xml:space="preserve">Liber de exemplis ac similitudinibus rerum : </t>
        </is>
      </c>
      <c r="O156" t="inlineStr">
        <is>
          <t xml:space="preserve"> : </t>
        </is>
      </c>
      <c r="P156" t="inlineStr">
        <is>
          <t>X</t>
        </is>
      </c>
      <c r="Q156" t="inlineStr">
        <is>
          <t>1100,00 EUR</t>
        </is>
      </c>
      <c r="R156" t="inlineStr">
        <is>
          <t>Gewebeeinband, Schließen, erhabene Buchbeschläge</t>
        </is>
      </c>
      <c r="S156" t="inlineStr">
        <is>
          <t>bis 25 cm</t>
        </is>
      </c>
      <c r="T156" t="inlineStr">
        <is>
          <t>80° bis 110°, einseitig digitalisierbar?</t>
        </is>
      </c>
      <c r="U156" t="inlineStr">
        <is>
          <t>hohler Rücken, stark brüchiges Einbandmaterial</t>
        </is>
      </c>
      <c r="V156" t="inlineStr"/>
      <c r="W156" t="inlineStr">
        <is>
          <t>Kassette</t>
        </is>
      </c>
      <c r="X156" t="inlineStr">
        <is>
          <t>Nein</t>
        </is>
      </c>
      <c r="Y156" t="n">
        <v>2</v>
      </c>
      <c r="Z156" t="inlineStr"/>
      <c r="AA156" t="inlineStr"/>
      <c r="AB156" t="inlineStr"/>
      <c r="AC156" t="inlineStr"/>
      <c r="AD156" t="inlineStr"/>
      <c r="AE156" t="inlineStr"/>
      <c r="AF156" t="inlineStr"/>
      <c r="AG156" t="inlineStr"/>
      <c r="AH156" t="inlineStr"/>
      <c r="AI156" t="inlineStr">
        <is>
          <t>G</t>
        </is>
      </c>
      <c r="AJ156" t="inlineStr"/>
      <c r="AK156" t="inlineStr">
        <is>
          <t>x</t>
        </is>
      </c>
      <c r="AL156" t="inlineStr"/>
      <c r="AM156" t="inlineStr">
        <is>
          <t>h/E</t>
        </is>
      </c>
      <c r="AN156" t="inlineStr"/>
      <c r="AO156" t="inlineStr"/>
      <c r="AP156" t="inlineStr"/>
      <c r="AQ156" t="inlineStr"/>
      <c r="AR156" t="inlineStr"/>
      <c r="AS156" t="inlineStr">
        <is>
          <t>Pa</t>
        </is>
      </c>
      <c r="AT156" t="inlineStr"/>
      <c r="AU156" t="inlineStr"/>
      <c r="AV156" t="inlineStr"/>
      <c r="AW156" t="inlineStr"/>
      <c r="AX156" t="inlineStr"/>
      <c r="AY156" t="inlineStr"/>
      <c r="AZ156" t="inlineStr"/>
      <c r="BA156" t="inlineStr"/>
      <c r="BB156" t="inlineStr"/>
      <c r="BC156" t="inlineStr"/>
      <c r="BD156" t="inlineStr"/>
      <c r="BE156" t="inlineStr"/>
      <c r="BF156" t="inlineStr"/>
      <c r="BG156" t="n">
        <v>60</v>
      </c>
      <c r="BH156" t="inlineStr"/>
      <c r="BI156" t="inlineStr"/>
      <c r="BJ156" t="inlineStr"/>
      <c r="BK156" t="inlineStr"/>
      <c r="BL156" t="inlineStr"/>
      <c r="BM156" t="inlineStr">
        <is>
          <t>ja vor</t>
        </is>
      </c>
      <c r="BN156" t="n">
        <v>1</v>
      </c>
      <c r="BO156" t="inlineStr"/>
      <c r="BP156" t="inlineStr">
        <is>
          <t>Wellpappe</t>
        </is>
      </c>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is>
          <t>v</t>
        </is>
      </c>
      <c r="CE156" t="inlineStr"/>
      <c r="CF156" t="inlineStr"/>
      <c r="CG156" t="inlineStr"/>
      <c r="CH156" t="inlineStr"/>
      <c r="CI156" t="inlineStr"/>
      <c r="CJ156" t="inlineStr"/>
      <c r="CK156" t="inlineStr"/>
      <c r="CL156" t="inlineStr"/>
      <c r="CM156" t="n">
        <v>1</v>
      </c>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t>
        </is>
      </c>
      <c r="B157" t="b">
        <v>1</v>
      </c>
      <c r="C157" t="inlineStr"/>
      <c r="D157" t="inlineStr"/>
      <c r="E157" t="inlineStr"/>
      <c r="F157">
        <f>HYPERLINK("https://portal.dnb.de/opac.htm?method=simpleSearch&amp;cqlMode=true&amp;query=idn%3D1132645409", "Portal")</f>
        <v/>
      </c>
      <c r="G157" t="inlineStr">
        <is>
          <t>Af</t>
        </is>
      </c>
      <c r="H157" t="inlineStr">
        <is>
          <t>L-1498-406962960</t>
        </is>
      </c>
      <c r="I157" t="inlineStr">
        <is>
          <t>1132645409</t>
        </is>
      </c>
      <c r="J157" t="inlineStr">
        <is>
          <t>II 4,9c</t>
        </is>
      </c>
      <c r="K157" t="inlineStr">
        <is>
          <t>II 4,9c</t>
        </is>
      </c>
      <c r="L157" t="inlineStr">
        <is>
          <t>II 4,9c</t>
        </is>
      </c>
      <c r="M157" t="inlineStr"/>
      <c r="N157" t="inlineStr">
        <is>
          <t>Biblia, lat.</t>
        </is>
      </c>
      <c r="O157" t="inlineStr">
        <is>
          <t>3. : Tertia pars huius</t>
        </is>
      </c>
      <c r="P157" t="inlineStr"/>
      <c r="Q157" t="inlineStr"/>
      <c r="R157" t="inlineStr">
        <is>
          <t>Ledereinband, Schließen, erhabene Buchbeschläge</t>
        </is>
      </c>
      <c r="S157" t="inlineStr">
        <is>
          <t>bis 35 cm</t>
        </is>
      </c>
      <c r="T157" t="inlineStr">
        <is>
          <t>nur sehr geringer Öffnungswinkel</t>
        </is>
      </c>
      <c r="U157" t="inlineStr">
        <is>
          <t>welliger Buchblock, erhabene Illuminationen</t>
        </is>
      </c>
      <c r="V157" t="inlineStr">
        <is>
          <t>nicht auflegen</t>
        </is>
      </c>
      <c r="W157" t="inlineStr">
        <is>
          <t>Kassette</t>
        </is>
      </c>
      <c r="X157" t="inlineStr">
        <is>
          <t>Nein</t>
        </is>
      </c>
      <c r="Y157" t="n">
        <v>0</v>
      </c>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t>
        </is>
      </c>
      <c r="B158" t="b">
        <v>1</v>
      </c>
      <c r="C158" t="inlineStr"/>
      <c r="D158" t="inlineStr"/>
      <c r="E158" t="n">
        <v>159</v>
      </c>
      <c r="F158">
        <f>HYPERLINK("https://portal.dnb.de/opac.htm?method=simpleSearch&amp;cqlMode=true&amp;query=idn%3D1066970688", "Portal")</f>
        <v/>
      </c>
      <c r="G158" t="inlineStr">
        <is>
          <t>Aaf</t>
        </is>
      </c>
      <c r="H158" t="inlineStr">
        <is>
          <t>L-1497-315501030</t>
        </is>
      </c>
      <c r="I158" t="inlineStr">
        <is>
          <t>1066970688</t>
        </is>
      </c>
      <c r="J158" t="inlineStr">
        <is>
          <t>II 4,10a</t>
        </is>
      </c>
      <c r="K158" t="inlineStr">
        <is>
          <t>II 4,10a</t>
        </is>
      </c>
      <c r="L158" t="inlineStr">
        <is>
          <t>II 4,10a</t>
        </is>
      </c>
      <c r="M158" t="inlineStr"/>
      <c r="N158" t="inlineStr">
        <is>
          <t xml:space="preserve">Germanorum veterum principum zelus et fervor in Christianam religionem Deique ministros : </t>
        </is>
      </c>
      <c r="O158" t="inlineStr">
        <is>
          <t xml:space="preserve"> : </t>
        </is>
      </c>
      <c r="P158" t="inlineStr">
        <is>
          <t>X</t>
        </is>
      </c>
      <c r="Q158" t="inlineStr"/>
      <c r="R158" t="inlineStr">
        <is>
          <t>Gewebeeinband, Schließen, erhabene Buchbeschläge</t>
        </is>
      </c>
      <c r="S158" t="inlineStr">
        <is>
          <t>bis 35 cm</t>
        </is>
      </c>
      <c r="T158" t="inlineStr">
        <is>
          <t>180°</t>
        </is>
      </c>
      <c r="U158" t="inlineStr">
        <is>
          <t>hohler Rücken, erhabene Illuminationen</t>
        </is>
      </c>
      <c r="V158" t="inlineStr">
        <is>
          <t>nicht auflegen</t>
        </is>
      </c>
      <c r="W158" t="inlineStr">
        <is>
          <t>Kassette</t>
        </is>
      </c>
      <c r="X158" t="inlineStr">
        <is>
          <t>Nein</t>
        </is>
      </c>
      <c r="Y158" t="n">
        <v>1</v>
      </c>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t>
        </is>
      </c>
      <c r="B159" t="b">
        <v>1</v>
      </c>
      <c r="C159" t="inlineStr"/>
      <c r="D159" t="inlineStr"/>
      <c r="E159" t="inlineStr"/>
      <c r="F159">
        <f>HYPERLINK("https://portal.dnb.de/opac.htm?method=simpleSearch&amp;cqlMode=true&amp;query=idn%3D1072053705", "Portal")</f>
        <v/>
      </c>
      <c r="G159" t="inlineStr">
        <is>
          <t>Aa</t>
        </is>
      </c>
      <c r="H159" t="inlineStr">
        <is>
          <t>L-1515-326853065</t>
        </is>
      </c>
      <c r="I159" t="inlineStr">
        <is>
          <t>1072053705</t>
        </is>
      </c>
      <c r="J159" t="inlineStr">
        <is>
          <t>II 4,10b</t>
        </is>
      </c>
      <c r="K159" t="inlineStr">
        <is>
          <t>II 4,10b</t>
        </is>
      </c>
      <c r="L159" t="inlineStr">
        <is>
          <t>II 4,10b</t>
        </is>
      </c>
      <c r="M159" t="inlineStr"/>
      <c r="N159" t="inlineStr">
        <is>
          <t xml:space="preserve">Vita S. Brunonis : </t>
        </is>
      </c>
      <c r="O159" t="inlineStr">
        <is>
          <t xml:space="preserve"> : </t>
        </is>
      </c>
      <c r="P159" t="inlineStr">
        <is>
          <t>X</t>
        </is>
      </c>
      <c r="Q159" t="inlineStr"/>
      <c r="R159" t="inlineStr">
        <is>
          <t>Gewebeeinband, Schließen, erhabene Buchbeschläge</t>
        </is>
      </c>
      <c r="S159" t="inlineStr">
        <is>
          <t>bis 35 cm</t>
        </is>
      </c>
      <c r="T159" t="inlineStr">
        <is>
          <t>80° bis 110°, einseitig digitalisierbar?</t>
        </is>
      </c>
      <c r="U159" t="inlineStr">
        <is>
          <t>hohler Rücken</t>
        </is>
      </c>
      <c r="V159" t="inlineStr"/>
      <c r="W159" t="inlineStr">
        <is>
          <t>Kassette</t>
        </is>
      </c>
      <c r="X159" t="inlineStr">
        <is>
          <t>Nein</t>
        </is>
      </c>
      <c r="Y159" t="n">
        <v>2</v>
      </c>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t>
        </is>
      </c>
      <c r="B160" t="b">
        <v>1</v>
      </c>
      <c r="C160" t="inlineStr"/>
      <c r="D160" t="inlineStr"/>
      <c r="E160" t="n">
        <v>160</v>
      </c>
      <c r="F160">
        <f>HYPERLINK("https://portal.dnb.de/opac.htm?method=simpleSearch&amp;cqlMode=true&amp;query=idn%3D1066967172", "Portal")</f>
        <v/>
      </c>
      <c r="G160" t="inlineStr">
        <is>
          <t>Aaf</t>
        </is>
      </c>
      <c r="H160" t="inlineStr">
        <is>
          <t>L-1497-315497432</t>
        </is>
      </c>
      <c r="I160" t="inlineStr">
        <is>
          <t>1066967172</t>
        </is>
      </c>
      <c r="J160" t="inlineStr">
        <is>
          <t>II 4,10c</t>
        </is>
      </c>
      <c r="K160" t="inlineStr">
        <is>
          <t>II 4,10c</t>
        </is>
      </c>
      <c r="L160" t="inlineStr">
        <is>
          <t>II 4,10c</t>
        </is>
      </c>
      <c r="M160" t="inlineStr"/>
      <c r="N160" t="inlineStr">
        <is>
          <t xml:space="preserve">Stultifera navis : </t>
        </is>
      </c>
      <c r="O160" t="inlineStr">
        <is>
          <t xml:space="preserve"> : </t>
        </is>
      </c>
      <c r="P160" t="inlineStr"/>
      <c r="Q160" t="inlineStr"/>
      <c r="R160" t="inlineStr">
        <is>
          <t>Pergamentband</t>
        </is>
      </c>
      <c r="S160" t="inlineStr">
        <is>
          <t>bis 25 cm</t>
        </is>
      </c>
      <c r="T160" t="inlineStr">
        <is>
          <t>80° bis 110°, einseitig digitalisierbar?</t>
        </is>
      </c>
      <c r="U160" t="inlineStr">
        <is>
          <t>hohler Rücken, Einband mit Schutz- oder Stoßkanten</t>
        </is>
      </c>
      <c r="V160" t="inlineStr"/>
      <c r="W160" t="inlineStr">
        <is>
          <t>Kassette</t>
        </is>
      </c>
      <c r="X160" t="inlineStr">
        <is>
          <t>Nein</t>
        </is>
      </c>
      <c r="Y160" t="n">
        <v>0</v>
      </c>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t>
        </is>
      </c>
      <c r="B161" t="b">
        <v>1</v>
      </c>
      <c r="C161" t="inlineStr"/>
      <c r="D161" t="inlineStr"/>
      <c r="E161" t="n">
        <v>161</v>
      </c>
      <c r="F161">
        <f>HYPERLINK("https://portal.dnb.de/opac.htm?method=simpleSearch&amp;cqlMode=true&amp;query=idn%3D106696968X", "Portal")</f>
        <v/>
      </c>
      <c r="G161" t="inlineStr">
        <is>
          <t>Aaf</t>
        </is>
      </c>
      <c r="H161" t="inlineStr">
        <is>
          <t>L-1475-315500026</t>
        </is>
      </c>
      <c r="I161" t="inlineStr">
        <is>
          <t>106696968X</t>
        </is>
      </c>
      <c r="J161" t="inlineStr">
        <is>
          <t>II 6,1a</t>
        </is>
      </c>
      <c r="K161" t="inlineStr">
        <is>
          <t>II 6,1a</t>
        </is>
      </c>
      <c r="L161" t="inlineStr">
        <is>
          <t>II 6,1a</t>
        </is>
      </c>
      <c r="M161" t="inlineStr"/>
      <c r="N161" t="inlineStr">
        <is>
          <t xml:space="preserve">Sermones de sanctis : </t>
        </is>
      </c>
      <c r="O161" t="inlineStr">
        <is>
          <t xml:space="preserve"> : </t>
        </is>
      </c>
      <c r="P161" t="inlineStr">
        <is>
          <t>X</t>
        </is>
      </c>
      <c r="Q161" t="inlineStr"/>
      <c r="R161" t="inlineStr">
        <is>
          <t>Ledereinband</t>
        </is>
      </c>
      <c r="S161" t="inlineStr">
        <is>
          <t>bis 35 cm</t>
        </is>
      </c>
      <c r="T161" t="inlineStr">
        <is>
          <t>80° bis 110°, einseitig digitalisierbar?</t>
        </is>
      </c>
      <c r="U161" t="inlineStr">
        <is>
          <t>hohler Rücken, welliger Buchblock, erhabene Illuminationen</t>
        </is>
      </c>
      <c r="V161" t="inlineStr">
        <is>
          <t>nicht auflegen</t>
        </is>
      </c>
      <c r="W161" t="inlineStr">
        <is>
          <t>Kassette</t>
        </is>
      </c>
      <c r="X161" t="inlineStr">
        <is>
          <t>Nein</t>
        </is>
      </c>
      <c r="Y161" t="n">
        <v>1</v>
      </c>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t>
        </is>
      </c>
      <c r="B162" t="b">
        <v>1</v>
      </c>
      <c r="C162" t="inlineStr"/>
      <c r="D162" t="inlineStr"/>
      <c r="E162" t="n">
        <v>162</v>
      </c>
      <c r="F162">
        <f>HYPERLINK("https://portal.dnb.de/opac.htm?method=simpleSearch&amp;cqlMode=true&amp;query=idn%3D1066973121", "Portal")</f>
        <v/>
      </c>
      <c r="G162" t="inlineStr">
        <is>
          <t>Aaf</t>
        </is>
      </c>
      <c r="H162" t="inlineStr">
        <is>
          <t>L-1477-315503505</t>
        </is>
      </c>
      <c r="I162" t="inlineStr">
        <is>
          <t>1066973121</t>
        </is>
      </c>
      <c r="J162" t="inlineStr">
        <is>
          <t>II 6,1b</t>
        </is>
      </c>
      <c r="K162" t="inlineStr">
        <is>
          <t>II 6,1b</t>
        </is>
      </c>
      <c r="L162" t="inlineStr">
        <is>
          <t>II 6,1b</t>
        </is>
      </c>
      <c r="M162" t="inlineStr"/>
      <c r="N162" t="inlineStr">
        <is>
          <t xml:space="preserve">Vocabularius, lat. und dt. : </t>
        </is>
      </c>
      <c r="O162" t="inlineStr">
        <is>
          <t xml:space="preserve"> : </t>
        </is>
      </c>
      <c r="P162" t="inlineStr">
        <is>
          <t>X</t>
        </is>
      </c>
      <c r="Q162" t="inlineStr"/>
      <c r="R162" t="inlineStr">
        <is>
          <t>Ledereinband, Schließen, erhabene Buchbeschläge</t>
        </is>
      </c>
      <c r="S162" t="inlineStr">
        <is>
          <t>bis 35 cm</t>
        </is>
      </c>
      <c r="T162" t="inlineStr">
        <is>
          <t>80° bis 110°, einseitig digitalisierbar?</t>
        </is>
      </c>
      <c r="U162" t="inlineStr">
        <is>
          <t>hohler Rücken, welliger Buchblock, erhabene Illuminationen</t>
        </is>
      </c>
      <c r="V162" t="inlineStr">
        <is>
          <t>nicht auflegen</t>
        </is>
      </c>
      <c r="W162" t="inlineStr">
        <is>
          <t>Kassette</t>
        </is>
      </c>
      <c r="X162" t="inlineStr">
        <is>
          <t>Nein</t>
        </is>
      </c>
      <c r="Y162" t="n">
        <v>1</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t>
        </is>
      </c>
      <c r="B163" t="b">
        <v>1</v>
      </c>
      <c r="C163" t="inlineStr"/>
      <c r="D163" t="inlineStr"/>
      <c r="E163" t="n">
        <v>163</v>
      </c>
      <c r="F163">
        <f>HYPERLINK("https://portal.dnb.de/opac.htm?method=simpleSearch&amp;cqlMode=true&amp;query=idn%3D1066973121", "Portal")</f>
        <v/>
      </c>
      <c r="G163" t="inlineStr">
        <is>
          <t>Aaf</t>
        </is>
      </c>
      <c r="H163" t="inlineStr">
        <is>
          <t>L-1477-315503513</t>
        </is>
      </c>
      <c r="I163" t="inlineStr">
        <is>
          <t>1066973121</t>
        </is>
      </c>
      <c r="J163" t="inlineStr">
        <is>
          <t>II 6,1ba - Fragm.</t>
        </is>
      </c>
      <c r="K163" t="inlineStr">
        <is>
          <t>II 6,1ba - Fragm.</t>
        </is>
      </c>
      <c r="L163" t="inlineStr">
        <is>
          <t>II 6,1ba - Fragm.</t>
        </is>
      </c>
      <c r="M163" t="inlineStr"/>
      <c r="N163" t="inlineStr">
        <is>
          <t xml:space="preserve">Vocabularius, lat. und dt. : </t>
        </is>
      </c>
      <c r="O163" t="inlineStr">
        <is>
          <t xml:space="preserve"> : </t>
        </is>
      </c>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t>
        </is>
      </c>
      <c r="B164" t="b">
        <v>1</v>
      </c>
      <c r="C164" t="inlineStr"/>
      <c r="D164" t="inlineStr"/>
      <c r="E164" t="n">
        <v>164</v>
      </c>
      <c r="F164">
        <f>HYPERLINK("https://portal.dnb.de/opac.htm?method=simpleSearch&amp;cqlMode=true&amp;query=idn%3D1072054698", "Portal")</f>
        <v/>
      </c>
      <c r="G164" t="inlineStr">
        <is>
          <t>Aa</t>
        </is>
      </c>
      <c r="H164" t="inlineStr">
        <is>
          <t>L-1474-326853480</t>
        </is>
      </c>
      <c r="I164" t="inlineStr">
        <is>
          <t>1072054698</t>
        </is>
      </c>
      <c r="J164" t="inlineStr">
        <is>
          <t>II 7,1a</t>
        </is>
      </c>
      <c r="K164" t="inlineStr">
        <is>
          <t>II 7,1a</t>
        </is>
      </c>
      <c r="L164" t="inlineStr">
        <is>
          <t>II 7,1a</t>
        </is>
      </c>
      <c r="M164" t="inlineStr"/>
      <c r="N164" t="inlineStr">
        <is>
          <t xml:space="preserve">De periculis contingentibus : </t>
        </is>
      </c>
      <c r="O164" t="inlineStr">
        <is>
          <t xml:space="preserve"> : </t>
        </is>
      </c>
      <c r="P164" t="inlineStr">
        <is>
          <t>X</t>
        </is>
      </c>
      <c r="Q164" t="inlineStr"/>
      <c r="R164" t="inlineStr">
        <is>
          <t>Halbpergamentband</t>
        </is>
      </c>
      <c r="S164" t="inlineStr">
        <is>
          <t>bis 25 cm</t>
        </is>
      </c>
      <c r="T164" t="inlineStr">
        <is>
          <t>180°</t>
        </is>
      </c>
      <c r="U164" t="inlineStr">
        <is>
          <t>erhabene Illuminationen</t>
        </is>
      </c>
      <c r="V164" t="inlineStr">
        <is>
          <t>nicht auflegen</t>
        </is>
      </c>
      <c r="W164" t="inlineStr">
        <is>
          <t>Kassette</t>
        </is>
      </c>
      <c r="X164" t="inlineStr">
        <is>
          <t>Nein</t>
        </is>
      </c>
      <c r="Y164" t="n">
        <v>0</v>
      </c>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t>
        </is>
      </c>
      <c r="B165" t="b">
        <v>1</v>
      </c>
      <c r="C165" t="inlineStr"/>
      <c r="D165" t="inlineStr"/>
      <c r="E165" t="n">
        <v>165</v>
      </c>
      <c r="F165">
        <f>HYPERLINK("https://portal.dnb.de/opac.htm?method=simpleSearch&amp;cqlMode=true&amp;query=idn%3D1066965811", "Portal")</f>
        <v/>
      </c>
      <c r="G165" t="inlineStr">
        <is>
          <t>Aaf</t>
        </is>
      </c>
      <c r="H165" t="inlineStr">
        <is>
          <t>L-1467-315496061</t>
        </is>
      </c>
      <c r="I165" t="inlineStr">
        <is>
          <t>1066965811</t>
        </is>
      </c>
      <c r="J165" t="inlineStr">
        <is>
          <t>II 8,1a</t>
        </is>
      </c>
      <c r="K165" t="inlineStr">
        <is>
          <t>II 8,1a</t>
        </is>
      </c>
      <c r="L165" t="inlineStr">
        <is>
          <t>II 8,1a</t>
        </is>
      </c>
      <c r="M165" t="inlineStr"/>
      <c r="N165" t="inlineStr">
        <is>
          <t xml:space="preserve">De vita Christiana : </t>
        </is>
      </c>
      <c r="O165" t="inlineStr">
        <is>
          <t xml:space="preserve"> : </t>
        </is>
      </c>
      <c r="P165" t="inlineStr">
        <is>
          <t>X</t>
        </is>
      </c>
      <c r="Q165" t="inlineStr"/>
      <c r="R165" t="inlineStr">
        <is>
          <t>Ledereinband</t>
        </is>
      </c>
      <c r="S165" t="inlineStr">
        <is>
          <t>bis 25 cm</t>
        </is>
      </c>
      <c r="T165" t="inlineStr">
        <is>
          <t>80° bis 110°, einseitig digitalisierbar?</t>
        </is>
      </c>
      <c r="U165" t="inlineStr">
        <is>
          <t>hohler Rücken, welliger Buchblock, erhabene Illuminationen</t>
        </is>
      </c>
      <c r="V165" t="inlineStr">
        <is>
          <t>nicht auflegen</t>
        </is>
      </c>
      <c r="W165" t="inlineStr">
        <is>
          <t>Kassette</t>
        </is>
      </c>
      <c r="X165" t="inlineStr">
        <is>
          <t>Nein</t>
        </is>
      </c>
      <c r="Y165" t="n">
        <v>2</v>
      </c>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t>
        </is>
      </c>
      <c r="B166" t="b">
        <v>1</v>
      </c>
      <c r="C166" t="inlineStr"/>
      <c r="D166" t="inlineStr"/>
      <c r="E166" t="n">
        <v>166</v>
      </c>
      <c r="F166">
        <f>HYPERLINK("https://portal.dnb.de/opac.htm?method=simpleSearch&amp;cqlMode=true&amp;query=idn%3D1066964939", "Portal")</f>
        <v/>
      </c>
      <c r="G166" t="inlineStr">
        <is>
          <t>Aaf</t>
        </is>
      </c>
      <c r="H166" t="inlineStr">
        <is>
          <t>L-1477-31549509X</t>
        </is>
      </c>
      <c r="I166" t="inlineStr">
        <is>
          <t>1066964939</t>
        </is>
      </c>
      <c r="J166" t="inlineStr">
        <is>
          <t>II 8,1b</t>
        </is>
      </c>
      <c r="K166" t="inlineStr">
        <is>
          <t>II 8,1b</t>
        </is>
      </c>
      <c r="L166" t="inlineStr">
        <is>
          <t>II 8,1b</t>
        </is>
      </c>
      <c r="M166" t="inlineStr"/>
      <c r="N166" t="inlineStr">
        <is>
          <t xml:space="preserve">Sermones Discipuli : </t>
        </is>
      </c>
      <c r="O166" t="inlineStr">
        <is>
          <t xml:space="preserve"> : </t>
        </is>
      </c>
      <c r="P166" t="inlineStr">
        <is>
          <t>X</t>
        </is>
      </c>
      <c r="Q166" t="inlineStr"/>
      <c r="R166" t="inlineStr">
        <is>
          <t>Ledereinband, Schließen, erhabene Buchbeschläge</t>
        </is>
      </c>
      <c r="S166" t="inlineStr">
        <is>
          <t>bis 35 cm</t>
        </is>
      </c>
      <c r="T166" t="inlineStr">
        <is>
          <t>80° bis 110°, einseitig digitalisierbar?</t>
        </is>
      </c>
      <c r="U166" t="inlineStr">
        <is>
          <t>welliger Buchblock, erhabene Illuminationen</t>
        </is>
      </c>
      <c r="V166" t="inlineStr">
        <is>
          <t>nicht auflegen</t>
        </is>
      </c>
      <c r="W166" t="inlineStr">
        <is>
          <t>Kassette</t>
        </is>
      </c>
      <c r="X166" t="inlineStr">
        <is>
          <t>Nein</t>
        </is>
      </c>
      <c r="Y166" t="n">
        <v>0</v>
      </c>
      <c r="Z166" t="inlineStr"/>
      <c r="AA166" t="inlineStr">
        <is>
          <t>Originaleinband separat</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t>
        </is>
      </c>
      <c r="B167" t="b">
        <v>1</v>
      </c>
      <c r="C167" t="inlineStr"/>
      <c r="D167" t="inlineStr"/>
      <c r="E167" t="n">
        <v>167</v>
      </c>
      <c r="F167">
        <f>HYPERLINK("https://portal.dnb.de/opac.htm?method=simpleSearch&amp;cqlMode=true&amp;query=idn%3D1066968993", "Portal")</f>
        <v/>
      </c>
      <c r="G167" t="inlineStr">
        <is>
          <t>Aaf</t>
        </is>
      </c>
      <c r="H167" t="inlineStr">
        <is>
          <t>L-1482-315499265</t>
        </is>
      </c>
      <c r="I167" t="inlineStr">
        <is>
          <t>1066968993</t>
        </is>
      </c>
      <c r="J167" t="inlineStr">
        <is>
          <t>II 8,1c</t>
        </is>
      </c>
      <c r="K167" t="inlineStr">
        <is>
          <t>II 8,1c</t>
        </is>
      </c>
      <c r="L167" t="inlineStr">
        <is>
          <t>II 8,1c</t>
        </is>
      </c>
      <c r="M167" t="inlineStr"/>
      <c r="N167" t="inlineStr">
        <is>
          <t xml:space="preserve">Postilla super epistolas et evangelia : </t>
        </is>
      </c>
      <c r="O167" t="inlineStr">
        <is>
          <t xml:space="preserve"> : </t>
        </is>
      </c>
      <c r="P167" t="inlineStr">
        <is>
          <t>X</t>
        </is>
      </c>
      <c r="Q167" t="inlineStr"/>
      <c r="R167" t="inlineStr">
        <is>
          <t>Ledereinband, Schließen, erhabene Buchbeschläge</t>
        </is>
      </c>
      <c r="S167" t="inlineStr">
        <is>
          <t>bis 35 cm</t>
        </is>
      </c>
      <c r="T167" t="inlineStr">
        <is>
          <t>180°</t>
        </is>
      </c>
      <c r="U167" t="inlineStr">
        <is>
          <t>hohler Rücken, welliger Buchblock, erhabene Illuminationen</t>
        </is>
      </c>
      <c r="V167" t="inlineStr">
        <is>
          <t>nicht auflegen</t>
        </is>
      </c>
      <c r="W167" t="inlineStr">
        <is>
          <t>Kassette</t>
        </is>
      </c>
      <c r="X167" t="inlineStr">
        <is>
          <t>Nein</t>
        </is>
      </c>
      <c r="Y167" t="n">
        <v>1</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t>
        </is>
      </c>
      <c r="B168" t="b">
        <v>1</v>
      </c>
      <c r="C168" t="inlineStr"/>
      <c r="D168" t="inlineStr"/>
      <c r="E168" t="n">
        <v>168</v>
      </c>
      <c r="F168">
        <f>HYPERLINK("https://portal.dnb.de/opac.htm?method=simpleSearch&amp;cqlMode=true&amp;query=idn%3D1066965080", "Portal")</f>
        <v/>
      </c>
      <c r="G168" t="inlineStr">
        <is>
          <t>Aaf</t>
        </is>
      </c>
      <c r="H168" t="inlineStr">
        <is>
          <t>L-1473-315495227</t>
        </is>
      </c>
      <c r="I168" t="inlineStr">
        <is>
          <t>1066965080</t>
        </is>
      </c>
      <c r="J168" t="inlineStr">
        <is>
          <t>II 8,1d</t>
        </is>
      </c>
      <c r="K168" t="inlineStr">
        <is>
          <t>II 8,1d</t>
        </is>
      </c>
      <c r="L168" t="inlineStr">
        <is>
          <t>II 8,1d</t>
        </is>
      </c>
      <c r="M168" t="inlineStr"/>
      <c r="N168" t="inlineStr">
        <is>
          <t xml:space="preserve">Aurea verba : </t>
        </is>
      </c>
      <c r="O168" t="inlineStr">
        <is>
          <t xml:space="preserve"> : </t>
        </is>
      </c>
      <c r="P168" t="inlineStr">
        <is>
          <t>X</t>
        </is>
      </c>
      <c r="Q168" t="inlineStr"/>
      <c r="R168" t="inlineStr">
        <is>
          <t>Halbledereinband</t>
        </is>
      </c>
      <c r="S168" t="inlineStr">
        <is>
          <t>bis 25 cm</t>
        </is>
      </c>
      <c r="T168" t="inlineStr">
        <is>
          <t>180°</t>
        </is>
      </c>
      <c r="U168" t="inlineStr">
        <is>
          <t>hohler Rücken, welliger Buchblock</t>
        </is>
      </c>
      <c r="V168" t="inlineStr"/>
      <c r="W168" t="inlineStr">
        <is>
          <t>Kassette</t>
        </is>
      </c>
      <c r="X168" t="inlineStr">
        <is>
          <t>Nein</t>
        </is>
      </c>
      <c r="Y168" t="n">
        <v>0</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t>
        </is>
      </c>
      <c r="B169" t="b">
        <v>1</v>
      </c>
      <c r="C169" t="inlineStr"/>
      <c r="D169" t="inlineStr"/>
      <c r="E169" t="n">
        <v>169</v>
      </c>
      <c r="F169">
        <f>HYPERLINK("https://portal.dnb.de/opac.htm?method=simpleSearch&amp;cqlMode=true&amp;query=idn%3D1066966230", "Portal")</f>
        <v/>
      </c>
      <c r="G169" t="inlineStr">
        <is>
          <t>Aaf</t>
        </is>
      </c>
      <c r="H169" t="inlineStr">
        <is>
          <t>L-1470-315496525</t>
        </is>
      </c>
      <c r="I169" t="inlineStr">
        <is>
          <t>1066966230</t>
        </is>
      </c>
      <c r="J169" t="inlineStr">
        <is>
          <t>II 8,1e</t>
        </is>
      </c>
      <c r="K169" t="inlineStr">
        <is>
          <t>II 8,1e</t>
        </is>
      </c>
      <c r="L169" t="inlineStr">
        <is>
          <t>II 8,1e</t>
        </is>
      </c>
      <c r="M169" t="inlineStr"/>
      <c r="N169" t="inlineStr">
        <is>
          <t xml:space="preserve">Sermo de gloriosa Virgine Maria : </t>
        </is>
      </c>
      <c r="O169" t="inlineStr">
        <is>
          <t xml:space="preserve"> : </t>
        </is>
      </c>
      <c r="P169" t="inlineStr">
        <is>
          <t>X</t>
        </is>
      </c>
      <c r="Q169" t="inlineStr"/>
      <c r="R169" t="inlineStr">
        <is>
          <t>Pergamentband</t>
        </is>
      </c>
      <c r="S169" t="inlineStr">
        <is>
          <t>bis 25 cm</t>
        </is>
      </c>
      <c r="T169" t="inlineStr">
        <is>
          <t>80° bis 110°, einseitig digitalisierbar?</t>
        </is>
      </c>
      <c r="U169" t="inlineStr">
        <is>
          <t>hohler Rücken, erhabene Illuminationen</t>
        </is>
      </c>
      <c r="V169" t="inlineStr">
        <is>
          <t>nicht auflegen</t>
        </is>
      </c>
      <c r="W169" t="inlineStr">
        <is>
          <t>Kassette</t>
        </is>
      </c>
      <c r="X169" t="inlineStr">
        <is>
          <t>Nein</t>
        </is>
      </c>
      <c r="Y169" t="n">
        <v>0</v>
      </c>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t>
        </is>
      </c>
      <c r="B170" t="b">
        <v>1</v>
      </c>
      <c r="C170" t="inlineStr"/>
      <c r="D170" t="inlineStr"/>
      <c r="E170" t="n">
        <v>170</v>
      </c>
      <c r="F170">
        <f>HYPERLINK("https://portal.dnb.de/opac.htm?method=simpleSearch&amp;cqlMode=true&amp;query=idn%3D106696632X", "Portal")</f>
        <v/>
      </c>
      <c r="G170" t="inlineStr">
        <is>
          <t>Aaf</t>
        </is>
      </c>
      <c r="H170" t="inlineStr">
        <is>
          <t>L-1473-315496606</t>
        </is>
      </c>
      <c r="I170" t="inlineStr">
        <is>
          <t>106696632X</t>
        </is>
      </c>
      <c r="J170" t="inlineStr">
        <is>
          <t>II 8,1f</t>
        </is>
      </c>
      <c r="K170" t="inlineStr">
        <is>
          <t>II 8,1f</t>
        </is>
      </c>
      <c r="L170" t="inlineStr">
        <is>
          <t>II 8,1f</t>
        </is>
      </c>
      <c r="M170" t="inlineStr"/>
      <c r="N170" t="inlineStr">
        <is>
          <t xml:space="preserve">Speculum de honestate vitae : </t>
        </is>
      </c>
      <c r="O170" t="inlineStr">
        <is>
          <t xml:space="preserve"> : </t>
        </is>
      </c>
      <c r="P170" t="inlineStr">
        <is>
          <t>X</t>
        </is>
      </c>
      <c r="Q170" t="inlineStr"/>
      <c r="R170" t="inlineStr">
        <is>
          <t>Pergamentband</t>
        </is>
      </c>
      <c r="S170" t="inlineStr">
        <is>
          <t>bis 25 cm</t>
        </is>
      </c>
      <c r="T170" t="inlineStr">
        <is>
          <t>80° bis 110°, einseitig digitalisierbar?</t>
        </is>
      </c>
      <c r="U170" t="inlineStr"/>
      <c r="V170" t="inlineStr"/>
      <c r="W170" t="inlineStr">
        <is>
          <t>Kassette</t>
        </is>
      </c>
      <c r="X170" t="inlineStr">
        <is>
          <t>Nein</t>
        </is>
      </c>
      <c r="Y170" t="n">
        <v>0</v>
      </c>
      <c r="Z170" t="inlineStr"/>
      <c r="AA170" t="inlineStr">
        <is>
          <t>umgebunden,Originaleinband mit Blindmaterial liegt bei</t>
        </is>
      </c>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t>
        </is>
      </c>
      <c r="B171" t="b">
        <v>1</v>
      </c>
      <c r="C171" t="inlineStr"/>
      <c r="D171" t="inlineStr"/>
      <c r="E171" t="n">
        <v>171</v>
      </c>
      <c r="F171">
        <f>HYPERLINK("https://portal.dnb.de/opac.htm?method=simpleSearch&amp;cqlMode=true&amp;query=idn%3D1066968403", "Portal")</f>
        <v/>
      </c>
      <c r="G171" t="inlineStr">
        <is>
          <t>Aaf</t>
        </is>
      </c>
      <c r="H171" t="inlineStr">
        <is>
          <t>L-1472-31549865X</t>
        </is>
      </c>
      <c r="I171" t="inlineStr">
        <is>
          <t>1066968403</t>
        </is>
      </c>
      <c r="J171" t="inlineStr">
        <is>
          <t>II 8,1g</t>
        </is>
      </c>
      <c r="K171" t="inlineStr">
        <is>
          <t>II 8,1g</t>
        </is>
      </c>
      <c r="L171" t="inlineStr">
        <is>
          <t>II 8,1g</t>
        </is>
      </c>
      <c r="M171" t="inlineStr"/>
      <c r="N171" t="inlineStr">
        <is>
          <t xml:space="preserve">Conclusiones de diversis materiis moralibus : </t>
        </is>
      </c>
      <c r="O171" t="inlineStr">
        <is>
          <t xml:space="preserve"> : </t>
        </is>
      </c>
      <c r="P171" t="inlineStr">
        <is>
          <t>X</t>
        </is>
      </c>
      <c r="Q171" t="inlineStr"/>
      <c r="R171" t="inlineStr">
        <is>
          <t>Gewebeeinband, Schließen, erhabene Buchbeschläge</t>
        </is>
      </c>
      <c r="S171" t="inlineStr">
        <is>
          <t>bis 25 cm</t>
        </is>
      </c>
      <c r="T171" t="inlineStr">
        <is>
          <t>180°</t>
        </is>
      </c>
      <c r="U171" t="inlineStr">
        <is>
          <t>hohler Rücken, welliger Buchblock, erhabene Illuminationen</t>
        </is>
      </c>
      <c r="V171" t="inlineStr">
        <is>
          <t>nicht auflegen</t>
        </is>
      </c>
      <c r="W171" t="inlineStr">
        <is>
          <t>Kassette</t>
        </is>
      </c>
      <c r="X171" t="inlineStr">
        <is>
          <t>Nein</t>
        </is>
      </c>
      <c r="Y171" t="n">
        <v>1</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t>
        </is>
      </c>
      <c r="B172" t="b">
        <v>1</v>
      </c>
      <c r="C172" t="inlineStr"/>
      <c r="D172" t="inlineStr"/>
      <c r="E172" t="n">
        <v>172</v>
      </c>
      <c r="F172">
        <f>HYPERLINK("https://portal.dnb.de/opac.htm?method=simpleSearch&amp;cqlMode=true&amp;query=idn%3D1066968446", "Portal")</f>
        <v/>
      </c>
      <c r="G172" t="inlineStr">
        <is>
          <t>Aaf</t>
        </is>
      </c>
      <c r="H172" t="inlineStr">
        <is>
          <t>L-1472-315498692</t>
        </is>
      </c>
      <c r="I172" t="inlineStr">
        <is>
          <t>1066968446</t>
        </is>
      </c>
      <c r="J172" t="inlineStr">
        <is>
          <t>II 8,1h</t>
        </is>
      </c>
      <c r="K172" t="inlineStr">
        <is>
          <t>II 8,1h</t>
        </is>
      </c>
      <c r="L172" t="inlineStr">
        <is>
          <t>II 8,1h</t>
        </is>
      </c>
      <c r="M172" t="inlineStr"/>
      <c r="N172" t="inlineStr">
        <is>
          <t xml:space="preserve">De pollutione nocturna : </t>
        </is>
      </c>
      <c r="O172" t="inlineStr">
        <is>
          <t xml:space="preserve"> : </t>
        </is>
      </c>
      <c r="P172" t="inlineStr">
        <is>
          <t>X</t>
        </is>
      </c>
      <c r="Q172" t="inlineStr"/>
      <c r="R172" t="inlineStr">
        <is>
          <t>Pergamentband</t>
        </is>
      </c>
      <c r="S172" t="inlineStr">
        <is>
          <t>bis 25 cm</t>
        </is>
      </c>
      <c r="T172" t="inlineStr">
        <is>
          <t>80° bis 110°, einseitig digitalisierbar?</t>
        </is>
      </c>
      <c r="U172" t="inlineStr">
        <is>
          <t>hohler Rücken, erhabene Illuminationen</t>
        </is>
      </c>
      <c r="V172" t="inlineStr">
        <is>
          <t>nicht auflegen</t>
        </is>
      </c>
      <c r="W172" t="inlineStr">
        <is>
          <t>Kassette</t>
        </is>
      </c>
      <c r="X172" t="inlineStr">
        <is>
          <t>Nein</t>
        </is>
      </c>
      <c r="Y172" t="n">
        <v>0</v>
      </c>
      <c r="Z172" t="inlineStr"/>
      <c r="AA172" t="inlineStr">
        <is>
          <t>umgebunden,Originaleinband mit Blindmaterial liegt bei</t>
        </is>
      </c>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t>
        </is>
      </c>
      <c r="B173" t="b">
        <v>1</v>
      </c>
      <c r="C173" t="inlineStr"/>
      <c r="D173" t="inlineStr"/>
      <c r="E173" t="n">
        <v>173</v>
      </c>
      <c r="F173">
        <f>HYPERLINK("https://portal.dnb.de/opac.htm?method=simpleSearch&amp;cqlMode=true&amp;query=idn%3D1066968438", "Portal")</f>
        <v/>
      </c>
      <c r="G173" t="inlineStr">
        <is>
          <t>Aaf</t>
        </is>
      </c>
      <c r="H173" t="inlineStr">
        <is>
          <t>L-1470-315498684</t>
        </is>
      </c>
      <c r="I173" t="inlineStr">
        <is>
          <t>1066968438</t>
        </is>
      </c>
      <c r="J173" t="inlineStr">
        <is>
          <t>II 8,1i</t>
        </is>
      </c>
      <c r="K173" t="inlineStr">
        <is>
          <t>II 8,1i</t>
        </is>
      </c>
      <c r="L173" t="inlineStr">
        <is>
          <t>II 8,1i</t>
        </is>
      </c>
      <c r="M173" t="inlineStr"/>
      <c r="N173" t="inlineStr">
        <is>
          <t xml:space="preserve">De meditatione cordis. De modo orandi. De valore orationis et de attentione : </t>
        </is>
      </c>
      <c r="O173" t="inlineStr">
        <is>
          <t xml:space="preserve"> : </t>
        </is>
      </c>
      <c r="P173" t="inlineStr">
        <is>
          <t>X</t>
        </is>
      </c>
      <c r="Q173" t="inlineStr"/>
      <c r="R173" t="inlineStr">
        <is>
          <t>Gewebeeinband, Schließen, erhabene Buchbeschläge</t>
        </is>
      </c>
      <c r="S173" t="inlineStr">
        <is>
          <t>bis 25 cm</t>
        </is>
      </c>
      <c r="T173" t="inlineStr">
        <is>
          <t>180°</t>
        </is>
      </c>
      <c r="U173" t="inlineStr">
        <is>
          <t>hohler Rücken, welliger Buchblock, erhabene Illuminationen</t>
        </is>
      </c>
      <c r="V173" t="inlineStr">
        <is>
          <t>nicht auflegen</t>
        </is>
      </c>
      <c r="W173" t="inlineStr">
        <is>
          <t>Kassette</t>
        </is>
      </c>
      <c r="X173" t="inlineStr">
        <is>
          <t>Nein</t>
        </is>
      </c>
      <c r="Y173" t="n">
        <v>0</v>
      </c>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t>
        </is>
      </c>
      <c r="B174" t="b">
        <v>1</v>
      </c>
      <c r="C174" t="inlineStr"/>
      <c r="D174" t="inlineStr"/>
      <c r="E174" t="n">
        <v>174</v>
      </c>
      <c r="F174">
        <f>HYPERLINK("https://portal.dnb.de/opac.htm?method=simpleSearch&amp;cqlMode=true&amp;query=idn%3D1066968748", "Portal")</f>
        <v/>
      </c>
      <c r="G174" t="inlineStr">
        <is>
          <t>Aaf</t>
        </is>
      </c>
      <c r="H174" t="inlineStr">
        <is>
          <t>L-1471-315498994</t>
        </is>
      </c>
      <c r="I174" t="inlineStr">
        <is>
          <t>1066968748</t>
        </is>
      </c>
      <c r="J174" t="inlineStr">
        <is>
          <t>II 8,1k</t>
        </is>
      </c>
      <c r="K174" t="inlineStr">
        <is>
          <t>II 8,1k</t>
        </is>
      </c>
      <c r="L174" t="inlineStr">
        <is>
          <t>II 8,1k</t>
        </is>
      </c>
      <c r="M174" t="inlineStr"/>
      <c r="N174" t="inlineStr">
        <is>
          <t xml:space="preserve">Regula pastoralis : </t>
        </is>
      </c>
      <c r="O174" t="inlineStr">
        <is>
          <t xml:space="preserve"> : </t>
        </is>
      </c>
      <c r="P174" t="inlineStr">
        <is>
          <t>X</t>
        </is>
      </c>
      <c r="Q174" t="inlineStr"/>
      <c r="R174" t="inlineStr">
        <is>
          <t>Halbledereinband</t>
        </is>
      </c>
      <c r="S174" t="inlineStr">
        <is>
          <t>bis 25 cm</t>
        </is>
      </c>
      <c r="T174" t="inlineStr"/>
      <c r="U174" t="inlineStr">
        <is>
          <t>hohler Rücken, welliger Buchblock, erhabene Illuminationen</t>
        </is>
      </c>
      <c r="V174" t="inlineStr">
        <is>
          <t>nicht auflegen</t>
        </is>
      </c>
      <c r="W174" t="inlineStr">
        <is>
          <t>Kassette</t>
        </is>
      </c>
      <c r="X174" t="inlineStr">
        <is>
          <t>Nein</t>
        </is>
      </c>
      <c r="Y174" t="n">
        <v>1</v>
      </c>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t>
        </is>
      </c>
      <c r="B175" t="b">
        <v>1</v>
      </c>
      <c r="C175" t="inlineStr">
        <is>
          <t>x</t>
        </is>
      </c>
      <c r="D175" t="inlineStr"/>
      <c r="E175" t="n">
        <v>175</v>
      </c>
      <c r="F175">
        <f>HYPERLINK("https://portal.dnb.de/opac.htm?method=simpleSearch&amp;cqlMode=true&amp;query=idn%3D1072494108", "Portal")</f>
        <v/>
      </c>
      <c r="G175" t="inlineStr">
        <is>
          <t>Af</t>
        </is>
      </c>
      <c r="H175" t="inlineStr">
        <is>
          <t>L-1485-327855061</t>
        </is>
      </c>
      <c r="I175" t="inlineStr">
        <is>
          <t>1072494108</t>
        </is>
      </c>
      <c r="J175" t="inlineStr">
        <is>
          <t>II 8,1l - 2</t>
        </is>
      </c>
      <c r="K175" t="inlineStr">
        <is>
          <t>II 8,1l - 2</t>
        </is>
      </c>
      <c r="L175" t="inlineStr">
        <is>
          <t>II 8,1l - 2</t>
        </is>
      </c>
      <c r="M175" t="inlineStr"/>
      <c r="N175" t="inlineStr">
        <is>
          <t>Postilla super totam Bibliam</t>
        </is>
      </c>
      <c r="O175" t="inlineStr">
        <is>
          <t>P.2. : Paralipomena - Psalmi</t>
        </is>
      </c>
      <c r="P175" t="inlineStr">
        <is>
          <t>X</t>
        </is>
      </c>
      <c r="Q175" t="inlineStr">
        <is>
          <t>4250,00 EUR</t>
        </is>
      </c>
      <c r="R175" t="inlineStr">
        <is>
          <t>Ledereinband, Schließen, erhabene Buchbeschläge</t>
        </is>
      </c>
      <c r="S175" t="inlineStr">
        <is>
          <t>bis 35 cm</t>
        </is>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is>
          <t>HD</t>
        </is>
      </c>
      <c r="AJ175" t="inlineStr"/>
      <c r="AK175" t="inlineStr">
        <is>
          <t>x</t>
        </is>
      </c>
      <c r="AL175" t="inlineStr"/>
      <c r="AM175" t="inlineStr">
        <is>
          <t>h/E</t>
        </is>
      </c>
      <c r="AN175" t="inlineStr"/>
      <c r="AO175" t="inlineStr"/>
      <c r="AP175" t="inlineStr"/>
      <c r="AQ175" t="inlineStr"/>
      <c r="AR175" t="inlineStr"/>
      <c r="AS175" t="inlineStr">
        <is>
          <t>Pa</t>
        </is>
      </c>
      <c r="AT175" t="inlineStr"/>
      <c r="AU175" t="inlineStr"/>
      <c r="AV175" t="inlineStr"/>
      <c r="AW175" t="inlineStr"/>
      <c r="AX175" t="inlineStr"/>
      <c r="AY175" t="inlineStr"/>
      <c r="AZ175" t="inlineStr"/>
      <c r="BA175" t="inlineStr"/>
      <c r="BB175" t="inlineStr"/>
      <c r="BC175" t="inlineStr">
        <is>
          <t>I/R</t>
        </is>
      </c>
      <c r="BD175" t="inlineStr">
        <is>
          <t>x</t>
        </is>
      </c>
      <c r="BE175" t="inlineStr"/>
      <c r="BF175" t="inlineStr"/>
      <c r="BG175" t="n">
        <v>0</v>
      </c>
      <c r="BH175" t="inlineStr">
        <is>
          <t xml:space="preserve">
wegen schlechter Lederqualität und steifer Rückeneinlage --&gt; Gelenke reißen ein</t>
        </is>
      </c>
      <c r="BI175" t="inlineStr"/>
      <c r="BJ175" t="inlineStr"/>
      <c r="BK175" t="inlineStr"/>
      <c r="BL175" t="inlineStr"/>
      <c r="BM175" t="inlineStr">
        <is>
          <t>ja ÖW=0</t>
        </is>
      </c>
      <c r="BN175" t="n">
        <v>2</v>
      </c>
      <c r="BO175" t="inlineStr"/>
      <c r="BP175" t="inlineStr">
        <is>
          <t>Wellpappe</t>
        </is>
      </c>
      <c r="BQ175" t="inlineStr"/>
      <c r="BR175" t="inlineStr"/>
      <c r="BS175" t="inlineStr"/>
      <c r="BT175" t="inlineStr"/>
      <c r="BU175" t="inlineStr"/>
      <c r="BV175" t="inlineStr"/>
      <c r="BW175" t="inlineStr"/>
      <c r="BX175" t="inlineStr"/>
      <c r="BY175" t="inlineStr"/>
      <c r="BZ175" t="inlineStr">
        <is>
          <t>x</t>
        </is>
      </c>
      <c r="CA175" t="inlineStr">
        <is>
          <t>x</t>
        </is>
      </c>
      <c r="CB175" t="inlineStr">
        <is>
          <t>x</t>
        </is>
      </c>
      <c r="CC175" t="inlineStr"/>
      <c r="CD175" t="inlineStr">
        <is>
          <t>v/h</t>
        </is>
      </c>
      <c r="CE175" t="inlineStr"/>
      <c r="CF175" t="inlineStr"/>
      <c r="CG175" t="inlineStr"/>
      <c r="CH175" t="inlineStr"/>
      <c r="CI175" t="inlineStr"/>
      <c r="CJ175" t="inlineStr"/>
      <c r="CK175" t="inlineStr"/>
      <c r="CL175" t="inlineStr"/>
      <c r="CM175" t="n">
        <v>2</v>
      </c>
      <c r="CN175" t="inlineStr">
        <is>
          <t>Gelenke mit JP-Gewebe-Laminat stabilisieren</t>
        </is>
      </c>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t>
        </is>
      </c>
      <c r="B176" t="b">
        <v>1</v>
      </c>
      <c r="C176" t="inlineStr"/>
      <c r="D176" t="inlineStr"/>
      <c r="E176" t="n">
        <v>176</v>
      </c>
      <c r="F176">
        <f>HYPERLINK("https://portal.dnb.de/opac.htm?method=simpleSearch&amp;cqlMode=true&amp;query=idn%3D107249423X", "Portal")</f>
        <v/>
      </c>
      <c r="G176" t="inlineStr">
        <is>
          <t>Af</t>
        </is>
      </c>
      <c r="H176" t="inlineStr">
        <is>
          <t>L-1485-32785524X</t>
        </is>
      </c>
      <c r="I176" t="inlineStr">
        <is>
          <t>107249423X</t>
        </is>
      </c>
      <c r="J176" t="inlineStr">
        <is>
          <t>II 8,1l - 4</t>
        </is>
      </c>
      <c r="K176" t="inlineStr">
        <is>
          <t>II 8,1l - 4</t>
        </is>
      </c>
      <c r="L176" t="inlineStr">
        <is>
          <t>II 8,1l - 4</t>
        </is>
      </c>
      <c r="M176" t="inlineStr"/>
      <c r="N176" t="inlineStr">
        <is>
          <t>Postilla super totam Bibliam</t>
        </is>
      </c>
      <c r="O176" t="inlineStr">
        <is>
          <t>P.4. : Evangelia - Apocalypsis</t>
        </is>
      </c>
      <c r="P176" t="inlineStr">
        <is>
          <t>X</t>
        </is>
      </c>
      <c r="Q176" t="inlineStr"/>
      <c r="R176" t="inlineStr">
        <is>
          <t>Halbledereinband, Schließen, erhabene Buchbeschläge</t>
        </is>
      </c>
      <c r="S176" t="inlineStr">
        <is>
          <t>bis 35 cm</t>
        </is>
      </c>
      <c r="T176" t="inlineStr">
        <is>
          <t>180°</t>
        </is>
      </c>
      <c r="U176" t="inlineStr">
        <is>
          <t>hohler Rücken, erhabene Illuminationen</t>
        </is>
      </c>
      <c r="V176" t="inlineStr">
        <is>
          <t>nicht auflegen</t>
        </is>
      </c>
      <c r="W176" t="inlineStr">
        <is>
          <t>Kassette</t>
        </is>
      </c>
      <c r="X176" t="inlineStr">
        <is>
          <t>Nein</t>
        </is>
      </c>
      <c r="Y176" t="n">
        <v>0</v>
      </c>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t>
        </is>
      </c>
      <c r="B177" t="b">
        <v>1</v>
      </c>
      <c r="C177" t="inlineStr"/>
      <c r="D177" t="inlineStr"/>
      <c r="E177" t="n">
        <v>177</v>
      </c>
      <c r="F177">
        <f>HYPERLINK("https://portal.dnb.de/opac.htm?method=simpleSearch&amp;cqlMode=true&amp;query=idn%3D1066971226", "Portal")</f>
        <v/>
      </c>
      <c r="G177" t="inlineStr">
        <is>
          <t>Aaf</t>
        </is>
      </c>
      <c r="H177" t="inlineStr">
        <is>
          <t>L-1470-315501596</t>
        </is>
      </c>
      <c r="I177" t="inlineStr">
        <is>
          <t>1066971226</t>
        </is>
      </c>
      <c r="J177" t="inlineStr">
        <is>
          <t>II 8,1m</t>
        </is>
      </c>
      <c r="K177" t="inlineStr">
        <is>
          <t>II 8,1m</t>
        </is>
      </c>
      <c r="L177" t="inlineStr">
        <is>
          <t>II 8,1m</t>
        </is>
      </c>
      <c r="M177" t="inlineStr"/>
      <c r="N177" t="inlineStr">
        <is>
          <t xml:space="preserve">De morali lepra : </t>
        </is>
      </c>
      <c r="O177" t="inlineStr">
        <is>
          <t xml:space="preserve"> : </t>
        </is>
      </c>
      <c r="P177" t="inlineStr">
        <is>
          <t>X</t>
        </is>
      </c>
      <c r="Q177" t="inlineStr"/>
      <c r="R177" t="inlineStr">
        <is>
          <t>Gewebeeinband, Schließen, erhabene Buchbeschläge</t>
        </is>
      </c>
      <c r="S177" t="inlineStr">
        <is>
          <t>bis 25 cm</t>
        </is>
      </c>
      <c r="T177" t="inlineStr">
        <is>
          <t>180°</t>
        </is>
      </c>
      <c r="U177" t="inlineStr">
        <is>
          <t>hohler Rücken, erhabene Illuminationen, hohler Rücken, erhabene Illuminationen, hohler Rücken, erhabene Illuminationen, hohler Rücken, erhabene Illuminationen</t>
        </is>
      </c>
      <c r="V177" t="inlineStr">
        <is>
          <t>nicht auflegen</t>
        </is>
      </c>
      <c r="W177" t="inlineStr">
        <is>
          <t>Kassette</t>
        </is>
      </c>
      <c r="X177" t="inlineStr">
        <is>
          <t>Nein</t>
        </is>
      </c>
      <c r="Y177" t="n">
        <v>2</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t>
        </is>
      </c>
      <c r="B178" t="b">
        <v>1</v>
      </c>
      <c r="C178" t="inlineStr"/>
      <c r="D178" t="inlineStr"/>
      <c r="E178" t="n">
        <v>178</v>
      </c>
      <c r="F178">
        <f>HYPERLINK("https://portal.dnb.de/opac.htm?method=simpleSearch&amp;cqlMode=true&amp;query=idn%3D107955310X", "Portal")</f>
        <v/>
      </c>
      <c r="G178" t="inlineStr">
        <is>
          <t>Aal</t>
        </is>
      </c>
      <c r="H178" t="inlineStr">
        <is>
          <t>L-1467-343703882</t>
        </is>
      </c>
      <c r="I178" t="inlineStr">
        <is>
          <t>107955310X</t>
        </is>
      </c>
      <c r="J178" t="inlineStr">
        <is>
          <t>II 8,1n</t>
        </is>
      </c>
      <c r="K178" t="inlineStr">
        <is>
          <t>II 8,1n</t>
        </is>
      </c>
      <c r="L178" t="inlineStr">
        <is>
          <t>II 8,1n</t>
        </is>
      </c>
      <c r="M178" t="inlineStr"/>
      <c r="N178" t="inlineStr">
        <is>
          <t>Summa de articulis fidei et ecclesiae sacramentis : Mit Widm. an Leonardus, Erzbischof von Palermo</t>
        </is>
      </c>
      <c r="O178" t="inlineStr">
        <is>
          <t xml:space="preserve"> : </t>
        </is>
      </c>
      <c r="P178" t="inlineStr">
        <is>
          <t>X</t>
        </is>
      </c>
      <c r="Q178" t="inlineStr"/>
      <c r="R178" t="inlineStr">
        <is>
          <t>Gewebeeinband, Schließen, erhabene Buchbeschläge</t>
        </is>
      </c>
      <c r="S178" t="inlineStr">
        <is>
          <t>bis 25 cm</t>
        </is>
      </c>
      <c r="T178" t="inlineStr">
        <is>
          <t>80° bis 110°, einseitig digitalisierbar?</t>
        </is>
      </c>
      <c r="U178" t="inlineStr">
        <is>
          <t>hohler Rücken, erhabene Illuminationen</t>
        </is>
      </c>
      <c r="V178" t="inlineStr">
        <is>
          <t>nicht auflegen</t>
        </is>
      </c>
      <c r="W178" t="inlineStr">
        <is>
          <t>Kassette</t>
        </is>
      </c>
      <c r="X178" t="inlineStr">
        <is>
          <t>Nein</t>
        </is>
      </c>
      <c r="Y178" t="n">
        <v>1</v>
      </c>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t>
        </is>
      </c>
      <c r="B179" t="b">
        <v>1</v>
      </c>
      <c r="C179" t="inlineStr">
        <is>
          <t>x</t>
        </is>
      </c>
      <c r="D179" t="inlineStr"/>
      <c r="E179" t="n">
        <v>179</v>
      </c>
      <c r="F179">
        <f>HYPERLINK("https://portal.dnb.de/opac.htm?method=simpleSearch&amp;cqlMode=true&amp;query=idn%3D1066965021", "Portal")</f>
        <v/>
      </c>
      <c r="G179" t="inlineStr">
        <is>
          <t>Aa</t>
        </is>
      </c>
      <c r="H179" t="inlineStr">
        <is>
          <t>L-1486-315495162</t>
        </is>
      </c>
      <c r="I179" t="inlineStr">
        <is>
          <t>1066965021</t>
        </is>
      </c>
      <c r="J179" t="inlineStr">
        <is>
          <t>II 8,2a</t>
        </is>
      </c>
      <c r="K179" t="inlineStr">
        <is>
          <t>II 8,2a</t>
        </is>
      </c>
      <c r="L179" t="inlineStr">
        <is>
          <t>II 8,2a</t>
        </is>
      </c>
      <c r="M179" t="inlineStr"/>
      <c r="N179" t="inlineStr">
        <is>
          <t xml:space="preserve">De remediis utriusque fortunae : </t>
        </is>
      </c>
      <c r="O179" t="inlineStr">
        <is>
          <t xml:space="preserve"> : </t>
        </is>
      </c>
      <c r="P179" t="inlineStr"/>
      <c r="Q179" t="inlineStr">
        <is>
          <t>4800,00 EUR</t>
        </is>
      </c>
      <c r="R179" t="inlineStr">
        <is>
          <t>Ledereinband, Schließen, erhabene Buchbeschläge</t>
        </is>
      </c>
      <c r="S179" t="inlineStr">
        <is>
          <t>bis 25 cm</t>
        </is>
      </c>
      <c r="T179" t="inlineStr">
        <is>
          <t>80° bis 110°, einseitig digitalisierbar?</t>
        </is>
      </c>
      <c r="U179" t="inlineStr">
        <is>
          <t>fester Rücken mit Schmuckprägung, erhabene Illuminationen</t>
        </is>
      </c>
      <c r="V179" t="inlineStr">
        <is>
          <t>nicht auflegen</t>
        </is>
      </c>
      <c r="W179" t="inlineStr">
        <is>
          <t>Kassette</t>
        </is>
      </c>
      <c r="X179" t="inlineStr">
        <is>
          <t>Nein</t>
        </is>
      </c>
      <c r="Y179" t="n">
        <v>1</v>
      </c>
      <c r="Z179" t="inlineStr"/>
      <c r="AA179" t="inlineStr"/>
      <c r="AB179" t="inlineStr"/>
      <c r="AC179" t="inlineStr"/>
      <c r="AD179" t="inlineStr"/>
      <c r="AE179" t="inlineStr"/>
      <c r="AF179" t="inlineStr"/>
      <c r="AG179" t="inlineStr"/>
      <c r="AH179" t="inlineStr"/>
      <c r="AI179" t="inlineStr">
        <is>
          <t>L</t>
        </is>
      </c>
      <c r="AJ179" t="inlineStr"/>
      <c r="AK179" t="inlineStr"/>
      <c r="AL179" t="inlineStr"/>
      <c r="AM179" t="inlineStr">
        <is>
          <t>f/V</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c r="BC179" t="inlineStr">
        <is>
          <t>I</t>
        </is>
      </c>
      <c r="BD179" t="inlineStr">
        <is>
          <t>x</t>
        </is>
      </c>
      <c r="BE179" t="inlineStr"/>
      <c r="BF179" t="inlineStr"/>
      <c r="BG179" t="n">
        <v>45</v>
      </c>
      <c r="BH179" t="inlineStr"/>
      <c r="BI179" t="inlineStr"/>
      <c r="BJ179" t="inlineStr"/>
      <c r="BK179" t="inlineStr"/>
      <c r="BL179" t="inlineStr"/>
      <c r="BM179" t="inlineStr">
        <is>
          <t>ja vor</t>
        </is>
      </c>
      <c r="BN179" t="n">
        <v>1</v>
      </c>
      <c r="BO179" t="inlineStr"/>
      <c r="BP179" t="inlineStr">
        <is>
          <t>Wellpappe</t>
        </is>
      </c>
      <c r="BQ179" t="inlineStr"/>
      <c r="BR179" t="inlineStr"/>
      <c r="BS179" t="inlineStr"/>
      <c r="BT179" t="inlineStr"/>
      <c r="BU179" t="inlineStr"/>
      <c r="BV179" t="inlineStr"/>
      <c r="BW179" t="inlineStr"/>
      <c r="BX179" t="inlineStr"/>
      <c r="BY179" t="inlineStr"/>
      <c r="BZ179" t="inlineStr">
        <is>
          <t>x</t>
        </is>
      </c>
      <c r="CA179" t="inlineStr">
        <is>
          <t>x</t>
        </is>
      </c>
      <c r="CB179" t="inlineStr">
        <is>
          <t>x</t>
        </is>
      </c>
      <c r="CC179" t="inlineStr"/>
      <c r="CD179" t="inlineStr"/>
      <c r="CE179" t="inlineStr"/>
      <c r="CF179" t="inlineStr"/>
      <c r="CG179" t="inlineStr"/>
      <c r="CH179" t="inlineStr"/>
      <c r="CI179" t="inlineStr"/>
      <c r="CJ179" t="inlineStr"/>
      <c r="CK179" t="inlineStr"/>
      <c r="CL179" t="inlineStr"/>
      <c r="CM179" t="n">
        <v>1</v>
      </c>
      <c r="CN179" t="inlineStr">
        <is>
          <t>Rücken mit JP sichern, ggf. lokal mit dünnem JP überfangen</t>
        </is>
      </c>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t>
        </is>
      </c>
      <c r="B180" t="b">
        <v>1</v>
      </c>
      <c r="C180" t="inlineStr"/>
      <c r="D180" t="inlineStr"/>
      <c r="E180" t="n">
        <v>180</v>
      </c>
      <c r="F180">
        <f>HYPERLINK("https://portal.dnb.de/opac.htm?method=simpleSearch&amp;cqlMode=true&amp;query=idn%3D106696839X", "Portal")</f>
        <v/>
      </c>
      <c r="G180" t="inlineStr">
        <is>
          <t>Aaf</t>
        </is>
      </c>
      <c r="H180" t="inlineStr">
        <is>
          <t>L-1476-315498641</t>
        </is>
      </c>
      <c r="I180" t="inlineStr">
        <is>
          <t>106696839X</t>
        </is>
      </c>
      <c r="J180" t="inlineStr">
        <is>
          <t>II 8,2b</t>
        </is>
      </c>
      <c r="K180" t="inlineStr">
        <is>
          <t>II 8,2b</t>
        </is>
      </c>
      <c r="L180" t="inlineStr">
        <is>
          <t>II 8,2b</t>
        </is>
      </c>
      <c r="M180" t="inlineStr"/>
      <c r="N180" t="inlineStr">
        <is>
          <t xml:space="preserve">Declaratio modi et formae venditionis et emptionis reddituum perpetuorum et vitalium : </t>
        </is>
      </c>
      <c r="O180" t="inlineStr">
        <is>
          <t xml:space="preserve"> : </t>
        </is>
      </c>
      <c r="P180" t="inlineStr">
        <is>
          <t>X</t>
        </is>
      </c>
      <c r="Q180" t="inlineStr"/>
      <c r="R180" t="inlineStr">
        <is>
          <t>Halbledereinband, Schließen, erhabene Buchbeschläge</t>
        </is>
      </c>
      <c r="S180" t="inlineStr">
        <is>
          <t>bis 35 cm</t>
        </is>
      </c>
      <c r="T180" t="inlineStr">
        <is>
          <t>180°</t>
        </is>
      </c>
      <c r="U180" t="inlineStr">
        <is>
          <t>hohler Rücken</t>
        </is>
      </c>
      <c r="V180" t="inlineStr"/>
      <c r="W180" t="inlineStr">
        <is>
          <t>Kassette</t>
        </is>
      </c>
      <c r="X180" t="inlineStr">
        <is>
          <t>Nein</t>
        </is>
      </c>
      <c r="Y180" t="n">
        <v>1</v>
      </c>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t>
        </is>
      </c>
      <c r="B181" t="b">
        <v>1</v>
      </c>
      <c r="C181" t="inlineStr"/>
      <c r="D181" t="inlineStr"/>
      <c r="E181" t="inlineStr"/>
      <c r="F181">
        <f>HYPERLINK("https://portal.dnb.de/opac.htm?method=simpleSearch&amp;cqlMode=true&amp;query=idn%3D1268960594", "Portal")</f>
        <v/>
      </c>
      <c r="G181" t="inlineStr">
        <is>
          <t>Qd</t>
        </is>
      </c>
      <c r="H181" t="inlineStr">
        <is>
          <t>L-1472-834343320</t>
        </is>
      </c>
      <c r="I181" t="inlineStr">
        <is>
          <t>1268960594</t>
        </is>
      </c>
      <c r="J181" t="inlineStr">
        <is>
          <t>II 8,2c</t>
        </is>
      </c>
      <c r="K181" t="inlineStr">
        <is>
          <t>II 8,2c</t>
        </is>
      </c>
      <c r="L181" t="inlineStr">
        <is>
          <t>II 8,2c</t>
        </is>
      </c>
      <c r="M181" t="inlineStr"/>
      <c r="N181" t="inlineStr">
        <is>
          <t xml:space="preserve">Sammelband mit Inkunabel und Fachbuch des 19. Jahrhunderts : </t>
        </is>
      </c>
      <c r="O181" t="inlineStr">
        <is>
          <t xml:space="preserve"> : </t>
        </is>
      </c>
      <c r="P181" t="inlineStr">
        <is>
          <t>X</t>
        </is>
      </c>
      <c r="Q181" t="inlineStr"/>
      <c r="R181" t="inlineStr">
        <is>
          <t>Halbledereinband, Schließen, erhabene Buchbeschläge</t>
        </is>
      </c>
      <c r="S181" t="inlineStr">
        <is>
          <t>bis 35 cm</t>
        </is>
      </c>
      <c r="T181" t="inlineStr">
        <is>
          <t>180°</t>
        </is>
      </c>
      <c r="U181" t="inlineStr">
        <is>
          <t>hohler Rücken, welliger Buchblock, erhabene Illuminationen</t>
        </is>
      </c>
      <c r="V181" t="inlineStr">
        <is>
          <t>nicht auflegen</t>
        </is>
      </c>
      <c r="W181" t="inlineStr">
        <is>
          <t>Kassette</t>
        </is>
      </c>
      <c r="X181" t="inlineStr">
        <is>
          <t>Nein</t>
        </is>
      </c>
      <c r="Y181" t="n">
        <v>0</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t>
        </is>
      </c>
      <c r="B182" t="b">
        <v>1</v>
      </c>
      <c r="C182" t="inlineStr">
        <is>
          <t>x</t>
        </is>
      </c>
      <c r="D182" t="inlineStr"/>
      <c r="E182" t="n">
        <v>182</v>
      </c>
      <c r="F182">
        <f>HYPERLINK("https://portal.dnb.de/opac.htm?method=simpleSearch&amp;cqlMode=true&amp;query=idn%3D1066972451", "Portal")</f>
        <v/>
      </c>
      <c r="G182" t="inlineStr">
        <is>
          <t>Aaf</t>
        </is>
      </c>
      <c r="H182" t="inlineStr">
        <is>
          <t>L-1476-315502878</t>
        </is>
      </c>
      <c r="I182" t="inlineStr">
        <is>
          <t>1066972451</t>
        </is>
      </c>
      <c r="J182" t="inlineStr">
        <is>
          <t>II 8,2d</t>
        </is>
      </c>
      <c r="K182" t="inlineStr">
        <is>
          <t>II 8,2d</t>
        </is>
      </c>
      <c r="L182" t="inlineStr">
        <is>
          <t>II 8,2d</t>
        </is>
      </c>
      <c r="M182" t="inlineStr"/>
      <c r="N182" t="inlineStr">
        <is>
          <t xml:space="preserve">De corpore Christi (Pseudo-). Expositio orationis dominicae : </t>
        </is>
      </c>
      <c r="O182" t="inlineStr">
        <is>
          <t xml:space="preserve"> : </t>
        </is>
      </c>
      <c r="P182" t="inlineStr">
        <is>
          <t>X</t>
        </is>
      </c>
      <c r="Q182" t="inlineStr">
        <is>
          <t>,00 EUR</t>
        </is>
      </c>
      <c r="R182" t="inlineStr">
        <is>
          <t>Halbledereinband, Schließen, erhabene Buchbeschläge</t>
        </is>
      </c>
      <c r="S182" t="inlineStr">
        <is>
          <t>bis 25 cm</t>
        </is>
      </c>
      <c r="T182" t="inlineStr">
        <is>
          <t>180°</t>
        </is>
      </c>
      <c r="U182" t="inlineStr">
        <is>
          <t>hohler Rücken</t>
        </is>
      </c>
      <c r="V182" t="inlineStr"/>
      <c r="W182" t="inlineStr">
        <is>
          <t>Kassette</t>
        </is>
      </c>
      <c r="X182" t="inlineStr">
        <is>
          <t>Nein</t>
        </is>
      </c>
      <c r="Y182" t="n">
        <v>1</v>
      </c>
      <c r="Z182" t="inlineStr"/>
      <c r="AA182" t="inlineStr"/>
      <c r="AB182" t="inlineStr"/>
      <c r="AC182" t="inlineStr"/>
      <c r="AD182" t="inlineStr"/>
      <c r="AE182" t="inlineStr"/>
      <c r="AF182" t="inlineStr"/>
      <c r="AG182" t="inlineStr"/>
      <c r="AH182" t="inlineStr"/>
      <c r="AI182" t="inlineStr">
        <is>
          <t>G</t>
        </is>
      </c>
      <c r="AJ182" t="inlineStr"/>
      <c r="AK182" t="inlineStr">
        <is>
          <t>x</t>
        </is>
      </c>
      <c r="AL182" t="inlineStr"/>
      <c r="AM182" t="inlineStr">
        <is>
          <t>h/E</t>
        </is>
      </c>
      <c r="AN182" t="inlineStr"/>
      <c r="AO182" t="inlineStr"/>
      <c r="AP182" t="inlineStr"/>
      <c r="AQ182" t="inlineStr"/>
      <c r="AR182" t="inlineStr"/>
      <c r="AS182" t="inlineStr">
        <is>
          <t>Pa</t>
        </is>
      </c>
      <c r="AT182" t="inlineStr">
        <is>
          <t>x</t>
        </is>
      </c>
      <c r="AU182" t="inlineStr"/>
      <c r="AV182" t="inlineStr"/>
      <c r="AW182" t="inlineStr"/>
      <c r="AX182" t="inlineStr"/>
      <c r="AY182" t="inlineStr"/>
      <c r="AZ182" t="inlineStr"/>
      <c r="BA182" t="inlineStr"/>
      <c r="BB182" t="inlineStr"/>
      <c r="BC182" t="inlineStr"/>
      <c r="BD182" t="inlineStr"/>
      <c r="BE182" t="inlineStr"/>
      <c r="BF182" t="inlineStr"/>
      <c r="BG182" t="inlineStr">
        <is>
          <t>max 110</t>
        </is>
      </c>
      <c r="BH182" t="inlineStr"/>
      <c r="BI182" t="inlineStr"/>
      <c r="BJ182" t="inlineStr"/>
      <c r="BK182" t="inlineStr"/>
      <c r="BL182" t="inlineStr"/>
      <c r="BM182" t="inlineStr">
        <is>
          <t>ja vor</t>
        </is>
      </c>
      <c r="BN182" t="n">
        <v>0.5</v>
      </c>
      <c r="BO182" t="inlineStr"/>
      <c r="BP182" t="inlineStr">
        <is>
          <t>Wellpappe</t>
        </is>
      </c>
      <c r="BQ182" t="inlineStr"/>
      <c r="BR182" t="inlineStr"/>
      <c r="BS182" t="inlineStr"/>
      <c r="BT182" t="inlineStr"/>
      <c r="BU182" t="inlineStr"/>
      <c r="BV182" t="inlineStr"/>
      <c r="BW182" t="inlineStr"/>
      <c r="BX182" t="inlineStr"/>
      <c r="BY182" t="inlineStr"/>
      <c r="BZ182" t="inlineStr">
        <is>
          <t>x</t>
        </is>
      </c>
      <c r="CA182" t="inlineStr">
        <is>
          <t>x</t>
        </is>
      </c>
      <c r="CB182" t="inlineStr">
        <is>
          <t>x</t>
        </is>
      </c>
      <c r="CC182" t="inlineStr"/>
      <c r="CD182" t="inlineStr">
        <is>
          <t>v/h</t>
        </is>
      </c>
      <c r="CE182" t="inlineStr"/>
      <c r="CF182" t="inlineStr">
        <is>
          <t>x</t>
        </is>
      </c>
      <c r="CG182" t="inlineStr"/>
      <c r="CH182" t="inlineStr"/>
      <c r="CI182" t="inlineStr"/>
      <c r="CJ182" t="inlineStr"/>
      <c r="CK182" t="inlineStr"/>
      <c r="CL182" t="inlineStr"/>
      <c r="CM182" t="n">
        <v>0.5</v>
      </c>
      <c r="CN182" t="inlineStr">
        <is>
          <t>Teilhülse</t>
        </is>
      </c>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t>
        </is>
      </c>
      <c r="B183" t="b">
        <v>1</v>
      </c>
      <c r="C183" t="inlineStr"/>
      <c r="D183" t="inlineStr"/>
      <c r="E183" t="n">
        <v>183</v>
      </c>
      <c r="F183">
        <f>HYPERLINK("https://portal.dnb.de/opac.htm?method=simpleSearch&amp;cqlMode=true&amp;query=idn%3D1066968047", "Portal")</f>
        <v/>
      </c>
      <c r="G183" t="inlineStr">
        <is>
          <t>Aaf</t>
        </is>
      </c>
      <c r="H183" t="inlineStr">
        <is>
          <t>L-1470-315498315</t>
        </is>
      </c>
      <c r="I183" t="inlineStr">
        <is>
          <t>1066968047</t>
        </is>
      </c>
      <c r="J183" t="inlineStr">
        <is>
          <t>II 8,3a</t>
        </is>
      </c>
      <c r="K183" t="inlineStr">
        <is>
          <t>II 8,3a</t>
        </is>
      </c>
      <c r="L183" t="inlineStr">
        <is>
          <t>II 8,3a</t>
        </is>
      </c>
      <c r="M183" t="inlineStr"/>
      <c r="N183" t="inlineStr">
        <is>
          <t xml:space="preserve">Soliloquium : </t>
        </is>
      </c>
      <c r="O183" t="inlineStr">
        <is>
          <t xml:space="preserve"> : </t>
        </is>
      </c>
      <c r="P183" t="inlineStr">
        <is>
          <t>X</t>
        </is>
      </c>
      <c r="Q183" t="inlineStr"/>
      <c r="R183" t="inlineStr">
        <is>
          <t>Gewebeeinband, Schließen, erhabene Buchbeschläge</t>
        </is>
      </c>
      <c r="S183" t="inlineStr">
        <is>
          <t>bis 25 cm</t>
        </is>
      </c>
      <c r="T183" t="inlineStr">
        <is>
          <t>180°</t>
        </is>
      </c>
      <c r="U183" t="inlineStr">
        <is>
          <t>erhabene Illuminationen</t>
        </is>
      </c>
      <c r="V183" t="inlineStr">
        <is>
          <t>nicht auflegen</t>
        </is>
      </c>
      <c r="W183" t="inlineStr">
        <is>
          <t>Kassette</t>
        </is>
      </c>
      <c r="X183" t="inlineStr">
        <is>
          <t>Nein</t>
        </is>
      </c>
      <c r="Y183" t="n">
        <v>2</v>
      </c>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t>
        </is>
      </c>
      <c r="B184" t="b">
        <v>1</v>
      </c>
      <c r="C184" t="inlineStr"/>
      <c r="D184" t="inlineStr"/>
      <c r="E184" t="n">
        <v>184</v>
      </c>
      <c r="F184">
        <f>HYPERLINK("https://portal.dnb.de/opac.htm?method=simpleSearch&amp;cqlMode=true&amp;query=idn%3D1066969035", "Portal")</f>
        <v/>
      </c>
      <c r="G184" t="inlineStr">
        <is>
          <t>Aaf</t>
        </is>
      </c>
      <c r="H184" t="inlineStr">
        <is>
          <t>L-1471-315499311</t>
        </is>
      </c>
      <c r="I184" t="inlineStr">
        <is>
          <t>1066969035</t>
        </is>
      </c>
      <c r="J184" t="inlineStr">
        <is>
          <t>II 8,3b</t>
        </is>
      </c>
      <c r="K184" t="inlineStr">
        <is>
          <t>II 8,3b</t>
        </is>
      </c>
      <c r="L184" t="inlineStr">
        <is>
          <t>II 8,3b</t>
        </is>
      </c>
      <c r="M184" t="inlineStr"/>
      <c r="N184" t="inlineStr">
        <is>
          <t xml:space="preserve">Expositio super Ave Maria : </t>
        </is>
      </c>
      <c r="O184" t="inlineStr">
        <is>
          <t xml:space="preserve"> : </t>
        </is>
      </c>
      <c r="P184" t="inlineStr">
        <is>
          <t>X</t>
        </is>
      </c>
      <c r="Q184" t="inlineStr"/>
      <c r="R184" t="inlineStr">
        <is>
          <t>Papier- oder Pappeinband</t>
        </is>
      </c>
      <c r="S184" t="inlineStr">
        <is>
          <t>bis 25 cm</t>
        </is>
      </c>
      <c r="T184" t="inlineStr">
        <is>
          <t>180°</t>
        </is>
      </c>
      <c r="U184" t="inlineStr">
        <is>
          <t>erhabene Illuminationen</t>
        </is>
      </c>
      <c r="V184" t="inlineStr">
        <is>
          <t>nicht auflegen</t>
        </is>
      </c>
      <c r="W184" t="inlineStr">
        <is>
          <t>Kassette</t>
        </is>
      </c>
      <c r="X184" t="inlineStr">
        <is>
          <t>Nein</t>
        </is>
      </c>
      <c r="Y184" t="n">
        <v>0</v>
      </c>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II</t>
        </is>
      </c>
      <c r="B185" t="b">
        <v>1</v>
      </c>
      <c r="C185" t="inlineStr"/>
      <c r="D185" t="inlineStr"/>
      <c r="E185" t="n">
        <v>185</v>
      </c>
      <c r="F185">
        <f>HYPERLINK("https://portal.dnb.de/opac.htm?method=simpleSearch&amp;cqlMode=true&amp;query=idn%3D1066973369", "Portal")</f>
        <v/>
      </c>
      <c r="G185" t="inlineStr">
        <is>
          <t>Aaf</t>
        </is>
      </c>
      <c r="H185" t="inlineStr">
        <is>
          <t>L-9999-315503734</t>
        </is>
      </c>
      <c r="I185" t="inlineStr">
        <is>
          <t>1066973369</t>
        </is>
      </c>
      <c r="J185" t="inlineStr">
        <is>
          <t>II 8,4a</t>
        </is>
      </c>
      <c r="K185" t="inlineStr">
        <is>
          <t>II 8,4a</t>
        </is>
      </c>
      <c r="L185" t="inlineStr">
        <is>
          <t>II 8,4a</t>
        </is>
      </c>
      <c r="M185" t="inlineStr"/>
      <c r="N185" t="inlineStr">
        <is>
          <t xml:space="preserve">De beatitudine aeternitatis : </t>
        </is>
      </c>
      <c r="O185" t="inlineStr">
        <is>
          <t xml:space="preserve"> : </t>
        </is>
      </c>
      <c r="P185" t="inlineStr">
        <is>
          <t>X</t>
        </is>
      </c>
      <c r="Q185" t="inlineStr"/>
      <c r="R185" t="inlineStr">
        <is>
          <t>Ledereinband, Schließen, erhabene Buchbeschläge</t>
        </is>
      </c>
      <c r="S185" t="inlineStr">
        <is>
          <t>bis 25 cm</t>
        </is>
      </c>
      <c r="T185" t="inlineStr">
        <is>
          <t>80° bis 110°, einseitig digitalisierbar?</t>
        </is>
      </c>
      <c r="U185" t="inlineStr">
        <is>
          <t>hohler Rücken, welliger Buchblock, erhabene Illuminationen</t>
        </is>
      </c>
      <c r="V185" t="inlineStr">
        <is>
          <t>nicht auflegen</t>
        </is>
      </c>
      <c r="W185" t="inlineStr">
        <is>
          <t>Kassette</t>
        </is>
      </c>
      <c r="X185" t="inlineStr">
        <is>
          <t>Nein</t>
        </is>
      </c>
      <c r="Y185" t="n">
        <v>0</v>
      </c>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t>
        </is>
      </c>
      <c r="B186" t="b">
        <v>1</v>
      </c>
      <c r="C186" t="inlineStr"/>
      <c r="D186" t="inlineStr"/>
      <c r="E186" t="n">
        <v>186</v>
      </c>
      <c r="F186">
        <f>HYPERLINK("https://portal.dnb.de/opac.htm?method=simpleSearch&amp;cqlMode=true&amp;query=idn%3D1066965889", "Portal")</f>
        <v/>
      </c>
      <c r="G186" t="inlineStr">
        <is>
          <t>Aaf</t>
        </is>
      </c>
      <c r="H186" t="inlineStr">
        <is>
          <t>L-1474-315496169</t>
        </is>
      </c>
      <c r="I186" t="inlineStr">
        <is>
          <t>1066965889</t>
        </is>
      </c>
      <c r="J186" t="inlineStr">
        <is>
          <t>II 8,5a</t>
        </is>
      </c>
      <c r="K186" t="inlineStr">
        <is>
          <t>II 8,5a</t>
        </is>
      </c>
      <c r="L186" t="inlineStr">
        <is>
          <t>II 8,5a</t>
        </is>
      </c>
      <c r="M186" t="inlineStr"/>
      <c r="N186" t="inlineStr">
        <is>
          <t xml:space="preserve">Sermo super orationem dominicam : </t>
        </is>
      </c>
      <c r="O186" t="inlineStr">
        <is>
          <t xml:space="preserve"> : </t>
        </is>
      </c>
      <c r="P186" t="inlineStr">
        <is>
          <t>X</t>
        </is>
      </c>
      <c r="Q186" t="inlineStr"/>
      <c r="R186" t="inlineStr">
        <is>
          <t>Gewebeeinband, Schließen, erhabene Buchbeschläge</t>
        </is>
      </c>
      <c r="S186" t="inlineStr">
        <is>
          <t>bis 25 cm</t>
        </is>
      </c>
      <c r="T186" t="inlineStr">
        <is>
          <t>180°</t>
        </is>
      </c>
      <c r="U186" t="inlineStr">
        <is>
          <t>fester Rücken mit Schmuckprägung, erhabene Illuminationen</t>
        </is>
      </c>
      <c r="V186" t="inlineStr">
        <is>
          <t>nicht auflegen</t>
        </is>
      </c>
      <c r="W186" t="inlineStr">
        <is>
          <t>Kassette</t>
        </is>
      </c>
      <c r="X186" t="inlineStr">
        <is>
          <t>Nein</t>
        </is>
      </c>
      <c r="Y186" t="n">
        <v>2</v>
      </c>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t>
        </is>
      </c>
      <c r="B187" t="b">
        <v>1</v>
      </c>
      <c r="C187" t="inlineStr"/>
      <c r="D187" t="inlineStr"/>
      <c r="E187" t="n">
        <v>187</v>
      </c>
      <c r="F187">
        <f>HYPERLINK("https://portal.dnb.de/opac.htm?method=simpleSearch&amp;cqlMode=true&amp;query=idn%3D1066965048", "Portal")</f>
        <v/>
      </c>
      <c r="G187" t="inlineStr">
        <is>
          <t>Aaf</t>
        </is>
      </c>
      <c r="H187" t="inlineStr">
        <is>
          <t>L-1474-315495189</t>
        </is>
      </c>
      <c r="I187" t="inlineStr">
        <is>
          <t>1066965048</t>
        </is>
      </c>
      <c r="J187" t="inlineStr">
        <is>
          <t>II 8,6a</t>
        </is>
      </c>
      <c r="K187" t="inlineStr">
        <is>
          <t>II 8,6a</t>
        </is>
      </c>
      <c r="L187" t="inlineStr">
        <is>
          <t>II 8,6a</t>
        </is>
      </c>
      <c r="M187" t="inlineStr"/>
      <c r="N187" t="inlineStr">
        <is>
          <t xml:space="preserve">Glossae Clementinae : </t>
        </is>
      </c>
      <c r="O187" t="inlineStr">
        <is>
          <t xml:space="preserve"> : </t>
        </is>
      </c>
      <c r="P187" t="inlineStr">
        <is>
          <t>X</t>
        </is>
      </c>
      <c r="Q187" t="inlineStr"/>
      <c r="R187" t="inlineStr">
        <is>
          <t>Halbledereinband, Schließen, erhabene Buchbeschläge</t>
        </is>
      </c>
      <c r="S187" t="inlineStr">
        <is>
          <t>bis 35 cm</t>
        </is>
      </c>
      <c r="T187" t="inlineStr">
        <is>
          <t>180°</t>
        </is>
      </c>
      <c r="U187" t="inlineStr">
        <is>
          <t>hohler Rücken, erhabene Illuminationen</t>
        </is>
      </c>
      <c r="V187" t="inlineStr">
        <is>
          <t>nicht auflegen</t>
        </is>
      </c>
      <c r="W187" t="inlineStr">
        <is>
          <t>Kassette</t>
        </is>
      </c>
      <c r="X187" t="inlineStr">
        <is>
          <t>Nein</t>
        </is>
      </c>
      <c r="Y187" t="n">
        <v>1</v>
      </c>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t>
        </is>
      </c>
      <c r="B188" t="b">
        <v>1</v>
      </c>
      <c r="C188" t="inlineStr"/>
      <c r="D188" t="inlineStr"/>
      <c r="E188" t="n">
        <v>188</v>
      </c>
      <c r="F188">
        <f>HYPERLINK("https://portal.dnb.de/opac.htm?method=simpleSearch&amp;cqlMode=true&amp;query=idn%3D1066968950", "Portal")</f>
        <v/>
      </c>
      <c r="G188" t="inlineStr">
        <is>
          <t>Aaf</t>
        </is>
      </c>
      <c r="H188" t="inlineStr">
        <is>
          <t>L-1474-315499230</t>
        </is>
      </c>
      <c r="I188" t="inlineStr">
        <is>
          <t>1066968950</t>
        </is>
      </c>
      <c r="J188" t="inlineStr">
        <is>
          <t>II 8,6b</t>
        </is>
      </c>
      <c r="K188" t="inlineStr">
        <is>
          <t>II 8,6b</t>
        </is>
      </c>
      <c r="L188" t="inlineStr">
        <is>
          <t>II 8,6b</t>
        </is>
      </c>
      <c r="M188" t="inlineStr"/>
      <c r="N188" t="inlineStr">
        <is>
          <t xml:space="preserve">Diaeta salutis : </t>
        </is>
      </c>
      <c r="O188" t="inlineStr">
        <is>
          <t xml:space="preserve"> : </t>
        </is>
      </c>
      <c r="P188" t="inlineStr"/>
      <c r="Q188" t="inlineStr"/>
      <c r="R188" t="inlineStr">
        <is>
          <t>Pergamentband</t>
        </is>
      </c>
      <c r="S188" t="inlineStr">
        <is>
          <t>bis 35 cm</t>
        </is>
      </c>
      <c r="T188" t="inlineStr">
        <is>
          <t>180°</t>
        </is>
      </c>
      <c r="U188" t="inlineStr">
        <is>
          <t>hohler Rücken, erhabene Illuminationen, Einband mit Schutz- oder Stoßkanten</t>
        </is>
      </c>
      <c r="V188" t="inlineStr">
        <is>
          <t>nicht auflegen</t>
        </is>
      </c>
      <c r="W188" t="inlineStr">
        <is>
          <t>Schuber</t>
        </is>
      </c>
      <c r="X188" t="inlineStr">
        <is>
          <t>Nein</t>
        </is>
      </c>
      <c r="Y188" t="n">
        <v>0</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t>
        </is>
      </c>
      <c r="B189" t="b">
        <v>1</v>
      </c>
      <c r="C189" t="inlineStr">
        <is>
          <t>x</t>
        </is>
      </c>
      <c r="D189" t="inlineStr"/>
      <c r="E189" t="n">
        <v>189</v>
      </c>
      <c r="F189">
        <f>HYPERLINK("https://portal.dnb.de/opac.htm?method=simpleSearch&amp;cqlMode=true&amp;query=idn%3D1066972508", "Portal")</f>
        <v/>
      </c>
      <c r="G189" t="inlineStr">
        <is>
          <t>Aaf</t>
        </is>
      </c>
      <c r="H189" t="inlineStr">
        <is>
          <t>L-1475-315502916</t>
        </is>
      </c>
      <c r="I189" t="inlineStr">
        <is>
          <t>1066972508</t>
        </is>
      </c>
      <c r="J189" t="inlineStr">
        <is>
          <t>II 8,6c</t>
        </is>
      </c>
      <c r="K189" t="inlineStr">
        <is>
          <t>II 8,6c</t>
        </is>
      </c>
      <c r="L189" t="inlineStr">
        <is>
          <t>II 8,6c</t>
        </is>
      </c>
      <c r="M189" t="inlineStr"/>
      <c r="N189" t="inlineStr">
        <is>
          <t xml:space="preserve">De veritate : </t>
        </is>
      </c>
      <c r="O189" t="inlineStr">
        <is>
          <t xml:space="preserve"> : </t>
        </is>
      </c>
      <c r="P189" t="inlineStr"/>
      <c r="Q189" t="inlineStr">
        <is>
          <t>5000,00 EUR</t>
        </is>
      </c>
      <c r="R189" t="inlineStr">
        <is>
          <t>Ledereinband, Schließen, erhabene Buchbeschläge</t>
        </is>
      </c>
      <c r="S189" t="inlineStr">
        <is>
          <t>bis 35 cm</t>
        </is>
      </c>
      <c r="T189" t="inlineStr">
        <is>
          <t>nur sehr geringer Öffnungswinkel</t>
        </is>
      </c>
      <c r="U189" t="inlineStr">
        <is>
          <t>fester Rücken mit Schmuckprägung, welliger Buchblock, erhabene Illuminationen</t>
        </is>
      </c>
      <c r="V189" t="inlineStr">
        <is>
          <t>nicht auflegen</t>
        </is>
      </c>
      <c r="W189" t="inlineStr">
        <is>
          <t>Kassette</t>
        </is>
      </c>
      <c r="X189" t="inlineStr">
        <is>
          <t>Nein</t>
        </is>
      </c>
      <c r="Y189" t="n">
        <v>1</v>
      </c>
      <c r="Z189" t="inlineStr"/>
      <c r="AA189" t="inlineStr"/>
      <c r="AB189" t="inlineStr"/>
      <c r="AC189" t="inlineStr"/>
      <c r="AD189" t="inlineStr"/>
      <c r="AE189" t="inlineStr"/>
      <c r="AF189" t="inlineStr"/>
      <c r="AG189" t="n">
        <v>12</v>
      </c>
      <c r="AH189" t="inlineStr"/>
      <c r="AI189" t="inlineStr">
        <is>
          <t>HD</t>
        </is>
      </c>
      <c r="AJ189" t="inlineStr"/>
      <c r="AK189" t="inlineStr">
        <is>
          <t>x</t>
        </is>
      </c>
      <c r="AL189" t="inlineStr"/>
      <c r="AM189" t="inlineStr">
        <is>
          <t>f/V</t>
        </is>
      </c>
      <c r="AN189" t="inlineStr"/>
      <c r="AO189" t="inlineStr"/>
      <c r="AP189" t="inlineStr"/>
      <c r="AQ189" t="inlineStr"/>
      <c r="AR189" t="inlineStr"/>
      <c r="AS189" t="inlineStr">
        <is>
          <t>Pa</t>
        </is>
      </c>
      <c r="AT189" t="inlineStr"/>
      <c r="AU189" t="inlineStr"/>
      <c r="AV189" t="inlineStr"/>
      <c r="AW189" t="inlineStr">
        <is>
          <t>xx</t>
        </is>
      </c>
      <c r="AX189" t="inlineStr"/>
      <c r="AY189" t="inlineStr"/>
      <c r="AZ189" t="inlineStr"/>
      <c r="BA189" t="inlineStr"/>
      <c r="BB189" t="inlineStr"/>
      <c r="BC189" t="inlineStr">
        <is>
          <t>I/R</t>
        </is>
      </c>
      <c r="BD189" t="inlineStr">
        <is>
          <t>x</t>
        </is>
      </c>
      <c r="BE189" t="inlineStr"/>
      <c r="BF189" t="inlineStr"/>
      <c r="BG189" t="inlineStr">
        <is>
          <t>max 45</t>
        </is>
      </c>
      <c r="BH189" t="inlineStr"/>
      <c r="BI189" t="inlineStr"/>
      <c r="BJ189" t="inlineStr"/>
      <c r="BK189" t="inlineStr"/>
      <c r="BL189" t="inlineStr"/>
      <c r="BM189" t="inlineStr">
        <is>
          <t>ja vor</t>
        </is>
      </c>
      <c r="BN189" t="n">
        <v>0.5</v>
      </c>
      <c r="BO189" t="inlineStr"/>
      <c r="BP189" t="inlineStr">
        <is>
          <t>Wellpappe</t>
        </is>
      </c>
      <c r="BQ189" t="inlineStr"/>
      <c r="BR189" t="inlineStr"/>
      <c r="BS189" t="inlineStr"/>
      <c r="BT189" t="inlineStr"/>
      <c r="BU189" t="inlineStr"/>
      <c r="BV189" t="inlineStr"/>
      <c r="BW189" t="inlineStr"/>
      <c r="BX189" t="inlineStr"/>
      <c r="BY189" t="inlineStr"/>
      <c r="BZ189" t="inlineStr"/>
      <c r="CA189" t="inlineStr"/>
      <c r="CB189" t="inlineStr">
        <is>
          <t>x</t>
        </is>
      </c>
      <c r="CC189" t="inlineStr"/>
      <c r="CD189" t="inlineStr"/>
      <c r="CE189" t="inlineStr"/>
      <c r="CF189" t="inlineStr"/>
      <c r="CG189" t="inlineStr"/>
      <c r="CH189" t="inlineStr"/>
      <c r="CI189" t="inlineStr"/>
      <c r="CJ189" t="inlineStr"/>
      <c r="CK189" t="inlineStr"/>
      <c r="CL189" t="inlineStr"/>
      <c r="CM189" t="n">
        <v>0.5</v>
      </c>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t>
        </is>
      </c>
      <c r="B190" t="b">
        <v>1</v>
      </c>
      <c r="C190" t="inlineStr">
        <is>
          <t>x</t>
        </is>
      </c>
      <c r="D190" t="inlineStr"/>
      <c r="E190" t="n">
        <v>190</v>
      </c>
      <c r="F190">
        <f>HYPERLINK("https://portal.dnb.de/opac.htm?method=simpleSearch&amp;cqlMode=true&amp;query=idn%3D1066972508", "Portal")</f>
        <v/>
      </c>
      <c r="G190" t="inlineStr">
        <is>
          <t>Aaf</t>
        </is>
      </c>
      <c r="H190" t="inlineStr">
        <is>
          <t>L-1475-315502924</t>
        </is>
      </c>
      <c r="I190" t="inlineStr">
        <is>
          <t>1066972508</t>
        </is>
      </c>
      <c r="J190" t="inlineStr">
        <is>
          <t>II 8,6ca</t>
        </is>
      </c>
      <c r="K190" t="inlineStr">
        <is>
          <t>II 8,6ca</t>
        </is>
      </c>
      <c r="L190" t="inlineStr">
        <is>
          <t>II 8,6ca</t>
        </is>
      </c>
      <c r="M190" t="inlineStr"/>
      <c r="N190" t="inlineStr">
        <is>
          <t xml:space="preserve">De veritate : </t>
        </is>
      </c>
      <c r="O190" t="inlineStr">
        <is>
          <t xml:space="preserve"> : </t>
        </is>
      </c>
      <c r="P190" t="inlineStr">
        <is>
          <t>X</t>
        </is>
      </c>
      <c r="Q190" t="inlineStr">
        <is>
          <t>5000,00 EUR</t>
        </is>
      </c>
      <c r="R190" t="inlineStr">
        <is>
          <t>Ledereinband, Schließen, erhabene Buchbeschläge</t>
        </is>
      </c>
      <c r="S190" t="inlineStr">
        <is>
          <t>bis 35 cm</t>
        </is>
      </c>
      <c r="T190" t="inlineStr">
        <is>
          <t>nur sehr geringer Öffnungswinkel</t>
        </is>
      </c>
      <c r="U190" t="inlineStr">
        <is>
          <t>erhabene Illuminationen, welliger Buchblock</t>
        </is>
      </c>
      <c r="V190" t="inlineStr">
        <is>
          <t>nicht auflegen</t>
        </is>
      </c>
      <c r="W190" t="inlineStr">
        <is>
          <t>Kassette</t>
        </is>
      </c>
      <c r="X190" t="inlineStr">
        <is>
          <t>Nein, Signaturfahne austauschen</t>
        </is>
      </c>
      <c r="Y190" t="n">
        <v>0</v>
      </c>
      <c r="Z190" t="inlineStr"/>
      <c r="AA190" t="inlineStr"/>
      <c r="AB190" t="inlineStr"/>
      <c r="AC190" t="inlineStr"/>
      <c r="AD190" t="inlineStr"/>
      <c r="AE190" t="inlineStr"/>
      <c r="AF190" t="inlineStr"/>
      <c r="AG190" t="n">
        <v>13</v>
      </c>
      <c r="AH190" t="inlineStr"/>
      <c r="AI190" t="inlineStr">
        <is>
          <t>HD</t>
        </is>
      </c>
      <c r="AJ190" t="inlineStr"/>
      <c r="AK190" t="inlineStr"/>
      <c r="AL190" t="inlineStr">
        <is>
          <t>x</t>
        </is>
      </c>
      <c r="AM190" t="inlineStr">
        <is>
          <t>f</t>
        </is>
      </c>
      <c r="AN190" t="inlineStr"/>
      <c r="AO190" t="inlineStr"/>
      <c r="AP190" t="inlineStr"/>
      <c r="AQ190" t="inlineStr"/>
      <c r="AR190" t="inlineStr"/>
      <c r="AS190" t="inlineStr">
        <is>
          <t>Pa</t>
        </is>
      </c>
      <c r="AT190" t="inlineStr"/>
      <c r="AU190" t="inlineStr">
        <is>
          <t>x</t>
        </is>
      </c>
      <c r="AV190" t="inlineStr"/>
      <c r="AW190" t="inlineStr">
        <is>
          <t>xx</t>
        </is>
      </c>
      <c r="AX190" t="inlineStr"/>
      <c r="AY190" t="inlineStr"/>
      <c r="AZ190" t="inlineStr"/>
      <c r="BA190" t="inlineStr"/>
      <c r="BB190" t="inlineStr"/>
      <c r="BC190" t="inlineStr">
        <is>
          <t>I/R</t>
        </is>
      </c>
      <c r="BD190" t="inlineStr">
        <is>
          <t>x</t>
        </is>
      </c>
      <c r="BE190" t="n">
        <v>0</v>
      </c>
      <c r="BF190" t="inlineStr"/>
      <c r="BG190" t="n">
        <v>45</v>
      </c>
      <c r="BH190" t="inlineStr"/>
      <c r="BI190" t="inlineStr"/>
      <c r="BJ190" t="inlineStr"/>
      <c r="BK190" t="inlineStr"/>
      <c r="BL190" t="inlineStr"/>
      <c r="BM190" t="inlineStr">
        <is>
          <t>ja vor</t>
        </is>
      </c>
      <c r="BN190" t="n">
        <v>0.5</v>
      </c>
      <c r="BO190" t="inlineStr"/>
      <c r="BP190" t="inlineStr">
        <is>
          <t>Gewebe</t>
        </is>
      </c>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is>
          <t>x</t>
        </is>
      </c>
      <c r="DE190" t="inlineStr"/>
      <c r="DF190" t="n">
        <v>0.5</v>
      </c>
      <c r="DG190" t="inlineStr"/>
    </row>
    <row r="191">
      <c r="A191" t="inlineStr">
        <is>
          <t>II</t>
        </is>
      </c>
      <c r="B191" t="b">
        <v>1</v>
      </c>
      <c r="C191" t="inlineStr"/>
      <c r="D191" t="inlineStr"/>
      <c r="E191" t="n">
        <v>191</v>
      </c>
      <c r="F191">
        <f>HYPERLINK("https://portal.dnb.de/opac.htm?method=simpleSearch&amp;cqlMode=true&amp;query=idn%3D1066873151", "Portal")</f>
        <v/>
      </c>
      <c r="G191" t="inlineStr">
        <is>
          <t>Aa</t>
        </is>
      </c>
      <c r="H191" t="inlineStr">
        <is>
          <t>L-1481-315330953</t>
        </is>
      </c>
      <c r="I191" t="inlineStr">
        <is>
          <t>1066873151</t>
        </is>
      </c>
      <c r="J191" t="inlineStr">
        <is>
          <t>II 8,6d</t>
        </is>
      </c>
      <c r="K191" t="inlineStr">
        <is>
          <t>II 8,6d</t>
        </is>
      </c>
      <c r="L191" t="inlineStr">
        <is>
          <t>II 8,6d</t>
        </is>
      </c>
      <c r="M191" t="inlineStr"/>
      <c r="N191" t="inlineStr">
        <is>
          <t xml:space="preserve">Margarita decreti : </t>
        </is>
      </c>
      <c r="O191" t="inlineStr">
        <is>
          <t xml:space="preserve"> : </t>
        </is>
      </c>
      <c r="P191" t="inlineStr">
        <is>
          <t>X</t>
        </is>
      </c>
      <c r="Q191" t="inlineStr"/>
      <c r="R191" t="inlineStr">
        <is>
          <t>Halbledereinband, Schließen, erhabene Buchbeschläge</t>
        </is>
      </c>
      <c r="S191" t="inlineStr">
        <is>
          <t>bis 35 cm</t>
        </is>
      </c>
      <c r="T191" t="inlineStr">
        <is>
          <t>180°</t>
        </is>
      </c>
      <c r="U191" t="inlineStr">
        <is>
          <t>fester Rücken mit Schmuckprägung, erhabene Illuminationen</t>
        </is>
      </c>
      <c r="V191" t="inlineStr">
        <is>
          <t>nicht auflegen</t>
        </is>
      </c>
      <c r="W191" t="inlineStr">
        <is>
          <t>Kassette</t>
        </is>
      </c>
      <c r="X191" t="inlineStr">
        <is>
          <t>Nein</t>
        </is>
      </c>
      <c r="Y191" t="n">
        <v>2</v>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t>
        </is>
      </c>
      <c r="B192" t="b">
        <v>1</v>
      </c>
      <c r="C192" t="inlineStr"/>
      <c r="D192" t="inlineStr"/>
      <c r="E192" t="n">
        <v>192</v>
      </c>
      <c r="F192">
        <f>HYPERLINK("https://portal.dnb.de/opac.htm?method=simpleSearch&amp;cqlMode=true&amp;query=idn%3D1072055228", "Portal")</f>
        <v/>
      </c>
      <c r="G192" t="inlineStr">
        <is>
          <t>Aa</t>
        </is>
      </c>
      <c r="H192" t="inlineStr">
        <is>
          <t>L-1481-326853847</t>
        </is>
      </c>
      <c r="I192" t="inlineStr">
        <is>
          <t>1072055228</t>
        </is>
      </c>
      <c r="J192" t="inlineStr">
        <is>
          <t>II 8,6e</t>
        </is>
      </c>
      <c r="K192" t="inlineStr">
        <is>
          <t>II 8,6e</t>
        </is>
      </c>
      <c r="L192" t="inlineStr">
        <is>
          <t>II 8,6e</t>
        </is>
      </c>
      <c r="M192" t="inlineStr"/>
      <c r="N192" t="inlineStr">
        <is>
          <t xml:space="preserve">Postilla super epistolas et evangelia : </t>
        </is>
      </c>
      <c r="O192" t="inlineStr">
        <is>
          <t xml:space="preserve"> : </t>
        </is>
      </c>
      <c r="P192" t="inlineStr">
        <is>
          <t>X</t>
        </is>
      </c>
      <c r="Q192" t="inlineStr"/>
      <c r="R192" t="inlineStr">
        <is>
          <t>Ledereinband, Schließen, erhabene Buchbeschläge</t>
        </is>
      </c>
      <c r="S192" t="inlineStr">
        <is>
          <t>bis 35 cm</t>
        </is>
      </c>
      <c r="T192" t="inlineStr">
        <is>
          <t>80° bis 110°, einseitig digitalisierbar?</t>
        </is>
      </c>
      <c r="U192" t="inlineStr"/>
      <c r="V192" t="inlineStr"/>
      <c r="W192" t="inlineStr">
        <is>
          <t>Kassette</t>
        </is>
      </c>
      <c r="X192" t="inlineStr">
        <is>
          <t>Nein</t>
        </is>
      </c>
      <c r="Y192" t="n">
        <v>0</v>
      </c>
      <c r="Z192" t="inlineStr"/>
      <c r="AA192" t="inlineStr">
        <is>
          <t>Originaleinband separat</t>
        </is>
      </c>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t>
        </is>
      </c>
      <c r="B193" t="b">
        <v>1</v>
      </c>
      <c r="C193" t="inlineStr"/>
      <c r="D193" t="inlineStr"/>
      <c r="E193" t="inlineStr"/>
      <c r="F193">
        <f>HYPERLINK("https://portal.dnb.de/opac.htm?method=simpleSearch&amp;cqlMode=true&amp;query=idn%3D1272205118", "Portal")</f>
        <v/>
      </c>
      <c r="G193" t="inlineStr">
        <is>
          <t>Qd</t>
        </is>
      </c>
      <c r="H193" t="inlineStr">
        <is>
          <t>L-1484-847512053</t>
        </is>
      </c>
      <c r="I193" t="inlineStr">
        <is>
          <t>1272205118</t>
        </is>
      </c>
      <c r="J193" t="inlineStr">
        <is>
          <t>II 8,6g/f</t>
        </is>
      </c>
      <c r="K193" t="inlineStr">
        <is>
          <t>II 8,6g/f</t>
        </is>
      </c>
      <c r="L193" t="inlineStr">
        <is>
          <t>II 8,6g/f</t>
        </is>
      </c>
      <c r="M193" t="inlineStr"/>
      <c r="N193" t="inlineStr">
        <is>
          <t xml:space="preserve">Sammelband : </t>
        </is>
      </c>
      <c r="O193" t="inlineStr">
        <is>
          <t xml:space="preserve"> : </t>
        </is>
      </c>
      <c r="P193" t="inlineStr">
        <is>
          <t>X</t>
        </is>
      </c>
      <c r="Q193" t="inlineStr"/>
      <c r="R193" t="inlineStr">
        <is>
          <t>Ledereinband, Schließen, erhabene Buchbeschläge</t>
        </is>
      </c>
      <c r="S193" t="inlineStr">
        <is>
          <t>bis 35 cm</t>
        </is>
      </c>
      <c r="T193" t="inlineStr">
        <is>
          <t>nur sehr geringer Öffnungswinkel</t>
        </is>
      </c>
      <c r="U193" t="inlineStr"/>
      <c r="V193" t="inlineStr"/>
      <c r="W193" t="inlineStr">
        <is>
          <t>Kassette</t>
        </is>
      </c>
      <c r="X193" t="inlineStr">
        <is>
          <t>Nein</t>
        </is>
      </c>
      <c r="Y193" t="n">
        <v>0</v>
      </c>
      <c r="Z193" t="inlineStr"/>
      <c r="AA193" t="inlineStr">
        <is>
          <t>Originaleinband separat</t>
        </is>
      </c>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t>
        </is>
      </c>
      <c r="B194" t="b">
        <v>1</v>
      </c>
      <c r="C194" t="inlineStr"/>
      <c r="D194" t="inlineStr"/>
      <c r="E194" t="n">
        <v>195</v>
      </c>
      <c r="F194">
        <f>HYPERLINK("https://portal.dnb.de/opac.htm?method=simpleSearch&amp;cqlMode=true&amp;query=idn%3D1066972540", "Portal")</f>
        <v/>
      </c>
      <c r="G194" t="inlineStr">
        <is>
          <t>Aa</t>
        </is>
      </c>
      <c r="H194" t="inlineStr">
        <is>
          <t>L-1485-315502967</t>
        </is>
      </c>
      <c r="I194" t="inlineStr">
        <is>
          <t>1066972540</t>
        </is>
      </c>
      <c r="J194" t="inlineStr">
        <is>
          <t>II 8,6h</t>
        </is>
      </c>
      <c r="K194" t="inlineStr">
        <is>
          <t>II 8,6h</t>
        </is>
      </c>
      <c r="L194" t="inlineStr">
        <is>
          <t>II 8,6h</t>
        </is>
      </c>
      <c r="M194" t="inlineStr"/>
      <c r="N194" t="inlineStr">
        <is>
          <t xml:space="preserve">Quaestiones de duodecim quodlibet : </t>
        </is>
      </c>
      <c r="O194" t="inlineStr">
        <is>
          <t xml:space="preserve"> : </t>
        </is>
      </c>
      <c r="P194" t="inlineStr">
        <is>
          <t>X</t>
        </is>
      </c>
      <c r="Q194" t="inlineStr"/>
      <c r="R194" t="inlineStr">
        <is>
          <t>Ledereinband, Schließen, erhabene Buchbeschläge</t>
        </is>
      </c>
      <c r="S194" t="inlineStr">
        <is>
          <t>bis 35 cm</t>
        </is>
      </c>
      <c r="T194" t="inlineStr">
        <is>
          <t>80° bis 110°, einseitig digitalisierbar?</t>
        </is>
      </c>
      <c r="U194" t="inlineStr">
        <is>
          <t>fester Rücken mit Schmuckprägung, welliger Buchblock, erhabene Illuminationen</t>
        </is>
      </c>
      <c r="V194" t="inlineStr">
        <is>
          <t>nicht auflegen</t>
        </is>
      </c>
      <c r="W194" t="inlineStr">
        <is>
          <t>Kassette</t>
        </is>
      </c>
      <c r="X194" t="inlineStr">
        <is>
          <t>Nein</t>
        </is>
      </c>
      <c r="Y194" t="n">
        <v>2</v>
      </c>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t>
        </is>
      </c>
      <c r="B195" t="b">
        <v>1</v>
      </c>
      <c r="C195" t="inlineStr"/>
      <c r="D195" t="inlineStr"/>
      <c r="E195" t="inlineStr"/>
      <c r="F195">
        <f>HYPERLINK("https://portal.dnb.de/opac.htm?method=simpleSearch&amp;cqlMode=true&amp;query=idn%3D1268958271", "Portal")</f>
        <v/>
      </c>
      <c r="G195" t="inlineStr">
        <is>
          <t>Qd</t>
        </is>
      </c>
      <c r="H195" t="inlineStr">
        <is>
          <t>L-1486-834341050</t>
        </is>
      </c>
      <c r="I195" t="inlineStr">
        <is>
          <t>1268958271</t>
        </is>
      </c>
      <c r="J195" t="inlineStr">
        <is>
          <t>II 8,6k</t>
        </is>
      </c>
      <c r="K195" t="inlineStr">
        <is>
          <t>II 8,6i; II 8,6k</t>
        </is>
      </c>
      <c r="L195" t="inlineStr">
        <is>
          <t>II 8,6i; II 8,6k</t>
        </is>
      </c>
      <c r="M195" t="inlineStr"/>
      <c r="N195" t="inlineStr">
        <is>
          <t xml:space="preserve">Sammelband mit zwei Inkunabeln, gedruckt in Köln : </t>
        </is>
      </c>
      <c r="O195" t="inlineStr">
        <is>
          <t xml:space="preserve"> : </t>
        </is>
      </c>
      <c r="P195" t="inlineStr">
        <is>
          <t>X</t>
        </is>
      </c>
      <c r="Q195" t="inlineStr"/>
      <c r="R195" t="inlineStr">
        <is>
          <t>Ledereinband, Schließen, erhabene Buchbeschläge</t>
        </is>
      </c>
      <c r="S195" t="inlineStr">
        <is>
          <t>bis 35 cm</t>
        </is>
      </c>
      <c r="T195" t="inlineStr">
        <is>
          <t>80° bis 110°, einseitig digitalisierbar?</t>
        </is>
      </c>
      <c r="U195" t="inlineStr">
        <is>
          <t>fester Rücken mit Schmuckprägung, welliger Buchblock, stark brüchiges Einbandmaterial</t>
        </is>
      </c>
      <c r="V195" t="inlineStr"/>
      <c r="W195" t="inlineStr">
        <is>
          <t>Kassette</t>
        </is>
      </c>
      <c r="X195" t="inlineStr">
        <is>
          <t>Nein</t>
        </is>
      </c>
      <c r="Y195" t="n">
        <v>3</v>
      </c>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t>
        </is>
      </c>
      <c r="B196" t="b">
        <v>1</v>
      </c>
      <c r="C196" t="inlineStr"/>
      <c r="D196" t="inlineStr"/>
      <c r="E196" t="n">
        <v>198</v>
      </c>
      <c r="F196">
        <f>HYPERLINK("https://portal.dnb.de/opac.htm?method=simpleSearch&amp;cqlMode=true&amp;query=idn%3D1066967385", "Portal")</f>
        <v/>
      </c>
      <c r="G196" t="inlineStr">
        <is>
          <t>Aa</t>
        </is>
      </c>
      <c r="H196" t="inlineStr">
        <is>
          <t>L-1473-315497637</t>
        </is>
      </c>
      <c r="I196" t="inlineStr">
        <is>
          <t>1066967385</t>
        </is>
      </c>
      <c r="J196" t="inlineStr">
        <is>
          <t>II 8,6m - 2</t>
        </is>
      </c>
      <c r="K196" t="inlineStr">
        <is>
          <t>II 8,6m - 2</t>
        </is>
      </c>
      <c r="L196" t="inlineStr">
        <is>
          <t>II 8,6m - 2</t>
        </is>
      </c>
      <c r="M196" t="inlineStr"/>
      <c r="N196" t="inlineStr">
        <is>
          <t xml:space="preserve">Sermones quadragesimales de poenitentia : </t>
        </is>
      </c>
      <c r="O196" t="inlineStr">
        <is>
          <t xml:space="preserve"> : </t>
        </is>
      </c>
      <c r="P196" t="inlineStr"/>
      <c r="Q196" t="inlineStr"/>
      <c r="R196" t="inlineStr">
        <is>
          <t>Halbpergamentband</t>
        </is>
      </c>
      <c r="S196" t="inlineStr">
        <is>
          <t>bis 35 cm</t>
        </is>
      </c>
      <c r="T196" t="inlineStr">
        <is>
          <t>180°</t>
        </is>
      </c>
      <c r="U196" t="inlineStr">
        <is>
          <t>hohler Rücken</t>
        </is>
      </c>
      <c r="V196" t="inlineStr"/>
      <c r="W196" t="inlineStr">
        <is>
          <t>Kassette</t>
        </is>
      </c>
      <c r="X196" t="inlineStr">
        <is>
          <t>Nein</t>
        </is>
      </c>
      <c r="Y196" t="n">
        <v>0</v>
      </c>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t>
        </is>
      </c>
      <c r="B197" t="b">
        <v>1</v>
      </c>
      <c r="C197" t="inlineStr"/>
      <c r="D197" t="inlineStr"/>
      <c r="E197" t="n">
        <v>199</v>
      </c>
      <c r="F197">
        <f>HYPERLINK("https://portal.dnb.de/opac.htm?method=simpleSearch&amp;cqlMode=true&amp;query=idn%3D1066969353", "Portal")</f>
        <v/>
      </c>
      <c r="G197" t="inlineStr">
        <is>
          <t>Aaf</t>
        </is>
      </c>
      <c r="H197" t="inlineStr">
        <is>
          <t>L-1473-315499699</t>
        </is>
      </c>
      <c r="I197" t="inlineStr">
        <is>
          <t>1066969353</t>
        </is>
      </c>
      <c r="J197" t="inlineStr">
        <is>
          <t>II 8,7a</t>
        </is>
      </c>
      <c r="K197" t="inlineStr">
        <is>
          <t>II 8,7a</t>
        </is>
      </c>
      <c r="L197" t="inlineStr">
        <is>
          <t>II 8,7a</t>
        </is>
      </c>
      <c r="M197" t="inlineStr"/>
      <c r="N197" t="inlineStr">
        <is>
          <t xml:space="preserve">De contemptu mundi sive De vilitate conditionis humanae : </t>
        </is>
      </c>
      <c r="O197" t="inlineStr">
        <is>
          <t xml:space="preserve"> : </t>
        </is>
      </c>
      <c r="P197" t="inlineStr">
        <is>
          <t>X</t>
        </is>
      </c>
      <c r="Q197" t="inlineStr"/>
      <c r="R197" t="inlineStr">
        <is>
          <t>Halbledereinband</t>
        </is>
      </c>
      <c r="S197" t="inlineStr">
        <is>
          <t>bis 25 cm</t>
        </is>
      </c>
      <c r="T197" t="inlineStr">
        <is>
          <t>80° bis 110°, einseitig digitalisierbar?</t>
        </is>
      </c>
      <c r="U197" t="inlineStr">
        <is>
          <t>hohler Rücken, erhabene Illuminationen</t>
        </is>
      </c>
      <c r="V197" t="inlineStr">
        <is>
          <t>nicht auflegen</t>
        </is>
      </c>
      <c r="W197" t="inlineStr">
        <is>
          <t>Kassette</t>
        </is>
      </c>
      <c r="X197" t="inlineStr">
        <is>
          <t>Nein</t>
        </is>
      </c>
      <c r="Y197" t="n">
        <v>1</v>
      </c>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t>
        </is>
      </c>
      <c r="B198" t="b">
        <v>1</v>
      </c>
      <c r="C198" t="inlineStr"/>
      <c r="D198" t="inlineStr"/>
      <c r="E198" t="n">
        <v>200</v>
      </c>
      <c r="F198">
        <f>HYPERLINK("https://portal.dnb.de/opac.htm?method=simpleSearch&amp;cqlMode=true&amp;query=idn%3D1066965765", "Portal")</f>
        <v/>
      </c>
      <c r="G198" t="inlineStr">
        <is>
          <t>Aaf</t>
        </is>
      </c>
      <c r="H198" t="inlineStr">
        <is>
          <t>L-1480-315496002</t>
        </is>
      </c>
      <c r="I198" t="inlineStr">
        <is>
          <t>1066965765</t>
        </is>
      </c>
      <c r="J198" t="inlineStr">
        <is>
          <t>II 8,8a</t>
        </is>
      </c>
      <c r="K198" t="inlineStr">
        <is>
          <t>II 8,8a</t>
        </is>
      </c>
      <c r="L198" t="inlineStr">
        <is>
          <t>II 8,8a</t>
        </is>
      </c>
      <c r="M198" t="inlineStr"/>
      <c r="N198" t="inlineStr">
        <is>
          <t xml:space="preserve">De sancta virginitate : </t>
        </is>
      </c>
      <c r="O198" t="inlineStr">
        <is>
          <t xml:space="preserve"> : </t>
        </is>
      </c>
      <c r="P198" t="inlineStr">
        <is>
          <t>X</t>
        </is>
      </c>
      <c r="Q198" t="inlineStr"/>
      <c r="R198" t="inlineStr">
        <is>
          <t>Pergamentband</t>
        </is>
      </c>
      <c r="S198" t="inlineStr">
        <is>
          <t>bis 25 cm</t>
        </is>
      </c>
      <c r="T198" t="inlineStr">
        <is>
          <t>nur sehr geringer Öffnungswinkel</t>
        </is>
      </c>
      <c r="U198" t="inlineStr">
        <is>
          <t>erhabene Illuminationen</t>
        </is>
      </c>
      <c r="V198" t="inlineStr">
        <is>
          <t>nicht auflegen</t>
        </is>
      </c>
      <c r="W198" t="inlineStr">
        <is>
          <t>Kassette</t>
        </is>
      </c>
      <c r="X198" t="inlineStr">
        <is>
          <t>Nein</t>
        </is>
      </c>
      <c r="Y198" t="n">
        <v>0</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t>
        </is>
      </c>
      <c r="B199" t="b">
        <v>1</v>
      </c>
      <c r="C199" t="inlineStr"/>
      <c r="D199" t="inlineStr"/>
      <c r="E199" t="n">
        <v>201</v>
      </c>
      <c r="F199">
        <f>HYPERLINK("https://portal.dnb.de/opac.htm?method=simpleSearch&amp;cqlMode=true&amp;query=idn%3D1066967644", "Portal")</f>
        <v/>
      </c>
      <c r="G199" t="inlineStr">
        <is>
          <t>Aaf</t>
        </is>
      </c>
      <c r="H199" t="inlineStr">
        <is>
          <t>L-1483-315497904</t>
        </is>
      </c>
      <c r="I199" t="inlineStr">
        <is>
          <t>1066967644</t>
        </is>
      </c>
      <c r="J199" t="inlineStr">
        <is>
          <t>II 8,10a</t>
        </is>
      </c>
      <c r="K199" t="inlineStr">
        <is>
          <t>II 8,10a</t>
        </is>
      </c>
      <c r="L199" t="inlineStr">
        <is>
          <t>II 8,10a</t>
        </is>
      </c>
      <c r="M199" t="inlineStr"/>
      <c r="N199" t="inlineStr">
        <is>
          <t xml:space="preserve">Cordiale quattuor novissimorum : </t>
        </is>
      </c>
      <c r="O199" t="inlineStr">
        <is>
          <t xml:space="preserve"> : </t>
        </is>
      </c>
      <c r="P199" t="inlineStr">
        <is>
          <t>X</t>
        </is>
      </c>
      <c r="Q199" t="inlineStr"/>
      <c r="R199" t="inlineStr">
        <is>
          <t>Halbledereinband</t>
        </is>
      </c>
      <c r="S199" t="inlineStr">
        <is>
          <t>bis 25 cm</t>
        </is>
      </c>
      <c r="T199" t="inlineStr">
        <is>
          <t>80° bis 110°, einseitig digitalisierbar?</t>
        </is>
      </c>
      <c r="U199" t="inlineStr">
        <is>
          <t>hohler Rücken, erhabene Illuminationen</t>
        </is>
      </c>
      <c r="V199" t="inlineStr">
        <is>
          <t>nicht auflegen</t>
        </is>
      </c>
      <c r="W199" t="inlineStr">
        <is>
          <t>Kassette</t>
        </is>
      </c>
      <c r="X199" t="inlineStr">
        <is>
          <t>Nein</t>
        </is>
      </c>
      <c r="Y199" t="n">
        <v>0</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t>
        </is>
      </c>
      <c r="B200" t="b">
        <v>1</v>
      </c>
      <c r="C200" t="inlineStr"/>
      <c r="D200" t="inlineStr"/>
      <c r="E200" t="n">
        <v>202</v>
      </c>
      <c r="F200">
        <f>HYPERLINK("https://portal.dnb.de/opac.htm?method=simpleSearch&amp;cqlMode=true&amp;query=idn%3D1079553606", "Portal")</f>
        <v/>
      </c>
      <c r="G200" t="inlineStr">
        <is>
          <t>Aal</t>
        </is>
      </c>
      <c r="H200" t="inlineStr">
        <is>
          <t>L-1480-343704323</t>
        </is>
      </c>
      <c r="I200" t="inlineStr">
        <is>
          <t>1079553606</t>
        </is>
      </c>
      <c r="J200" t="inlineStr">
        <is>
          <t>II 8,10b</t>
        </is>
      </c>
      <c r="K200" t="inlineStr">
        <is>
          <t>II 8,10b</t>
        </is>
      </c>
      <c r="L200" t="inlineStr">
        <is>
          <t>II 8,10b</t>
        </is>
      </c>
      <c r="M200" t="inlineStr"/>
      <c r="N200" t="inlineStr">
        <is>
          <t xml:space="preserve">De corpore christi. [Daran:] Nicolaus de Lyra: Dicta de sacramento und Intellectus super oratione dominica : </t>
        </is>
      </c>
      <c r="O200" t="inlineStr">
        <is>
          <t xml:space="preserve"> : </t>
        </is>
      </c>
      <c r="P200" t="inlineStr">
        <is>
          <t>X</t>
        </is>
      </c>
      <c r="Q200" t="inlineStr"/>
      <c r="R200" t="inlineStr">
        <is>
          <t>Ledereinband</t>
        </is>
      </c>
      <c r="S200" t="inlineStr">
        <is>
          <t>bis 25 cm</t>
        </is>
      </c>
      <c r="T200" t="inlineStr">
        <is>
          <t>80° bis 110°, einseitig digitalisierbar?</t>
        </is>
      </c>
      <c r="U200" t="inlineStr">
        <is>
          <t>erhabene Illuminationen</t>
        </is>
      </c>
      <c r="V200" t="inlineStr">
        <is>
          <t>nicht auflegen</t>
        </is>
      </c>
      <c r="W200" t="inlineStr">
        <is>
          <t>Kassette</t>
        </is>
      </c>
      <c r="X200" t="inlineStr">
        <is>
          <t>Nein</t>
        </is>
      </c>
      <c r="Y200" t="n">
        <v>0</v>
      </c>
      <c r="Z200" t="inlineStr"/>
      <c r="AA200" t="inlineStr">
        <is>
          <t>Originaleinband separat</t>
        </is>
      </c>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t>
        </is>
      </c>
      <c r="B201" t="b">
        <v>1</v>
      </c>
      <c r="C201" t="inlineStr"/>
      <c r="D201" t="inlineStr"/>
      <c r="E201" t="n">
        <v>203</v>
      </c>
      <c r="F201">
        <f>HYPERLINK("https://portal.dnb.de/opac.htm?method=simpleSearch&amp;cqlMode=true&amp;query=idn%3D1072057565", "Portal")</f>
        <v/>
      </c>
      <c r="G201" t="inlineStr">
        <is>
          <t>Aa</t>
        </is>
      </c>
      <c r="H201" t="inlineStr">
        <is>
          <t>L-1476-326854657</t>
        </is>
      </c>
      <c r="I201" t="inlineStr">
        <is>
          <t>1072057565</t>
        </is>
      </c>
      <c r="J201" t="inlineStr">
        <is>
          <t>II 8,11 a</t>
        </is>
      </c>
      <c r="K201" t="inlineStr">
        <is>
          <t>II 8,11 a</t>
        </is>
      </c>
      <c r="L201" t="inlineStr">
        <is>
          <t>II 8,11 a</t>
        </is>
      </c>
      <c r="M201" t="inlineStr"/>
      <c r="N201" t="inlineStr">
        <is>
          <t xml:space="preserve">Legenda aurea sanctorum sive Lombardica historia : </t>
        </is>
      </c>
      <c r="O201" t="inlineStr">
        <is>
          <t xml:space="preserve"> : </t>
        </is>
      </c>
      <c r="P201" t="inlineStr">
        <is>
          <t>X</t>
        </is>
      </c>
      <c r="Q201" t="inlineStr"/>
      <c r="R201" t="inlineStr">
        <is>
          <t>Ledereinband, Schließen, erhabene Buchbeschläge</t>
        </is>
      </c>
      <c r="S201" t="inlineStr">
        <is>
          <t>bis 35 cm</t>
        </is>
      </c>
      <c r="T201" t="inlineStr">
        <is>
          <t>nur sehr geringer Öffnungswinkel</t>
        </is>
      </c>
      <c r="U201" t="inlineStr">
        <is>
          <t>erhabene Illuminationen</t>
        </is>
      </c>
      <c r="V201" t="inlineStr">
        <is>
          <t>nicht auflegen</t>
        </is>
      </c>
      <c r="W201" t="inlineStr">
        <is>
          <t>Kassette</t>
        </is>
      </c>
      <c r="X201" t="inlineStr">
        <is>
          <t>Nein</t>
        </is>
      </c>
      <c r="Y201" t="n">
        <v>0</v>
      </c>
      <c r="Z201" t="inlineStr"/>
      <c r="AA201" t="inlineStr">
        <is>
          <t>Originaleinband separat</t>
        </is>
      </c>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t>
        </is>
      </c>
      <c r="B202" t="b">
        <v>1</v>
      </c>
      <c r="C202" t="inlineStr">
        <is>
          <t>x</t>
        </is>
      </c>
      <c r="D202" t="inlineStr"/>
      <c r="E202" t="n">
        <v>204</v>
      </c>
      <c r="F202">
        <f>HYPERLINK("https://portal.dnb.de/opac.htm?method=simpleSearch&amp;cqlMode=true&amp;query=idn%3D1066970262", "Portal")</f>
        <v/>
      </c>
      <c r="G202" t="inlineStr">
        <is>
          <t>Aaf</t>
        </is>
      </c>
      <c r="H202" t="inlineStr">
        <is>
          <t>L-1476-315500603</t>
        </is>
      </c>
      <c r="I202" t="inlineStr">
        <is>
          <t>1066970262</t>
        </is>
      </c>
      <c r="J202" t="inlineStr">
        <is>
          <t>II 8,11 b</t>
        </is>
      </c>
      <c r="K202" t="inlineStr">
        <is>
          <t>II 8,11 b</t>
        </is>
      </c>
      <c r="L202" t="inlineStr">
        <is>
          <t>II 8,11 b</t>
        </is>
      </c>
      <c r="M202" t="inlineStr"/>
      <c r="N202" t="inlineStr">
        <is>
          <t xml:space="preserve">Mammotrectus super Bibliam : </t>
        </is>
      </c>
      <c r="O202" t="inlineStr">
        <is>
          <t xml:space="preserve"> : </t>
        </is>
      </c>
      <c r="P202" t="inlineStr">
        <is>
          <t>X</t>
        </is>
      </c>
      <c r="Q202" t="inlineStr">
        <is>
          <t>3750,00 USD</t>
        </is>
      </c>
      <c r="R202" t="inlineStr">
        <is>
          <t>Halbledereinband, Schließen, erhabene Buchbeschläge</t>
        </is>
      </c>
      <c r="S202" t="inlineStr">
        <is>
          <t>bis 35 cm</t>
        </is>
      </c>
      <c r="T202" t="inlineStr">
        <is>
          <t>80° bis 110°, einseitig digitalisierbar?</t>
        </is>
      </c>
      <c r="U202" t="inlineStr">
        <is>
          <t>hohler Rücken, welliger Buchblock, erhabene Illuminationen, stark brüchiges Einbandmaterial</t>
        </is>
      </c>
      <c r="V202" t="inlineStr">
        <is>
          <t>nicht auflegen</t>
        </is>
      </c>
      <c r="W202" t="inlineStr">
        <is>
          <t>Kassette</t>
        </is>
      </c>
      <c r="X202" t="inlineStr">
        <is>
          <t>Nein</t>
        </is>
      </c>
      <c r="Y202" t="n">
        <v>3</v>
      </c>
      <c r="Z202" t="inlineStr"/>
      <c r="AA202" t="inlineStr"/>
      <c r="AB202" t="inlineStr"/>
      <c r="AC202" t="inlineStr"/>
      <c r="AD202" t="inlineStr"/>
      <c r="AE202" t="inlineStr"/>
      <c r="AF202" t="inlineStr"/>
      <c r="AG202" t="inlineStr"/>
      <c r="AH202" t="inlineStr"/>
      <c r="AI202" t="inlineStr">
        <is>
          <t>HL</t>
        </is>
      </c>
      <c r="AJ202" t="inlineStr"/>
      <c r="AK202" t="inlineStr">
        <is>
          <t>x</t>
        </is>
      </c>
      <c r="AL202" t="inlineStr"/>
      <c r="AM202" t="inlineStr">
        <is>
          <t>h/E</t>
        </is>
      </c>
      <c r="AN202" t="inlineStr"/>
      <c r="AO202" t="inlineStr"/>
      <c r="AP202" t="inlineStr"/>
      <c r="AQ202" t="inlineStr"/>
      <c r="AR202" t="inlineStr"/>
      <c r="AS202" t="inlineStr">
        <is>
          <t>Pa</t>
        </is>
      </c>
      <c r="AT202" t="inlineStr"/>
      <c r="AU202" t="inlineStr"/>
      <c r="AV202" t="inlineStr"/>
      <c r="AW202" t="inlineStr"/>
      <c r="AX202" t="inlineStr"/>
      <c r="AY202" t="inlineStr"/>
      <c r="AZ202" t="inlineStr"/>
      <c r="BA202" t="inlineStr"/>
      <c r="BB202" t="inlineStr"/>
      <c r="BC202" t="inlineStr">
        <is>
          <t>I/R</t>
        </is>
      </c>
      <c r="BD202" t="inlineStr">
        <is>
          <t>x</t>
        </is>
      </c>
      <c r="BE202" t="inlineStr"/>
      <c r="BF202" t="inlineStr"/>
      <c r="BG202" t="inlineStr">
        <is>
          <t>max 110</t>
        </is>
      </c>
      <c r="BH202" t="inlineStr"/>
      <c r="BI202" t="inlineStr"/>
      <c r="BJ202" t="inlineStr"/>
      <c r="BK202" t="inlineStr"/>
      <c r="BL202" t="inlineStr"/>
      <c r="BM202" t="inlineStr">
        <is>
          <t>ja vor</t>
        </is>
      </c>
      <c r="BN202" t="n">
        <v>0.5</v>
      </c>
      <c r="BO202" t="inlineStr"/>
      <c r="BP202" t="inlineStr">
        <is>
          <t>Wellpappe</t>
        </is>
      </c>
      <c r="BQ202" t="inlineStr"/>
      <c r="BR202" t="inlineStr"/>
      <c r="BS202" t="inlineStr"/>
      <c r="BT202" t="inlineStr"/>
      <c r="BU202" t="inlineStr"/>
      <c r="BV202" t="inlineStr"/>
      <c r="BW202" t="inlineStr"/>
      <c r="BX202" t="inlineStr"/>
      <c r="BY202" t="inlineStr"/>
      <c r="BZ202" t="inlineStr">
        <is>
          <t>x</t>
        </is>
      </c>
      <c r="CA202" t="inlineStr">
        <is>
          <t>x</t>
        </is>
      </c>
      <c r="CB202" t="inlineStr">
        <is>
          <t>x</t>
        </is>
      </c>
      <c r="CC202" t="inlineStr"/>
      <c r="CD202" t="inlineStr">
        <is>
          <t>v/h</t>
        </is>
      </c>
      <c r="CE202" t="inlineStr"/>
      <c r="CF202" t="inlineStr"/>
      <c r="CG202" t="inlineStr"/>
      <c r="CH202" t="inlineStr"/>
      <c r="CI202" t="inlineStr"/>
      <c r="CJ202" t="inlineStr"/>
      <c r="CK202" t="inlineStr"/>
      <c r="CL202" t="inlineStr"/>
      <c r="CM202" t="n">
        <v>0.5</v>
      </c>
      <c r="CN202" t="inlineStr">
        <is>
          <t>Gelenk vorn vollständig durchtrennen und dann Hülse</t>
        </is>
      </c>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t>
        </is>
      </c>
      <c r="B203" t="b">
        <v>1</v>
      </c>
      <c r="C203" t="inlineStr">
        <is>
          <t>x</t>
        </is>
      </c>
      <c r="D203" t="inlineStr"/>
      <c r="E203" t="n">
        <v>205</v>
      </c>
      <c r="F203">
        <f>HYPERLINK("https://portal.dnb.de/opac.htm?method=simpleSearch&amp;cqlMode=true&amp;query=idn%3D1066970610", "Portal")</f>
        <v/>
      </c>
      <c r="G203" t="inlineStr">
        <is>
          <t>Aa</t>
        </is>
      </c>
      <c r="H203" t="inlineStr">
        <is>
          <t>L-1475-315500972</t>
        </is>
      </c>
      <c r="I203" t="inlineStr">
        <is>
          <t>1066970610</t>
        </is>
      </c>
      <c r="J203" t="inlineStr">
        <is>
          <t>II 8,11c</t>
        </is>
      </c>
      <c r="K203" t="inlineStr">
        <is>
          <t>II 8,11c</t>
        </is>
      </c>
      <c r="L203" t="inlineStr">
        <is>
          <t>II 8,11c</t>
        </is>
      </c>
      <c r="M203" t="inlineStr"/>
      <c r="N203" t="inlineStr">
        <is>
          <t xml:space="preserve">Sermones quadragesimale de legibus : </t>
        </is>
      </c>
      <c r="O203" t="inlineStr">
        <is>
          <t xml:space="preserve"> : </t>
        </is>
      </c>
      <c r="P203" t="inlineStr">
        <is>
          <t>X</t>
        </is>
      </c>
      <c r="Q203" t="inlineStr">
        <is>
          <t>6500,00 EUR</t>
        </is>
      </c>
      <c r="R203" t="inlineStr">
        <is>
          <t>Halbledereinband</t>
        </is>
      </c>
      <c r="S203" t="inlineStr">
        <is>
          <t>bis 42 cm</t>
        </is>
      </c>
      <c r="T203" t="inlineStr">
        <is>
          <t>80° bis 110°, einseitig digitalisierbar?</t>
        </is>
      </c>
      <c r="U203" t="inlineStr">
        <is>
          <t>fester Rücken mit Schmuckprägung, erhabene Illuminationen</t>
        </is>
      </c>
      <c r="V203" t="inlineStr">
        <is>
          <t>nicht auflegen</t>
        </is>
      </c>
      <c r="W203" t="inlineStr"/>
      <c r="X203" t="inlineStr">
        <is>
          <t>Signaturfahne austauschen</t>
        </is>
      </c>
      <c r="Y203" t="n">
        <v>1</v>
      </c>
      <c r="Z203" t="inlineStr"/>
      <c r="AA203" t="inlineStr"/>
      <c r="AB203" t="inlineStr"/>
      <c r="AC203" t="inlineStr"/>
      <c r="AD203" t="inlineStr"/>
      <c r="AE203" t="inlineStr"/>
      <c r="AF203" t="inlineStr"/>
      <c r="AG203" t="inlineStr"/>
      <c r="AH203" t="inlineStr"/>
      <c r="AI203" t="inlineStr">
        <is>
          <t>HL</t>
        </is>
      </c>
      <c r="AJ203" t="inlineStr"/>
      <c r="AK203" t="inlineStr">
        <is>
          <t>x</t>
        </is>
      </c>
      <c r="AL203" t="inlineStr"/>
      <c r="AM203" t="inlineStr">
        <is>
          <t>f/V</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is>
          <t>I/R</t>
        </is>
      </c>
      <c r="BD203" t="inlineStr">
        <is>
          <t>x</t>
        </is>
      </c>
      <c r="BE203" t="inlineStr"/>
      <c r="BF203" t="inlineStr"/>
      <c r="BG203" t="n">
        <v>110</v>
      </c>
      <c r="BH203" t="inlineStr"/>
      <c r="BI203" t="inlineStr"/>
      <c r="BJ203" t="inlineStr"/>
      <c r="BK203" t="inlineStr"/>
      <c r="BL203" t="inlineStr"/>
      <c r="BM203" t="inlineStr">
        <is>
          <t>ja vor</t>
        </is>
      </c>
      <c r="BN203" t="n">
        <v>6</v>
      </c>
      <c r="BO203" t="inlineStr"/>
      <c r="BP203" t="inlineStr"/>
      <c r="BQ203" t="inlineStr"/>
      <c r="BR203" t="inlineStr">
        <is>
          <t>x</t>
        </is>
      </c>
      <c r="BS203" t="inlineStr"/>
      <c r="BT203" t="inlineStr"/>
      <c r="BU203" t="inlineStr"/>
      <c r="BV203" t="inlineStr"/>
      <c r="BW203" t="inlineStr"/>
      <c r="BX203" t="inlineStr"/>
      <c r="BY203" t="inlineStr"/>
      <c r="BZ203" t="inlineStr">
        <is>
          <t>x</t>
        </is>
      </c>
      <c r="CA203" t="inlineStr">
        <is>
          <t>x</t>
        </is>
      </c>
      <c r="CB203" t="inlineStr"/>
      <c r="CC203" t="inlineStr"/>
      <c r="CD203" t="inlineStr">
        <is>
          <t>v/h</t>
        </is>
      </c>
      <c r="CE203" t="inlineStr"/>
      <c r="CF203" t="inlineStr"/>
      <c r="CG203" t="inlineStr"/>
      <c r="CH203" t="inlineStr"/>
      <c r="CI203" t="inlineStr"/>
      <c r="CJ203" t="inlineStr"/>
      <c r="CK203" t="inlineStr"/>
      <c r="CL203" t="inlineStr"/>
      <c r="CM203" t="n">
        <v>6</v>
      </c>
      <c r="CN203" t="inlineStr">
        <is>
          <t>Gelenk mit JP-Gewebe-Laminat stabilisieren</t>
        </is>
      </c>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II</t>
        </is>
      </c>
      <c r="B204" t="b">
        <v>1</v>
      </c>
      <c r="C204" t="inlineStr"/>
      <c r="D204" t="inlineStr"/>
      <c r="E204" t="n">
        <v>206</v>
      </c>
      <c r="F204">
        <f>HYPERLINK("https://portal.dnb.de/opac.htm?method=simpleSearch&amp;cqlMode=true&amp;query=idn%3D1066970165", "Portal")</f>
        <v/>
      </c>
      <c r="G204" t="inlineStr">
        <is>
          <t>Aaf</t>
        </is>
      </c>
      <c r="H204" t="inlineStr">
        <is>
          <t>L-1486-315500514</t>
        </is>
      </c>
      <c r="I204" t="inlineStr">
        <is>
          <t>1066970165</t>
        </is>
      </c>
      <c r="J204" t="inlineStr">
        <is>
          <t>II 8,12a</t>
        </is>
      </c>
      <c r="K204" t="inlineStr">
        <is>
          <t>II 8,12a</t>
        </is>
      </c>
      <c r="L204" t="inlineStr">
        <is>
          <t>II 8,12a</t>
        </is>
      </c>
      <c r="M204" t="inlineStr"/>
      <c r="N204" t="inlineStr">
        <is>
          <t xml:space="preserve">Historia trium regum : </t>
        </is>
      </c>
      <c r="O204" t="inlineStr">
        <is>
          <t xml:space="preserve"> : </t>
        </is>
      </c>
      <c r="P204" t="inlineStr">
        <is>
          <t>X</t>
        </is>
      </c>
      <c r="Q204" t="inlineStr"/>
      <c r="R204" t="inlineStr">
        <is>
          <t>Gewebeeinband</t>
        </is>
      </c>
      <c r="S204" t="inlineStr">
        <is>
          <t>bis 25 cm</t>
        </is>
      </c>
      <c r="T204" t="inlineStr">
        <is>
          <t>80° bis 110°, einseitig digitalisierbar?</t>
        </is>
      </c>
      <c r="U204" t="inlineStr">
        <is>
          <t>fester Rücken mit Schmuckprägung, erhabene Illuminationen</t>
        </is>
      </c>
      <c r="V204" t="inlineStr">
        <is>
          <t>nicht auflegen</t>
        </is>
      </c>
      <c r="W204" t="inlineStr">
        <is>
          <t>Kassette</t>
        </is>
      </c>
      <c r="X204" t="inlineStr">
        <is>
          <t>Nein</t>
        </is>
      </c>
      <c r="Y204" t="n">
        <v>1</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t>
        </is>
      </c>
      <c r="B205" t="b">
        <v>1</v>
      </c>
      <c r="C205" t="inlineStr"/>
      <c r="D205" t="inlineStr"/>
      <c r="E205" t="n">
        <v>207</v>
      </c>
      <c r="F205">
        <f>HYPERLINK("https://portal.dnb.de/opac.htm?method=simpleSearch&amp;cqlMode=true&amp;query=idn%3D1066965617", "Portal")</f>
        <v/>
      </c>
      <c r="G205" t="inlineStr">
        <is>
          <t>Aaf</t>
        </is>
      </c>
      <c r="H205" t="inlineStr">
        <is>
          <t>L-1487-315495839</t>
        </is>
      </c>
      <c r="I205" t="inlineStr">
        <is>
          <t>1066965617</t>
        </is>
      </c>
      <c r="J205" t="inlineStr">
        <is>
          <t>II 8,12b</t>
        </is>
      </c>
      <c r="K205" t="inlineStr">
        <is>
          <t>II 8,12b</t>
        </is>
      </c>
      <c r="L205" t="inlineStr">
        <is>
          <t>II 8,12b</t>
        </is>
      </c>
      <c r="M205" t="inlineStr"/>
      <c r="N205" t="inlineStr">
        <is>
          <t xml:space="preserve">Auctoritates Aristotelis et aliorum philosophorum : </t>
        </is>
      </c>
      <c r="O205" t="inlineStr">
        <is>
          <t xml:space="preserve"> : </t>
        </is>
      </c>
      <c r="P205" t="inlineStr">
        <is>
          <t>X</t>
        </is>
      </c>
      <c r="Q205" t="inlineStr"/>
      <c r="R205" t="inlineStr">
        <is>
          <t>Halbledereinband</t>
        </is>
      </c>
      <c r="S205" t="inlineStr">
        <is>
          <t>bis 35 cm</t>
        </is>
      </c>
      <c r="T205" t="inlineStr">
        <is>
          <t>80° bis 110°, einseitig digitalisierbar?</t>
        </is>
      </c>
      <c r="U205" t="inlineStr">
        <is>
          <t>fester Rücken mit Schmuckprägung</t>
        </is>
      </c>
      <c r="V205" t="inlineStr"/>
      <c r="W205" t="inlineStr">
        <is>
          <t>Kassette</t>
        </is>
      </c>
      <c r="X205" t="inlineStr">
        <is>
          <t>Nein</t>
        </is>
      </c>
      <c r="Y205" t="n">
        <v>1</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t>
        </is>
      </c>
      <c r="B206" t="b">
        <v>1</v>
      </c>
      <c r="C206" t="inlineStr"/>
      <c r="D206" t="inlineStr"/>
      <c r="E206" t="n">
        <v>208</v>
      </c>
      <c r="F206">
        <f>HYPERLINK("https://portal.dnb.de/opac.htm?method=simpleSearch&amp;cqlMode=true&amp;query=idn%3D1066965064", "Portal")</f>
        <v/>
      </c>
      <c r="G206" t="inlineStr">
        <is>
          <t>Aaf</t>
        </is>
      </c>
      <c r="H206" t="inlineStr">
        <is>
          <t>L-1485-315495200</t>
        </is>
      </c>
      <c r="I206" t="inlineStr">
        <is>
          <t>1066965064</t>
        </is>
      </c>
      <c r="J206" t="inlineStr">
        <is>
          <t>II 8,12c</t>
        </is>
      </c>
      <c r="K206" t="inlineStr">
        <is>
          <t>II 8,12c</t>
        </is>
      </c>
      <c r="L206" t="inlineStr">
        <is>
          <t>II 8,12c</t>
        </is>
      </c>
      <c r="M206" t="inlineStr"/>
      <c r="N206" t="inlineStr">
        <is>
          <t xml:space="preserve">Mensa philosophica : </t>
        </is>
      </c>
      <c r="O206" t="inlineStr">
        <is>
          <t xml:space="preserve"> : </t>
        </is>
      </c>
      <c r="P206" t="inlineStr">
        <is>
          <t>X</t>
        </is>
      </c>
      <c r="Q206" t="inlineStr"/>
      <c r="R206" t="inlineStr">
        <is>
          <t>Pergamentband</t>
        </is>
      </c>
      <c r="S206" t="inlineStr">
        <is>
          <t>bis 25 cm</t>
        </is>
      </c>
      <c r="T206" t="inlineStr">
        <is>
          <t>80° bis 110°, einseitig digitalisierbar?</t>
        </is>
      </c>
      <c r="U206" t="inlineStr"/>
      <c r="V206" t="inlineStr"/>
      <c r="W206" t="inlineStr">
        <is>
          <t>Kassette</t>
        </is>
      </c>
      <c r="X206" t="inlineStr">
        <is>
          <t>Nein</t>
        </is>
      </c>
      <c r="Y206" t="n">
        <v>0</v>
      </c>
      <c r="Z206" t="inlineStr"/>
      <c r="AA206" t="inlineStr">
        <is>
          <t>Originaleinband separat</t>
        </is>
      </c>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t>
        </is>
      </c>
      <c r="B207" t="b">
        <v>1</v>
      </c>
      <c r="C207" t="inlineStr"/>
      <c r="D207" t="inlineStr"/>
      <c r="E207" t="n">
        <v>209</v>
      </c>
      <c r="F207">
        <f>HYPERLINK("https://portal.dnb.de/opac.htm?method=simpleSearch&amp;cqlMode=true&amp;query=idn%3D1072318075", "Portal")</f>
        <v/>
      </c>
      <c r="G207" t="inlineStr">
        <is>
          <t>Aa</t>
        </is>
      </c>
      <c r="H207" t="inlineStr">
        <is>
          <t>L-1478-327278625</t>
        </is>
      </c>
      <c r="I207" t="inlineStr">
        <is>
          <t>1072318075</t>
        </is>
      </c>
      <c r="J207" t="inlineStr">
        <is>
          <t>II 8,12d</t>
        </is>
      </c>
      <c r="K207" t="inlineStr">
        <is>
          <t>II 8,12d</t>
        </is>
      </c>
      <c r="L207" t="inlineStr">
        <is>
          <t>II 8,12d</t>
        </is>
      </c>
      <c r="M207" t="inlineStr"/>
      <c r="N207" t="inlineStr">
        <is>
          <t xml:space="preserve">Biblia aurea : </t>
        </is>
      </c>
      <c r="O207" t="inlineStr">
        <is>
          <t xml:space="preserve"> : </t>
        </is>
      </c>
      <c r="P207" t="inlineStr">
        <is>
          <t>X</t>
        </is>
      </c>
      <c r="Q207" t="inlineStr"/>
      <c r="R207" t="inlineStr">
        <is>
          <t>Halbledereinband, Schließen, erhabene Buchbeschläge</t>
        </is>
      </c>
      <c r="S207" t="inlineStr">
        <is>
          <t>bis 35 cm</t>
        </is>
      </c>
      <c r="T207" t="inlineStr">
        <is>
          <t>80° bis 110°, einseitig digitalisierbar?</t>
        </is>
      </c>
      <c r="U207" t="inlineStr">
        <is>
          <t>hohler Rücken, erhabene Illuminationen, stark brüchiges Einbandmaterial</t>
        </is>
      </c>
      <c r="V207" t="inlineStr">
        <is>
          <t>nicht auflegen</t>
        </is>
      </c>
      <c r="W207" t="inlineStr">
        <is>
          <t>Kassette</t>
        </is>
      </c>
      <c r="X207" t="inlineStr">
        <is>
          <t>Nein</t>
        </is>
      </c>
      <c r="Y207" t="n">
        <v>3</v>
      </c>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t>
        </is>
      </c>
      <c r="B208" t="b">
        <v>1</v>
      </c>
      <c r="C208" t="inlineStr"/>
      <c r="D208" t="inlineStr"/>
      <c r="E208" t="inlineStr"/>
      <c r="F208">
        <f>HYPERLINK("https://portal.dnb.de/opac.htm?method=simpleSearch&amp;cqlMode=true&amp;query=idn%3D1272204251", "Portal")</f>
        <v/>
      </c>
      <c r="G208" t="inlineStr">
        <is>
          <t>Qd</t>
        </is>
      </c>
      <c r="H208" t="inlineStr">
        <is>
          <t>L-1495-84751126X</t>
        </is>
      </c>
      <c r="I208" t="inlineStr">
        <is>
          <t>1272204251</t>
        </is>
      </c>
      <c r="J208" t="inlineStr">
        <is>
          <t>II 8,13 e/d/l</t>
        </is>
      </c>
      <c r="K208" t="inlineStr">
        <is>
          <t>II 8,13 e/d/l</t>
        </is>
      </c>
      <c r="L208" t="inlineStr">
        <is>
          <t>II 8,13 e/d/l</t>
        </is>
      </c>
      <c r="M208" t="inlineStr"/>
      <c r="N208" t="inlineStr">
        <is>
          <t xml:space="preserve">Sammelband : </t>
        </is>
      </c>
      <c r="O208" t="inlineStr">
        <is>
          <t xml:space="preserve"> : </t>
        </is>
      </c>
      <c r="P208" t="inlineStr">
        <is>
          <t>x</t>
        </is>
      </c>
      <c r="Q208" t="inlineStr"/>
      <c r="R208" t="inlineStr">
        <is>
          <t>Ledereinband, Schließen, erhabene Buchbeschläge</t>
        </is>
      </c>
      <c r="S208" t="inlineStr">
        <is>
          <t>bis 25 cm</t>
        </is>
      </c>
      <c r="T208" t="inlineStr">
        <is>
          <t>80° bis 110°, einseitig digitalisierbar?</t>
        </is>
      </c>
      <c r="U208" t="inlineStr">
        <is>
          <t>fester Rücken mit Schmuckprägung, erhabene Illuminationen</t>
        </is>
      </c>
      <c r="V208" t="inlineStr">
        <is>
          <t>nicht auflegen</t>
        </is>
      </c>
      <c r="W208" t="inlineStr">
        <is>
          <t>Kassette</t>
        </is>
      </c>
      <c r="X208" t="inlineStr">
        <is>
          <t>Nein</t>
        </is>
      </c>
      <c r="Y208" t="n">
        <v>1</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t>
        </is>
      </c>
      <c r="B209" t="b">
        <v>1</v>
      </c>
      <c r="C209" t="inlineStr">
        <is>
          <t>x</t>
        </is>
      </c>
      <c r="D209" t="inlineStr"/>
      <c r="E209" t="n">
        <v>210</v>
      </c>
      <c r="F209">
        <f>HYPERLINK("https://portal.dnb.de/opac.htm?method=simpleSearch&amp;cqlMode=true&amp;query=idn%3D1066965609", "Portal")</f>
        <v/>
      </c>
      <c r="G209" t="inlineStr">
        <is>
          <t>Aa</t>
        </is>
      </c>
      <c r="H209" t="inlineStr">
        <is>
          <t>L-1479-315495820</t>
        </is>
      </c>
      <c r="I209" t="inlineStr">
        <is>
          <t>1066965609</t>
        </is>
      </c>
      <c r="J209" t="inlineStr">
        <is>
          <t>II 8,13a</t>
        </is>
      </c>
      <c r="K209" t="inlineStr">
        <is>
          <t>II 8,13a</t>
        </is>
      </c>
      <c r="L209" t="inlineStr">
        <is>
          <t>II 8,13a</t>
        </is>
      </c>
      <c r="M209" t="inlineStr"/>
      <c r="N209" t="inlineStr">
        <is>
          <t xml:space="preserve">Summa de casibus conscientiae : </t>
        </is>
      </c>
      <c r="O209" t="inlineStr">
        <is>
          <t xml:space="preserve"> : </t>
        </is>
      </c>
      <c r="P209" t="inlineStr">
        <is>
          <t>X</t>
        </is>
      </c>
      <c r="Q209" t="inlineStr">
        <is>
          <t>7500,00 GBP</t>
        </is>
      </c>
      <c r="R209" t="inlineStr">
        <is>
          <t>Halbledereinband, Schließen, erhabene Buchbeschläge</t>
        </is>
      </c>
      <c r="S209" t="inlineStr">
        <is>
          <t>bis 42 cm</t>
        </is>
      </c>
      <c r="T209" t="inlineStr">
        <is>
          <t>nur sehr geringer Öffnungswinkel</t>
        </is>
      </c>
      <c r="U209" t="inlineStr">
        <is>
          <t>fester Rücken mit Schmuckprägung</t>
        </is>
      </c>
      <c r="V209" t="inlineStr"/>
      <c r="W209" t="inlineStr"/>
      <c r="X209" t="inlineStr">
        <is>
          <t>Signaturfahne austauschen</t>
        </is>
      </c>
      <c r="Y209" t="n">
        <v>0</v>
      </c>
      <c r="Z209" t="inlineStr"/>
      <c r="AA209" t="inlineStr">
        <is>
          <t>Illuminationen??</t>
        </is>
      </c>
      <c r="AB209" t="inlineStr"/>
      <c r="AC209" t="inlineStr"/>
      <c r="AD209" t="inlineStr"/>
      <c r="AE209" t="inlineStr"/>
      <c r="AF209" t="inlineStr"/>
      <c r="AG209" t="inlineStr"/>
      <c r="AH209" t="inlineStr"/>
      <c r="AI209" t="inlineStr">
        <is>
          <t>HL</t>
        </is>
      </c>
      <c r="AJ209" t="inlineStr"/>
      <c r="AK209" t="inlineStr">
        <is>
          <t>x</t>
        </is>
      </c>
      <c r="AL209" t="inlineStr"/>
      <c r="AM209" t="inlineStr">
        <is>
          <t>h</t>
        </is>
      </c>
      <c r="AN209" t="inlineStr"/>
      <c r="AO209" t="inlineStr"/>
      <c r="AP209" t="inlineStr"/>
      <c r="AQ209" t="inlineStr"/>
      <c r="AR209" t="inlineStr"/>
      <c r="AS209" t="inlineStr">
        <is>
          <t>Pa</t>
        </is>
      </c>
      <c r="AT209" t="inlineStr"/>
      <c r="AU209" t="inlineStr"/>
      <c r="AV209" t="inlineStr"/>
      <c r="AW209" t="inlineStr"/>
      <c r="AX209" t="inlineStr"/>
      <c r="AY209" t="inlineStr"/>
      <c r="AZ209" t="inlineStr"/>
      <c r="BA209" t="inlineStr"/>
      <c r="BB209" t="inlineStr"/>
      <c r="BC209" t="inlineStr">
        <is>
          <t>I/R</t>
        </is>
      </c>
      <c r="BD209" t="inlineStr">
        <is>
          <t>x</t>
        </is>
      </c>
      <c r="BE209" t="inlineStr"/>
      <c r="BF209" t="inlineStr"/>
      <c r="BG209" t="n">
        <v>110</v>
      </c>
      <c r="BH209" t="inlineStr"/>
      <c r="BI209" t="inlineStr"/>
      <c r="BJ209" t="inlineStr"/>
      <c r="BK209" t="inlineStr"/>
      <c r="BL209" t="inlineStr"/>
      <c r="BM209" t="inlineStr">
        <is>
          <t>ja vor</t>
        </is>
      </c>
      <c r="BN209" t="n">
        <v>9</v>
      </c>
      <c r="BO209" t="inlineStr"/>
      <c r="BP209" t="inlineStr">
        <is>
          <t>Wellpappe</t>
        </is>
      </c>
      <c r="BQ209" t="inlineStr"/>
      <c r="BR209" t="inlineStr"/>
      <c r="BS209" t="inlineStr"/>
      <c r="BT209" t="inlineStr"/>
      <c r="BU209" t="inlineStr"/>
      <c r="BV209" t="inlineStr"/>
      <c r="BW209" t="inlineStr"/>
      <c r="BX209" t="inlineStr"/>
      <c r="BY209" t="inlineStr"/>
      <c r="BZ209" t="inlineStr">
        <is>
          <t>x</t>
        </is>
      </c>
      <c r="CA209" t="inlineStr"/>
      <c r="CB209" t="inlineStr"/>
      <c r="CC209" t="inlineStr"/>
      <c r="CD209" t="inlineStr"/>
      <c r="CE209" t="inlineStr"/>
      <c r="CF209" t="inlineStr"/>
      <c r="CG209" t="inlineStr"/>
      <c r="CH209" t="inlineStr">
        <is>
          <t>x</t>
        </is>
      </c>
      <c r="CI209" t="inlineStr"/>
      <c r="CJ209" t="inlineStr"/>
      <c r="CK209" t="inlineStr"/>
      <c r="CL209" t="inlineStr"/>
      <c r="CM209" t="n">
        <v>1</v>
      </c>
      <c r="CN209" t="inlineStr">
        <is>
          <t>Greifendes Teil oben mit Niete fixieren</t>
        </is>
      </c>
      <c r="CO209" t="inlineStr">
        <is>
          <t>x</t>
        </is>
      </c>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n">
        <v>8</v>
      </c>
      <c r="DG209" t="inlineStr">
        <is>
          <t>v.a. an Kopf und Fuß reinigen</t>
        </is>
      </c>
    </row>
    <row r="210">
      <c r="A210" t="inlineStr">
        <is>
          <t>II</t>
        </is>
      </c>
      <c r="B210" t="b">
        <v>1</v>
      </c>
      <c r="C210" t="inlineStr"/>
      <c r="D210" t="inlineStr"/>
      <c r="E210" t="n">
        <v>211</v>
      </c>
      <c r="F210">
        <f>HYPERLINK("https://portal.dnb.de/opac.htm?method=simpleSearch&amp;cqlMode=true&amp;query=idn%3D1066964874", "Portal")</f>
        <v/>
      </c>
      <c r="G210" t="inlineStr">
        <is>
          <t>Aaf</t>
        </is>
      </c>
      <c r="H210" t="inlineStr">
        <is>
          <t>L-1484-315495049</t>
        </is>
      </c>
      <c r="I210" t="inlineStr">
        <is>
          <t>1066964874</t>
        </is>
      </c>
      <c r="J210" t="inlineStr">
        <is>
          <t>II 8,13b</t>
        </is>
      </c>
      <c r="K210" t="inlineStr">
        <is>
          <t>II 8,13b</t>
        </is>
      </c>
      <c r="L210" t="inlineStr">
        <is>
          <t>II 8,13b</t>
        </is>
      </c>
      <c r="M210" t="inlineStr"/>
      <c r="N210" t="inlineStr">
        <is>
          <t xml:space="preserve">Summa theologica : </t>
        </is>
      </c>
      <c r="O210" t="inlineStr">
        <is>
          <t xml:space="preserve"> : </t>
        </is>
      </c>
      <c r="P210" t="inlineStr">
        <is>
          <t>X</t>
        </is>
      </c>
      <c r="Q210" t="inlineStr"/>
      <c r="R210" t="inlineStr">
        <is>
          <t>Ledereinband, Schließen, erhabene Buchbeschläge</t>
        </is>
      </c>
      <c r="S210" t="inlineStr">
        <is>
          <t>bis 35 cm</t>
        </is>
      </c>
      <c r="T210" t="inlineStr">
        <is>
          <t>80° bis 110°, einseitig digitalisierbar?</t>
        </is>
      </c>
      <c r="U210" t="inlineStr">
        <is>
          <t>fester Rücken mit Schmuckprägung, welliger Buchblock, stark brüchiges Einbandmaterial, erhabene Illuminationen</t>
        </is>
      </c>
      <c r="V210" t="inlineStr">
        <is>
          <t>nicht auflegen</t>
        </is>
      </c>
      <c r="W210" t="inlineStr">
        <is>
          <t>Kassette</t>
        </is>
      </c>
      <c r="X210" t="inlineStr">
        <is>
          <t>Nein</t>
        </is>
      </c>
      <c r="Y210" t="n">
        <v>3</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t>
        </is>
      </c>
      <c r="B211" t="b">
        <v>1</v>
      </c>
      <c r="C211" t="inlineStr"/>
      <c r="D211" t="inlineStr"/>
      <c r="E211" t="n">
        <v>215</v>
      </c>
      <c r="F211">
        <f>HYPERLINK("https://portal.dnb.de/opac.htm?method=simpleSearch&amp;cqlMode=true&amp;query=idn%3D1066965102", "Portal")</f>
        <v/>
      </c>
      <c r="G211" t="inlineStr">
        <is>
          <t>Aa</t>
        </is>
      </c>
      <c r="H211" t="inlineStr">
        <is>
          <t>L-1497-315495243</t>
        </is>
      </c>
      <c r="I211" t="inlineStr">
        <is>
          <t>1066965102</t>
        </is>
      </c>
      <c r="J211" t="inlineStr">
        <is>
          <t>II 8,13f</t>
        </is>
      </c>
      <c r="K211" t="inlineStr">
        <is>
          <t>II 8,13f</t>
        </is>
      </c>
      <c r="L211" t="inlineStr">
        <is>
          <t>II 8,13f</t>
        </is>
      </c>
      <c r="M211" t="inlineStr"/>
      <c r="N211" t="inlineStr">
        <is>
          <t xml:space="preserve">De arte loquendi et tacendi : </t>
        </is>
      </c>
      <c r="O211" t="inlineStr">
        <is>
          <t xml:space="preserve"> : </t>
        </is>
      </c>
      <c r="P211" t="inlineStr">
        <is>
          <t>x</t>
        </is>
      </c>
      <c r="Q211" t="inlineStr"/>
      <c r="R211" t="inlineStr">
        <is>
          <t>Pergamentband</t>
        </is>
      </c>
      <c r="S211" t="inlineStr">
        <is>
          <t>bis 25 cm</t>
        </is>
      </c>
      <c r="T211" t="inlineStr">
        <is>
          <t>80° bis 110°, einseitig digitalisierbar?</t>
        </is>
      </c>
      <c r="U211" t="inlineStr">
        <is>
          <t>erhabene Illuminationen</t>
        </is>
      </c>
      <c r="V211" t="inlineStr">
        <is>
          <t>nicht auflegen</t>
        </is>
      </c>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t>
        </is>
      </c>
      <c r="B212" t="b">
        <v>1</v>
      </c>
      <c r="C212" t="inlineStr"/>
      <c r="D212" t="inlineStr"/>
      <c r="E212" t="n">
        <v>216</v>
      </c>
      <c r="F212">
        <f>HYPERLINK("https://portal.dnb.de/opac.htm?method=simpleSearch&amp;cqlMode=true&amp;query=idn%3D1066965110", "Portal")</f>
        <v/>
      </c>
      <c r="G212" t="inlineStr">
        <is>
          <t>Aaf</t>
        </is>
      </c>
      <c r="H212" t="inlineStr">
        <is>
          <t>L-1498-315495251</t>
        </is>
      </c>
      <c r="I212" t="inlineStr">
        <is>
          <t>1066965110</t>
        </is>
      </c>
      <c r="J212" t="inlineStr">
        <is>
          <t>II 8,13g</t>
        </is>
      </c>
      <c r="K212" t="inlineStr">
        <is>
          <t>II 8,13g</t>
        </is>
      </c>
      <c r="L212" t="inlineStr">
        <is>
          <t>II 8,13g</t>
        </is>
      </c>
      <c r="M212" t="inlineStr"/>
      <c r="N212" t="inlineStr">
        <is>
          <t xml:space="preserve">Paradisus animae sive Tractatus de virtutibus : </t>
        </is>
      </c>
      <c r="O212" t="inlineStr">
        <is>
          <t xml:space="preserve"> : </t>
        </is>
      </c>
      <c r="P212" t="inlineStr">
        <is>
          <t>x</t>
        </is>
      </c>
      <c r="Q212" t="inlineStr"/>
      <c r="R212" t="inlineStr">
        <is>
          <t>Ledereinband, Schließen, erhabene Buchbeschläge</t>
        </is>
      </c>
      <c r="S212" t="inlineStr">
        <is>
          <t>bis 25 cm</t>
        </is>
      </c>
      <c r="T212" t="inlineStr">
        <is>
          <t>80° bis 110°, einseitig digitalisierbar?</t>
        </is>
      </c>
      <c r="U212" t="inlineStr">
        <is>
          <t>hohler Rücken, erhabene Illuminationen</t>
        </is>
      </c>
      <c r="V212" t="inlineStr">
        <is>
          <t>nicht auflegen</t>
        </is>
      </c>
      <c r="W212" t="inlineStr">
        <is>
          <t>Kassette</t>
        </is>
      </c>
      <c r="X212" t="inlineStr">
        <is>
          <t>Nein</t>
        </is>
      </c>
      <c r="Y212" t="n">
        <v>0</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t>
        </is>
      </c>
      <c r="B213" t="b">
        <v>1</v>
      </c>
      <c r="C213" t="inlineStr"/>
      <c r="D213" t="inlineStr"/>
      <c r="E213" t="n">
        <v>217</v>
      </c>
      <c r="F213">
        <f>HYPERLINK("https://portal.dnb.de/opac.htm?method=simpleSearch&amp;cqlMode=true&amp;query=idn%3D1072057948", "Portal")</f>
        <v/>
      </c>
      <c r="G213" t="inlineStr">
        <is>
          <t>Aa</t>
        </is>
      </c>
      <c r="H213" t="inlineStr">
        <is>
          <t>L-1490-326854908</t>
        </is>
      </c>
      <c r="I213" t="inlineStr">
        <is>
          <t>1072057948</t>
        </is>
      </c>
      <c r="J213" t="inlineStr">
        <is>
          <t>II 8,13k</t>
        </is>
      </c>
      <c r="K213" t="inlineStr">
        <is>
          <t>II 8,13k</t>
        </is>
      </c>
      <c r="L213" t="inlineStr">
        <is>
          <t>II 8,13k</t>
        </is>
      </c>
      <c r="M213" t="inlineStr"/>
      <c r="N213" t="inlineStr">
        <is>
          <t xml:space="preserve">De corpore christi : </t>
        </is>
      </c>
      <c r="O213" t="inlineStr">
        <is>
          <t xml:space="preserve"> : </t>
        </is>
      </c>
      <c r="P213" t="inlineStr">
        <is>
          <t>X</t>
        </is>
      </c>
      <c r="Q213" t="inlineStr"/>
      <c r="R213" t="inlineStr">
        <is>
          <t>Pergamentband</t>
        </is>
      </c>
      <c r="S213" t="inlineStr">
        <is>
          <t>bis 25 cm</t>
        </is>
      </c>
      <c r="T213" t="inlineStr">
        <is>
          <t>80° bis 110°, einseitig digitalisierbar?</t>
        </is>
      </c>
      <c r="U213" t="inlineStr">
        <is>
          <t>hohler Rücken, erhabene Illuminationen</t>
        </is>
      </c>
      <c r="V213" t="inlineStr">
        <is>
          <t>nicht auflegen</t>
        </is>
      </c>
      <c r="W213" t="inlineStr">
        <is>
          <t>Kassette</t>
        </is>
      </c>
      <c r="X213" t="inlineStr">
        <is>
          <t>Nein</t>
        </is>
      </c>
      <c r="Y213" t="n">
        <v>0</v>
      </c>
      <c r="Z213" t="inlineStr"/>
      <c r="AA213" t="inlineStr">
        <is>
          <t>Originaleinband separat</t>
        </is>
      </c>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t>
        </is>
      </c>
      <c r="B214" t="b">
        <v>1</v>
      </c>
      <c r="C214" t="inlineStr"/>
      <c r="D214" t="inlineStr"/>
      <c r="E214" t="n">
        <v>219</v>
      </c>
      <c r="F214">
        <f>HYPERLINK("https://portal.dnb.de/opac.htm?method=simpleSearch&amp;cqlMode=true&amp;query=idn%3D1066969000", "Portal")</f>
        <v/>
      </c>
      <c r="G214" t="inlineStr">
        <is>
          <t>Aa</t>
        </is>
      </c>
      <c r="H214" t="inlineStr">
        <is>
          <t>L-1494-315499273</t>
        </is>
      </c>
      <c r="I214" t="inlineStr">
        <is>
          <t>1066969000</t>
        </is>
      </c>
      <c r="J214" t="inlineStr">
        <is>
          <t>II 8,13m</t>
        </is>
      </c>
      <c r="K214" t="inlineStr">
        <is>
          <t>II 8,13m</t>
        </is>
      </c>
      <c r="L214" t="inlineStr">
        <is>
          <t>II 8,13m</t>
        </is>
      </c>
      <c r="M214" t="inlineStr"/>
      <c r="N214" t="inlineStr">
        <is>
          <t xml:space="preserve">Postilla super epistolas et evangelia : </t>
        </is>
      </c>
      <c r="O214" t="inlineStr">
        <is>
          <t xml:space="preserve"> : </t>
        </is>
      </c>
      <c r="P214" t="inlineStr"/>
      <c r="Q214" t="inlineStr"/>
      <c r="R214" t="inlineStr">
        <is>
          <t>Ledereinband, Schließen, erhabene Buchbeschläge</t>
        </is>
      </c>
      <c r="S214" t="inlineStr">
        <is>
          <t>bis 25 cm</t>
        </is>
      </c>
      <c r="T214" t="inlineStr">
        <is>
          <t>80° bis 110°, einseitig digitalisierbar?</t>
        </is>
      </c>
      <c r="U214" t="inlineStr">
        <is>
          <t>erhabene Illuminationen</t>
        </is>
      </c>
      <c r="V214" t="inlineStr">
        <is>
          <t>nicht auflegen</t>
        </is>
      </c>
      <c r="W214" t="inlineStr">
        <is>
          <t>Kassette</t>
        </is>
      </c>
      <c r="X214" t="inlineStr">
        <is>
          <t>ja</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t>
        </is>
      </c>
      <c r="B215" t="b">
        <v>1</v>
      </c>
      <c r="C215" t="inlineStr"/>
      <c r="D215" t="inlineStr"/>
      <c r="E215" t="n">
        <v>220</v>
      </c>
      <c r="F215">
        <f>HYPERLINK("https://portal.dnb.de/opac.htm?method=simpleSearch&amp;cqlMode=true&amp;query=idn%3D1066970750", "Portal")</f>
        <v/>
      </c>
      <c r="G215" t="inlineStr">
        <is>
          <t>Aaf</t>
        </is>
      </c>
      <c r="H215" t="inlineStr">
        <is>
          <t>L-1498-315501103</t>
        </is>
      </c>
      <c r="I215" t="inlineStr">
        <is>
          <t>1066970750</t>
        </is>
      </c>
      <c r="J215" t="inlineStr">
        <is>
          <t>II 8,15a</t>
        </is>
      </c>
      <c r="K215" t="inlineStr">
        <is>
          <t>II 8,15a</t>
        </is>
      </c>
      <c r="L215" t="inlineStr">
        <is>
          <t>II 8,15a</t>
        </is>
      </c>
      <c r="M215" t="inlineStr"/>
      <c r="N215" t="inlineStr">
        <is>
          <t>Manuale confessorum metricum. Censurae ecclesiasticae archiepiscopatus Coloniensis. Mare magnum ac defensorium privilegii quattuor ordinum mendicantiu</t>
        </is>
      </c>
      <c r="O215" t="inlineStr">
        <is>
          <t xml:space="preserve"> : </t>
        </is>
      </c>
      <c r="P215" t="inlineStr"/>
      <c r="Q215" t="inlineStr"/>
      <c r="R215" t="inlineStr">
        <is>
          <t>Halbledereinband</t>
        </is>
      </c>
      <c r="S215" t="inlineStr">
        <is>
          <t>bis 25 cm</t>
        </is>
      </c>
      <c r="T215" t="inlineStr">
        <is>
          <t>80° bis 110°, einseitig digitalisierbar?</t>
        </is>
      </c>
      <c r="U215" t="inlineStr">
        <is>
          <t>fester Rücken mit Schmuckprägung</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t>
        </is>
      </c>
      <c r="B216" t="b">
        <v>1</v>
      </c>
      <c r="C216" t="inlineStr"/>
      <c r="D216" t="inlineStr"/>
      <c r="E216" t="n">
        <v>221</v>
      </c>
      <c r="F216">
        <f>HYPERLINK("https://portal.dnb.de/opac.htm?method=simpleSearch&amp;cqlMode=true&amp;query=idn%3D1066970750", "Portal")</f>
        <v/>
      </c>
      <c r="G216" t="inlineStr">
        <is>
          <t>Aaf</t>
        </is>
      </c>
      <c r="H216" t="inlineStr">
        <is>
          <t>L-1498-315501111</t>
        </is>
      </c>
      <c r="I216" t="inlineStr">
        <is>
          <t>1066970750</t>
        </is>
      </c>
      <c r="J216" t="inlineStr">
        <is>
          <t>II 8,15ab</t>
        </is>
      </c>
      <c r="K216" t="inlineStr">
        <is>
          <t>II 8,15ab</t>
        </is>
      </c>
      <c r="L216" t="inlineStr">
        <is>
          <t>II 8,15ab</t>
        </is>
      </c>
      <c r="M216" t="inlineStr"/>
      <c r="N216" t="inlineStr">
        <is>
          <t>Manuale confessorum metricum. Censurae ecclesiasticae archiepiscopatus Coloniensis. Mare magnum ac defensorium privilegii quattuor ordinum mendicantiu</t>
        </is>
      </c>
      <c r="O216" t="inlineStr">
        <is>
          <t xml:space="preserve"> : </t>
        </is>
      </c>
      <c r="P216" t="inlineStr"/>
      <c r="Q216" t="inlineStr"/>
      <c r="R216" t="inlineStr">
        <is>
          <t>Halbledereinband</t>
        </is>
      </c>
      <c r="S216" t="inlineStr">
        <is>
          <t>bis 25 cm</t>
        </is>
      </c>
      <c r="T216" t="inlineStr">
        <is>
          <t>nur sehr geringer Öffnungswinkel</t>
        </is>
      </c>
      <c r="U216" t="inlineStr"/>
      <c r="V216" t="inlineStr"/>
      <c r="W216" t="inlineStr">
        <is>
          <t>Kassette</t>
        </is>
      </c>
      <c r="X216" t="inlineStr">
        <is>
          <t>Nein</t>
        </is>
      </c>
      <c r="Y216" t="n">
        <v>0</v>
      </c>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t>
        </is>
      </c>
      <c r="B217" t="b">
        <v>1</v>
      </c>
      <c r="C217" t="inlineStr"/>
      <c r="D217" t="inlineStr"/>
      <c r="E217" t="inlineStr"/>
      <c r="F217">
        <f>HYPERLINK("https://portal.dnb.de/opac.htm?method=simpleSearch&amp;cqlMode=true&amp;query=idn%3D107231830X", "Portal")</f>
        <v/>
      </c>
      <c r="G217" t="inlineStr">
        <is>
          <t>Aa</t>
        </is>
      </c>
      <c r="H217" t="inlineStr">
        <is>
          <t>L-9999-327278781</t>
        </is>
      </c>
      <c r="I217" t="inlineStr">
        <is>
          <t>107231830X</t>
        </is>
      </c>
      <c r="J217" t="inlineStr">
        <is>
          <t>II 8,16a</t>
        </is>
      </c>
      <c r="K217" t="inlineStr">
        <is>
          <t>II 8,16a</t>
        </is>
      </c>
      <c r="L217" t="inlineStr">
        <is>
          <t>II 8,16a</t>
        </is>
      </c>
      <c r="M217" t="inlineStr"/>
      <c r="N217" t="inlineStr">
        <is>
          <t xml:space="preserve">Quaestiones naturales philosophorum : </t>
        </is>
      </c>
      <c r="O217" t="inlineStr">
        <is>
          <t xml:space="preserve"> : </t>
        </is>
      </c>
      <c r="P217" t="inlineStr">
        <is>
          <t>x</t>
        </is>
      </c>
      <c r="Q217" t="inlineStr"/>
      <c r="R217" t="inlineStr">
        <is>
          <t>Halbgewebeband</t>
        </is>
      </c>
      <c r="S217" t="inlineStr">
        <is>
          <t>bis 25 cm</t>
        </is>
      </c>
      <c r="T217" t="inlineStr">
        <is>
          <t>80° bis 110°, einseitig digitalisierbar?</t>
        </is>
      </c>
      <c r="U217" t="inlineStr">
        <is>
          <t>hohler Rücken</t>
        </is>
      </c>
      <c r="V217" t="inlineStr"/>
      <c r="W217" t="inlineStr">
        <is>
          <t>Kassette</t>
        </is>
      </c>
      <c r="X217" t="inlineStr">
        <is>
          <t>Nein</t>
        </is>
      </c>
      <c r="Y217" t="n">
        <v>0</v>
      </c>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t>
        </is>
      </c>
      <c r="B218" t="b">
        <v>1</v>
      </c>
      <c r="C218" t="inlineStr"/>
      <c r="D218" t="inlineStr"/>
      <c r="E218" t="inlineStr"/>
      <c r="F218">
        <f>HYPERLINK("https://portal.dnb.de/opac.htm?method=simpleSearch&amp;cqlMode=true&amp;query=idn%3D1072318768", "Portal")</f>
        <v/>
      </c>
      <c r="G218" t="inlineStr">
        <is>
          <t>Aa</t>
        </is>
      </c>
      <c r="H218" t="inlineStr">
        <is>
          <t>L-1503-327279133</t>
        </is>
      </c>
      <c r="I218" t="inlineStr">
        <is>
          <t>1072318768</t>
        </is>
      </c>
      <c r="J218" t="inlineStr">
        <is>
          <t>II 8,16b</t>
        </is>
      </c>
      <c r="K218" t="inlineStr">
        <is>
          <t>II 8,16b</t>
        </is>
      </c>
      <c r="L218" t="inlineStr">
        <is>
          <t>II 8,16b</t>
        </is>
      </c>
      <c r="M218" t="inlineStr"/>
      <c r="N218" t="inlineStr">
        <is>
          <t xml:space="preserve">Vocabularius poeticus : </t>
        </is>
      </c>
      <c r="O218" t="inlineStr">
        <is>
          <t xml:space="preserve"> : </t>
        </is>
      </c>
      <c r="P218" t="inlineStr">
        <is>
          <t>X</t>
        </is>
      </c>
      <c r="Q218" t="inlineStr"/>
      <c r="R218" t="inlineStr">
        <is>
          <t>Halbledereinband, Schließen, erhabene Buchbeschläge</t>
        </is>
      </c>
      <c r="S218" t="inlineStr">
        <is>
          <t>bis 25 cm</t>
        </is>
      </c>
      <c r="T218" t="inlineStr">
        <is>
          <t>80° bis 110°, einseitig digitalisierbar?</t>
        </is>
      </c>
      <c r="U218" t="inlineStr">
        <is>
          <t>hohler Rücken</t>
        </is>
      </c>
      <c r="V218" t="inlineStr"/>
      <c r="W218" t="inlineStr">
        <is>
          <t>Kassette</t>
        </is>
      </c>
      <c r="X218" t="inlineStr">
        <is>
          <t>Nein</t>
        </is>
      </c>
      <c r="Y218" t="n">
        <v>1</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t>
        </is>
      </c>
      <c r="B219" t="b">
        <v>1</v>
      </c>
      <c r="C219" t="inlineStr"/>
      <c r="D219" t="inlineStr"/>
      <c r="E219" t="n">
        <v>222</v>
      </c>
      <c r="F219">
        <f>HYPERLINK("https://portal.dnb.de/opac.htm?method=simpleSearch&amp;cqlMode=true&amp;query=idn%3D1066971811", "Portal")</f>
        <v/>
      </c>
      <c r="G219" t="inlineStr">
        <is>
          <t>Aaf</t>
        </is>
      </c>
      <c r="H219" t="inlineStr">
        <is>
          <t>L-1485-315502215</t>
        </is>
      </c>
      <c r="I219" t="inlineStr">
        <is>
          <t>1066971811</t>
        </is>
      </c>
      <c r="J219" t="inlineStr">
        <is>
          <t>II 9,1a</t>
        </is>
      </c>
      <c r="K219" t="inlineStr">
        <is>
          <t>II 9,1a</t>
        </is>
      </c>
      <c r="L219" t="inlineStr">
        <is>
          <t>II 9,1a</t>
        </is>
      </c>
      <c r="M219" t="inlineStr"/>
      <c r="N219" t="inlineStr">
        <is>
          <t xml:space="preserve">Psalterium latinum : </t>
        </is>
      </c>
      <c r="O219" t="inlineStr">
        <is>
          <t xml:space="preserve"> : </t>
        </is>
      </c>
      <c r="P219" t="inlineStr"/>
      <c r="Q219" t="inlineStr"/>
      <c r="R219" t="inlineStr">
        <is>
          <t>Ledereinband, Schließen, erhabene Buchbeschläge</t>
        </is>
      </c>
      <c r="S219" t="inlineStr">
        <is>
          <t>bis 35 cm</t>
        </is>
      </c>
      <c r="T219" t="inlineStr">
        <is>
          <t>80° bis 110°, einseitig digitalisierbar?</t>
        </is>
      </c>
      <c r="U219" t="inlineStr">
        <is>
          <t>fester Rücken mit Schmuckprägung, erhabene Illuminationen</t>
        </is>
      </c>
      <c r="V219" t="inlineStr">
        <is>
          <t>nicht auflegen</t>
        </is>
      </c>
      <c r="W219" t="inlineStr">
        <is>
          <t>Kassette</t>
        </is>
      </c>
      <c r="X219" t="inlineStr">
        <is>
          <t>Nein</t>
        </is>
      </c>
      <c r="Y219" t="n">
        <v>1</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t>
        </is>
      </c>
      <c r="B220" t="b">
        <v>1</v>
      </c>
      <c r="C220" t="inlineStr"/>
      <c r="D220" t="inlineStr"/>
      <c r="E220" t="n">
        <v>223</v>
      </c>
      <c r="F220">
        <f>HYPERLINK("https://portal.dnb.de/opac.htm?method=simpleSearch&amp;cqlMode=true&amp;query=idn%3D1066973164", "Portal")</f>
        <v/>
      </c>
      <c r="G220" t="inlineStr">
        <is>
          <t>Aaf</t>
        </is>
      </c>
      <c r="H220" t="inlineStr">
        <is>
          <t>L-1472-315503556</t>
        </is>
      </c>
      <c r="I220" t="inlineStr">
        <is>
          <t>1066973164</t>
        </is>
      </c>
      <c r="J220" t="inlineStr">
        <is>
          <t>II 10,1a</t>
        </is>
      </c>
      <c r="K220" t="inlineStr">
        <is>
          <t>II 10,1a</t>
        </is>
      </c>
      <c r="L220" t="inlineStr">
        <is>
          <t>II 10,1a</t>
        </is>
      </c>
      <c r="M220" t="inlineStr"/>
      <c r="N220" t="inlineStr">
        <is>
          <t xml:space="preserve">Vocabularius Ex quo : </t>
        </is>
      </c>
      <c r="O220" t="inlineStr">
        <is>
          <t xml:space="preserve"> : </t>
        </is>
      </c>
      <c r="P220" t="inlineStr"/>
      <c r="Q220" t="inlineStr"/>
      <c r="R220" t="inlineStr">
        <is>
          <t>Ledereinband, Schließen, erhabene Buchbeschläge</t>
        </is>
      </c>
      <c r="S220" t="inlineStr">
        <is>
          <t>bis 25 cm</t>
        </is>
      </c>
      <c r="T220" t="inlineStr">
        <is>
          <t>80° bis 110°, einseitig digitalisierbar?</t>
        </is>
      </c>
      <c r="U220" t="inlineStr">
        <is>
          <t>hohler Rücken, erhabene Illuminationen</t>
        </is>
      </c>
      <c r="V220" t="inlineStr">
        <is>
          <t>nicht auflegen</t>
        </is>
      </c>
      <c r="W220" t="inlineStr">
        <is>
          <t>Kassette</t>
        </is>
      </c>
      <c r="X220" t="inlineStr">
        <is>
          <t>Nein</t>
        </is>
      </c>
      <c r="Y220" t="n">
        <v>0</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t>
        </is>
      </c>
      <c r="B221" t="b">
        <v>1</v>
      </c>
      <c r="C221" t="inlineStr"/>
      <c r="D221" t="inlineStr"/>
      <c r="E221" t="n">
        <v>224</v>
      </c>
      <c r="F221">
        <f>HYPERLINK("https://portal.dnb.de/opac.htm?method=simpleSearch&amp;cqlMode=true&amp;query=idn%3D1066965471", "Portal")</f>
        <v/>
      </c>
      <c r="G221" t="inlineStr">
        <is>
          <t>Aaf</t>
        </is>
      </c>
      <c r="H221" t="inlineStr">
        <is>
          <t>L-1483-315495715</t>
        </is>
      </c>
      <c r="I221" t="inlineStr">
        <is>
          <t>1066965471</t>
        </is>
      </c>
      <c r="J221" t="inlineStr">
        <is>
          <t>II 11,1a</t>
        </is>
      </c>
      <c r="K221" t="inlineStr">
        <is>
          <t>II 11,1a</t>
        </is>
      </c>
      <c r="L221" t="inlineStr">
        <is>
          <t>II 11,1a</t>
        </is>
      </c>
      <c r="M221" t="inlineStr"/>
      <c r="N221" t="inlineStr">
        <is>
          <t xml:space="preserve">Ad Philocratem de septuaginta interpretibus : </t>
        </is>
      </c>
      <c r="O221" t="inlineStr">
        <is>
          <t xml:space="preserve"> : </t>
        </is>
      </c>
      <c r="P221" t="inlineStr">
        <is>
          <t>X</t>
        </is>
      </c>
      <c r="Q221" t="inlineStr"/>
      <c r="R221" t="inlineStr">
        <is>
          <t>Pergamentband</t>
        </is>
      </c>
      <c r="S221" t="inlineStr">
        <is>
          <t>bis 25 cm</t>
        </is>
      </c>
      <c r="T221" t="inlineStr">
        <is>
          <t>180°</t>
        </is>
      </c>
      <c r="U221" t="inlineStr">
        <is>
          <t>hohler Rücken</t>
        </is>
      </c>
      <c r="V221" t="inlineStr"/>
      <c r="W221" t="inlineStr">
        <is>
          <t>Kassette</t>
        </is>
      </c>
      <c r="X221" t="inlineStr">
        <is>
          <t>Nein</t>
        </is>
      </c>
      <c r="Y221" t="n">
        <v>0</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t>
        </is>
      </c>
      <c r="B222" t="b">
        <v>1</v>
      </c>
      <c r="C222" t="inlineStr"/>
      <c r="D222" t="inlineStr"/>
      <c r="E222" t="n">
        <v>225</v>
      </c>
      <c r="F222">
        <f>HYPERLINK("https://portal.dnb.de/opac.htm?method=simpleSearch&amp;cqlMode=true&amp;query=idn%3D106697277X", "Portal")</f>
        <v/>
      </c>
      <c r="G222" t="inlineStr">
        <is>
          <t>Aaf</t>
        </is>
      </c>
      <c r="H222" t="inlineStr">
        <is>
          <t>L-1500-315503181</t>
        </is>
      </c>
      <c r="I222" t="inlineStr">
        <is>
          <t>106697277X</t>
        </is>
      </c>
      <c r="J222" t="inlineStr">
        <is>
          <t>II 11,2a</t>
        </is>
      </c>
      <c r="K222" t="inlineStr">
        <is>
          <t>II 11,2a</t>
        </is>
      </c>
      <c r="L222" t="inlineStr">
        <is>
          <t>II 11,2a</t>
        </is>
      </c>
      <c r="M222" t="inlineStr"/>
      <c r="N222" t="inlineStr">
        <is>
          <t xml:space="preserve">Büchlein der Titel aller Stände : </t>
        </is>
      </c>
      <c r="O222" t="inlineStr">
        <is>
          <t xml:space="preserve"> : </t>
        </is>
      </c>
      <c r="P222" t="inlineStr"/>
      <c r="Q222" t="inlineStr"/>
      <c r="R222" t="inlineStr">
        <is>
          <t>Ledereinband</t>
        </is>
      </c>
      <c r="S222" t="inlineStr">
        <is>
          <t>bis 25 cm</t>
        </is>
      </c>
      <c r="T222" t="inlineStr">
        <is>
          <t>80° bis 110°, einseitig digitalisierbar?</t>
        </is>
      </c>
      <c r="U222" t="inlineStr"/>
      <c r="V222" t="inlineStr"/>
      <c r="W222" t="inlineStr">
        <is>
          <t>Kassette</t>
        </is>
      </c>
      <c r="X222" t="inlineStr">
        <is>
          <t>Nein</t>
        </is>
      </c>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t>
        </is>
      </c>
      <c r="B223" t="b">
        <v>1</v>
      </c>
      <c r="C223" t="inlineStr"/>
      <c r="D223" t="inlineStr"/>
      <c r="E223" t="n">
        <v>226</v>
      </c>
      <c r="F223">
        <f>HYPERLINK("https://portal.dnb.de/opac.htm?method=simpleSearch&amp;cqlMode=true&amp;query=idn%3D106697263X", "Portal")</f>
        <v/>
      </c>
      <c r="G223" t="inlineStr">
        <is>
          <t>Aa</t>
        </is>
      </c>
      <c r="H223" t="inlineStr">
        <is>
          <t>L-1472-31550305X</t>
        </is>
      </c>
      <c r="I223" t="inlineStr">
        <is>
          <t>106697263X</t>
        </is>
      </c>
      <c r="J223" t="inlineStr">
        <is>
          <t>II 12,1a</t>
        </is>
      </c>
      <c r="K223" t="inlineStr">
        <is>
          <t>II 12,1a</t>
        </is>
      </c>
      <c r="L223" t="inlineStr">
        <is>
          <t>II 12,1a</t>
        </is>
      </c>
      <c r="M223" t="inlineStr"/>
      <c r="N223" t="inlineStr">
        <is>
          <t>Summa theologiae : P. 2,2</t>
        </is>
      </c>
      <c r="O223" t="inlineStr">
        <is>
          <t xml:space="preserve"> : </t>
        </is>
      </c>
      <c r="P223" t="inlineStr">
        <is>
          <t>X</t>
        </is>
      </c>
      <c r="Q223" t="inlineStr"/>
      <c r="R223" t="inlineStr">
        <is>
          <t>Halbledereinband, Schließen, erhabene Buchbeschläge</t>
        </is>
      </c>
      <c r="S223" t="inlineStr">
        <is>
          <t>bis 42 cm</t>
        </is>
      </c>
      <c r="T223" t="inlineStr">
        <is>
          <t>80° bis 110°, einseitig digitalisierbar?</t>
        </is>
      </c>
      <c r="U223" t="inlineStr">
        <is>
          <t>hohler Rücken, erhabene Illuminationen</t>
        </is>
      </c>
      <c r="V223" t="inlineStr">
        <is>
          <t>nicht auflegen</t>
        </is>
      </c>
      <c r="W223" t="inlineStr"/>
      <c r="X223" t="inlineStr">
        <is>
          <t>Signaturfahne austauschen</t>
        </is>
      </c>
      <c r="Y223" t="n">
        <v>0</v>
      </c>
      <c r="Z223" t="inlineStr"/>
      <c r="AA223" t="inlineStr">
        <is>
          <t>Holzdeckel</t>
        </is>
      </c>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t>
        </is>
      </c>
      <c r="B224" t="b">
        <v>1</v>
      </c>
      <c r="C224" t="inlineStr"/>
      <c r="D224" t="inlineStr"/>
      <c r="E224" t="n">
        <v>227</v>
      </c>
      <c r="F224">
        <f>HYPERLINK("https://portal.dnb.de/opac.htm?method=simpleSearch&amp;cqlMode=true&amp;query=idn%3D1066972524", "Portal")</f>
        <v/>
      </c>
      <c r="G224" t="inlineStr">
        <is>
          <t>Aaf</t>
        </is>
      </c>
      <c r="H224" t="inlineStr">
        <is>
          <t>L-1474-315502940</t>
        </is>
      </c>
      <c r="I224" t="inlineStr">
        <is>
          <t>1066972524</t>
        </is>
      </c>
      <c r="J224" t="inlineStr">
        <is>
          <t>II 12,1b</t>
        </is>
      </c>
      <c r="K224" t="inlineStr">
        <is>
          <t>II 12,1b</t>
        </is>
      </c>
      <c r="L224" t="inlineStr">
        <is>
          <t>II 12,1b</t>
        </is>
      </c>
      <c r="M224" t="inlineStr"/>
      <c r="N224" t="inlineStr">
        <is>
          <t xml:space="preserve">Expositio (Postilla) in Job : </t>
        </is>
      </c>
      <c r="O224" t="inlineStr">
        <is>
          <t xml:space="preserve"> : </t>
        </is>
      </c>
      <c r="P224" t="inlineStr">
        <is>
          <t>X</t>
        </is>
      </c>
      <c r="Q224" t="inlineStr"/>
      <c r="R224" t="inlineStr">
        <is>
          <t>Halbledereinband, Schließen, erhabene Buchbeschläge</t>
        </is>
      </c>
      <c r="S224" t="inlineStr">
        <is>
          <t>bis 35 cm</t>
        </is>
      </c>
      <c r="T224" t="inlineStr">
        <is>
          <t>80° bis 110°, einseitig digitalisierbar?</t>
        </is>
      </c>
      <c r="U224" t="inlineStr">
        <is>
          <t>fester Rücken mit Schmuckprägung, erhabene Illuminationen, welliger Buchblock</t>
        </is>
      </c>
      <c r="V224" t="inlineStr">
        <is>
          <t>nicht auflegen</t>
        </is>
      </c>
      <c r="W224" t="inlineStr">
        <is>
          <t>Kassette</t>
        </is>
      </c>
      <c r="X224" t="inlineStr">
        <is>
          <t>Nein</t>
        </is>
      </c>
      <c r="Y224" t="n">
        <v>1</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t>
        </is>
      </c>
      <c r="B225" t="b">
        <v>1</v>
      </c>
      <c r="C225" t="inlineStr"/>
      <c r="D225" t="inlineStr"/>
      <c r="E225" t="n">
        <v>228</v>
      </c>
      <c r="F225">
        <f>HYPERLINK("https://portal.dnb.de/opac.htm?method=simpleSearch&amp;cqlMode=true&amp;query=idn%3D1066971293", "Portal")</f>
        <v/>
      </c>
      <c r="G225" t="inlineStr">
        <is>
          <t>Aaf</t>
        </is>
      </c>
      <c r="H225" t="inlineStr">
        <is>
          <t>L-1477-315501650</t>
        </is>
      </c>
      <c r="I225" t="inlineStr">
        <is>
          <t>1066971293</t>
        </is>
      </c>
      <c r="J225" t="inlineStr">
        <is>
          <t>II 12,1c</t>
        </is>
      </c>
      <c r="K225" t="inlineStr">
        <is>
          <t>II 12,1c</t>
        </is>
      </c>
      <c r="L225" t="inlineStr">
        <is>
          <t>II 12,1c</t>
        </is>
      </c>
      <c r="M225" t="inlineStr"/>
      <c r="N225" t="inlineStr">
        <is>
          <t xml:space="preserve">Stern des Meschiah : </t>
        </is>
      </c>
      <c r="O225" t="inlineStr">
        <is>
          <t xml:space="preserve"> : </t>
        </is>
      </c>
      <c r="P225" t="inlineStr">
        <is>
          <t>x</t>
        </is>
      </c>
      <c r="Q225" t="inlineStr"/>
      <c r="R225" t="inlineStr">
        <is>
          <t>Ledereinband</t>
        </is>
      </c>
      <c r="S225" t="inlineStr">
        <is>
          <t>bis 25 cm</t>
        </is>
      </c>
      <c r="T225" t="inlineStr">
        <is>
          <t>80° bis 110°, einseitig digitalisierbar?</t>
        </is>
      </c>
      <c r="U225" t="inlineStr">
        <is>
          <t>hohler Rücken, erhabene Illuminationen</t>
        </is>
      </c>
      <c r="V225" t="inlineStr">
        <is>
          <t>nicht auflegen</t>
        </is>
      </c>
      <c r="W225" t="inlineStr">
        <is>
          <t>Kassette</t>
        </is>
      </c>
      <c r="X225" t="inlineStr">
        <is>
          <t>Ja</t>
        </is>
      </c>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t>
        </is>
      </c>
      <c r="B226" t="b">
        <v>1</v>
      </c>
      <c r="C226" t="inlineStr"/>
      <c r="D226" t="inlineStr"/>
      <c r="E226" t="n">
        <v>229</v>
      </c>
      <c r="F226">
        <f>HYPERLINK("https://portal.dnb.de/opac.htm?method=simpleSearch&amp;cqlMode=true&amp;query=idn%3D106696579X", "Portal")</f>
        <v/>
      </c>
      <c r="G226" t="inlineStr">
        <is>
          <t>Aaf</t>
        </is>
      </c>
      <c r="H226" t="inlineStr">
        <is>
          <t>L-1475-315496045</t>
        </is>
      </c>
      <c r="I226" t="inlineStr">
        <is>
          <t>106696579X</t>
        </is>
      </c>
      <c r="J226" t="inlineStr">
        <is>
          <t>II 12,1d</t>
        </is>
      </c>
      <c r="K226" t="inlineStr">
        <is>
          <t>II 12,1d</t>
        </is>
      </c>
      <c r="L226" t="inlineStr">
        <is>
          <t>II 12,1d</t>
        </is>
      </c>
      <c r="M226" t="inlineStr"/>
      <c r="N226" t="inlineStr">
        <is>
          <t xml:space="preserve">De vanitate saeculi : </t>
        </is>
      </c>
      <c r="O226" t="inlineStr">
        <is>
          <t xml:space="preserve"> : </t>
        </is>
      </c>
      <c r="P226" t="inlineStr">
        <is>
          <t>X</t>
        </is>
      </c>
      <c r="Q226" t="inlineStr"/>
      <c r="R226" t="inlineStr">
        <is>
          <t>Gewebeeinband, Schließen, erhabene Buchbeschläge</t>
        </is>
      </c>
      <c r="S226" t="inlineStr">
        <is>
          <t>bis 25 cm</t>
        </is>
      </c>
      <c r="T226" t="inlineStr">
        <is>
          <t>80° bis 110°, einseitig digitalisierbar?</t>
        </is>
      </c>
      <c r="U226" t="inlineStr">
        <is>
          <t>fester Rücken mit Schmuckprägung, erhabene Illuminationen</t>
        </is>
      </c>
      <c r="V226" t="inlineStr">
        <is>
          <t>nicht auflegen</t>
        </is>
      </c>
      <c r="W226" t="inlineStr">
        <is>
          <t>Kassette</t>
        </is>
      </c>
      <c r="X226" t="inlineStr">
        <is>
          <t>Nein</t>
        </is>
      </c>
      <c r="Y226" t="n">
        <v>2</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t>
        </is>
      </c>
      <c r="B227" t="b">
        <v>1</v>
      </c>
      <c r="C227" t="inlineStr"/>
      <c r="D227" t="inlineStr"/>
      <c r="E227" t="n">
        <v>230</v>
      </c>
      <c r="F227">
        <f>HYPERLINK("https://portal.dnb.de/opac.htm?method=simpleSearch&amp;cqlMode=true&amp;query=idn%3D1066973229", "Portal")</f>
        <v/>
      </c>
      <c r="G227" t="inlineStr">
        <is>
          <t>Aaf</t>
        </is>
      </c>
      <c r="H227" t="inlineStr">
        <is>
          <t>L-1478-315503610</t>
        </is>
      </c>
      <c r="I227" t="inlineStr">
        <is>
          <t>1066973229</t>
        </is>
      </c>
      <c r="J227" t="inlineStr">
        <is>
          <t>II 12,1f</t>
        </is>
      </c>
      <c r="K227" t="inlineStr">
        <is>
          <t>II 12,1f</t>
        </is>
      </c>
      <c r="L227" t="inlineStr">
        <is>
          <t>II 12,1f</t>
        </is>
      </c>
      <c r="M227" t="inlineStr"/>
      <c r="N227" t="inlineStr">
        <is>
          <t xml:space="preserve">Translationen etlicher Bücher : </t>
        </is>
      </c>
      <c r="O227" t="inlineStr">
        <is>
          <t xml:space="preserve"> : </t>
        </is>
      </c>
      <c r="P227" t="inlineStr">
        <is>
          <t>x</t>
        </is>
      </c>
      <c r="Q227" t="inlineStr"/>
      <c r="R227" t="inlineStr">
        <is>
          <t>Schließen, erhabene Buchbeschläge, Ledereinband</t>
        </is>
      </c>
      <c r="S227" t="inlineStr">
        <is>
          <t>bis 35 cm</t>
        </is>
      </c>
      <c r="T227" t="inlineStr">
        <is>
          <t>80° bis 110°, einseitig digitalisierbar?</t>
        </is>
      </c>
      <c r="U227" t="inlineStr">
        <is>
          <t>hohler Rücken, erhabene Illuminationen</t>
        </is>
      </c>
      <c r="V227" t="inlineStr">
        <is>
          <t>nicht auflegen</t>
        </is>
      </c>
      <c r="W227" t="inlineStr">
        <is>
          <t>Kassette</t>
        </is>
      </c>
      <c r="X227" t="inlineStr">
        <is>
          <t>Nein</t>
        </is>
      </c>
      <c r="Y227" t="n">
        <v>1</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t>
        </is>
      </c>
      <c r="B228" t="b">
        <v>1</v>
      </c>
      <c r="C228" t="inlineStr"/>
      <c r="D228" t="inlineStr"/>
      <c r="E228" t="n">
        <v>231</v>
      </c>
      <c r="F228">
        <f>HYPERLINK("https://portal.dnb.de/opac.htm?method=simpleSearch&amp;cqlMode=true&amp;query=idn%3D1066965706", "Portal")</f>
        <v/>
      </c>
      <c r="G228" t="inlineStr">
        <is>
          <t>Aa</t>
        </is>
      </c>
      <c r="H228" t="inlineStr">
        <is>
          <t>L-1494-315495928</t>
        </is>
      </c>
      <c r="I228" t="inlineStr">
        <is>
          <t>1066965706</t>
        </is>
      </c>
      <c r="J228" t="inlineStr">
        <is>
          <t>II 13,1a</t>
        </is>
      </c>
      <c r="K228" t="inlineStr">
        <is>
          <t>II 13,1a</t>
        </is>
      </c>
      <c r="L228" t="inlineStr">
        <is>
          <t>II 13,1a</t>
        </is>
      </c>
      <c r="M228" t="inlineStr"/>
      <c r="N228" t="inlineStr">
        <is>
          <t xml:space="preserve">De civitate dei : </t>
        </is>
      </c>
      <c r="O228" t="inlineStr">
        <is>
          <t xml:space="preserve"> : </t>
        </is>
      </c>
      <c r="P228" t="inlineStr">
        <is>
          <t>X</t>
        </is>
      </c>
      <c r="Q228" t="inlineStr"/>
      <c r="R228" t="inlineStr">
        <is>
          <t>Ledereinband, Schließen, erhabene Buchbeschläge</t>
        </is>
      </c>
      <c r="S228" t="inlineStr">
        <is>
          <t>bis 35 cm</t>
        </is>
      </c>
      <c r="T228" t="inlineStr">
        <is>
          <t>80° bis 110°, einseitig digitalisierbar?</t>
        </is>
      </c>
      <c r="U228" t="inlineStr">
        <is>
          <t>Schrift bis in den Falz, erhabene Illuminationen</t>
        </is>
      </c>
      <c r="V228" t="inlineStr">
        <is>
          <t>nicht auflegen</t>
        </is>
      </c>
      <c r="W228" t="inlineStr">
        <is>
          <t>Kassette</t>
        </is>
      </c>
      <c r="X228" t="inlineStr">
        <is>
          <t>Nein</t>
        </is>
      </c>
      <c r="Y228" t="n">
        <v>0</v>
      </c>
      <c r="Z228" t="inlineStr"/>
      <c r="AA228" t="inlineStr">
        <is>
          <t>Originaleinband separat</t>
        </is>
      </c>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t>
        </is>
      </c>
      <c r="B229" t="b">
        <v>1</v>
      </c>
      <c r="C229" t="inlineStr"/>
      <c r="D229" t="inlineStr"/>
      <c r="E229" t="n">
        <v>232</v>
      </c>
      <c r="F229">
        <f>HYPERLINK("https://portal.dnb.de/opac.htm?method=simpleSearch&amp;cqlMode=true&amp;query=idn%3D1066964866", "Portal")</f>
        <v/>
      </c>
      <c r="G229" t="inlineStr">
        <is>
          <t>Aaf</t>
        </is>
      </c>
      <c r="H229" t="inlineStr">
        <is>
          <t>L-1494-315495030</t>
        </is>
      </c>
      <c r="I229" t="inlineStr">
        <is>
          <t>1066964866</t>
        </is>
      </c>
      <c r="J229" t="inlineStr">
        <is>
          <t>II 13,1b</t>
        </is>
      </c>
      <c r="K229" t="inlineStr">
        <is>
          <t>II 13,1b</t>
        </is>
      </c>
      <c r="L229" t="inlineStr">
        <is>
          <t>II 13,1b</t>
        </is>
      </c>
      <c r="M229" t="inlineStr"/>
      <c r="N229" t="inlineStr">
        <is>
          <t xml:space="preserve">De trinitate : </t>
        </is>
      </c>
      <c r="O229" t="inlineStr">
        <is>
          <t xml:space="preserve"> : </t>
        </is>
      </c>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t>
        </is>
      </c>
      <c r="B230" t="b">
        <v>1</v>
      </c>
      <c r="C230" t="inlineStr"/>
      <c r="D230" t="inlineStr"/>
      <c r="E230" t="n">
        <v>233</v>
      </c>
      <c r="F230">
        <f>HYPERLINK("https://portal.dnb.de/opac.htm?method=simpleSearch&amp;cqlMode=true&amp;query=idn%3D1066968934", "Portal")</f>
        <v/>
      </c>
      <c r="G230" t="inlineStr">
        <is>
          <t>Aaf</t>
        </is>
      </c>
      <c r="H230" t="inlineStr">
        <is>
          <t>L-1491-315499214</t>
        </is>
      </c>
      <c r="I230" t="inlineStr">
        <is>
          <t>1066968934</t>
        </is>
      </c>
      <c r="J230" t="inlineStr">
        <is>
          <t>II 13,1c</t>
        </is>
      </c>
      <c r="K230" t="inlineStr">
        <is>
          <t>II 13,1c</t>
        </is>
      </c>
      <c r="L230" t="inlineStr">
        <is>
          <t>II 13,1c</t>
        </is>
      </c>
      <c r="M230" t="inlineStr"/>
      <c r="N230" t="inlineStr">
        <is>
          <t xml:space="preserve">Rhetorica divina : </t>
        </is>
      </c>
      <c r="O230" t="inlineStr">
        <is>
          <t xml:space="preserve"> : </t>
        </is>
      </c>
      <c r="P230" t="inlineStr"/>
      <c r="Q230" t="inlineStr"/>
      <c r="R230" t="inlineStr">
        <is>
          <t>Pergamentband</t>
        </is>
      </c>
      <c r="S230" t="inlineStr">
        <is>
          <t>bis 35 cm</t>
        </is>
      </c>
      <c r="T230" t="inlineStr">
        <is>
          <t>80° bis 110°, einseitig digitalisierbar?</t>
        </is>
      </c>
      <c r="U230" t="inlineStr">
        <is>
          <t>hohler Rücken, erhabene Illuminationen</t>
        </is>
      </c>
      <c r="V230" t="inlineStr">
        <is>
          <t>nicht auflegen</t>
        </is>
      </c>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t>
        </is>
      </c>
      <c r="B231" t="b">
        <v>1</v>
      </c>
      <c r="C231" t="inlineStr"/>
      <c r="D231" t="inlineStr"/>
      <c r="E231" t="n">
        <v>234</v>
      </c>
      <c r="F231">
        <f>HYPERLINK("https://portal.dnb.de/opac.htm?method=simpleSearch&amp;cqlMode=true&amp;query=idn%3D1066968055", "Portal")</f>
        <v/>
      </c>
      <c r="G231" t="inlineStr">
        <is>
          <t>Aaf</t>
        </is>
      </c>
      <c r="H231" t="inlineStr">
        <is>
          <t>L-1491-315498331</t>
        </is>
      </c>
      <c r="I231" t="inlineStr">
        <is>
          <t>1066968055</t>
        </is>
      </c>
      <c r="J231" t="inlineStr">
        <is>
          <t>II 13,1d</t>
        </is>
      </c>
      <c r="K231" t="inlineStr">
        <is>
          <t>II 13,1d</t>
        </is>
      </c>
      <c r="L231" t="inlineStr">
        <is>
          <t>II 13,1d</t>
        </is>
      </c>
      <c r="M231" t="inlineStr"/>
      <c r="N231" t="inlineStr">
        <is>
          <t xml:space="preserve">Sermones : </t>
        </is>
      </c>
      <c r="O231" t="inlineStr">
        <is>
          <t xml:space="preserve"> : </t>
        </is>
      </c>
      <c r="P231" t="inlineStr"/>
      <c r="Q231" t="inlineStr"/>
      <c r="R231" t="inlineStr">
        <is>
          <t>Pergamentband</t>
        </is>
      </c>
      <c r="S231" t="inlineStr">
        <is>
          <t>bis 35 cm</t>
        </is>
      </c>
      <c r="T231" t="inlineStr">
        <is>
          <t>80° bis 110°, einseitig digitalisierbar?</t>
        </is>
      </c>
      <c r="U231" t="inlineStr">
        <is>
          <t>hohler Rücken, erhabene Illuminationen</t>
        </is>
      </c>
      <c r="V231" t="inlineStr">
        <is>
          <t>nicht auflegen</t>
        </is>
      </c>
      <c r="W231" t="inlineStr">
        <is>
          <t>Kassette</t>
        </is>
      </c>
      <c r="X231" t="inlineStr">
        <is>
          <t>Nein</t>
        </is>
      </c>
      <c r="Y231" t="n">
        <v>0</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t>
        </is>
      </c>
      <c r="B232" t="b">
        <v>1</v>
      </c>
      <c r="C232" t="inlineStr"/>
      <c r="D232" t="inlineStr"/>
      <c r="E232" t="n">
        <v>235</v>
      </c>
      <c r="F232">
        <f>HYPERLINK("https://portal.dnb.de/opac.htm?method=simpleSearch&amp;cqlMode=true&amp;query=idn%3D1066971994", "Portal")</f>
        <v/>
      </c>
      <c r="G232" t="inlineStr">
        <is>
          <t>Aa</t>
        </is>
      </c>
      <c r="H232" t="inlineStr">
        <is>
          <t>L-1493-315502401</t>
        </is>
      </c>
      <c r="I232" t="inlineStr">
        <is>
          <t>1066971994</t>
        </is>
      </c>
      <c r="J232" t="inlineStr">
        <is>
          <t>II 13,2a</t>
        </is>
      </c>
      <c r="K232" t="inlineStr">
        <is>
          <t>II 13,2a</t>
        </is>
      </c>
      <c r="L232" t="inlineStr">
        <is>
          <t>II 13,2a</t>
        </is>
      </c>
      <c r="M232" t="inlineStr"/>
      <c r="N232" t="inlineStr">
        <is>
          <t xml:space="preserve">Spiegel der wahren Rhetorik : </t>
        </is>
      </c>
      <c r="O232" t="inlineStr">
        <is>
          <t xml:space="preserve"> : </t>
        </is>
      </c>
      <c r="P232" t="inlineStr">
        <is>
          <t>X</t>
        </is>
      </c>
      <c r="Q232" t="inlineStr"/>
      <c r="R232" t="inlineStr">
        <is>
          <t>Halbledereinband, Schließen, erhabene Buchbeschläge</t>
        </is>
      </c>
      <c r="S232" t="inlineStr">
        <is>
          <t>bis 35 cm</t>
        </is>
      </c>
      <c r="T232" t="inlineStr">
        <is>
          <t>80° bis 110°, einseitig digitalisierbar?</t>
        </is>
      </c>
      <c r="U232" t="inlineStr">
        <is>
          <t>welliger Buchblock, Schrift bis in den Falz, erhabene Illuminationen</t>
        </is>
      </c>
      <c r="V232" t="inlineStr">
        <is>
          <t>nicht auflegen</t>
        </is>
      </c>
      <c r="W232" t="inlineStr">
        <is>
          <t>Kassette</t>
        </is>
      </c>
      <c r="X232" t="inlineStr">
        <is>
          <t>Nein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t>
        </is>
      </c>
      <c r="B233" t="b">
        <v>1</v>
      </c>
      <c r="C233" t="inlineStr"/>
      <c r="D233" t="inlineStr"/>
      <c r="E233" t="n">
        <v>236</v>
      </c>
      <c r="F233">
        <f>HYPERLINK("https://portal.dnb.de/opac.htm?method=simpleSearch&amp;cqlMode=true&amp;query=idn%3D107205812X", "Portal")</f>
        <v/>
      </c>
      <c r="G233" t="inlineStr">
        <is>
          <t>Aa</t>
        </is>
      </c>
      <c r="H233" t="inlineStr">
        <is>
          <t>L-1489-326854983</t>
        </is>
      </c>
      <c r="I233" t="inlineStr">
        <is>
          <t>107205812X</t>
        </is>
      </c>
      <c r="J233" t="inlineStr">
        <is>
          <t>II 14,1a</t>
        </is>
      </c>
      <c r="K233" t="inlineStr">
        <is>
          <t>II 14,1a</t>
        </is>
      </c>
      <c r="L233" t="inlineStr">
        <is>
          <t>II 14,1a</t>
        </is>
      </c>
      <c r="M233" t="inlineStr"/>
      <c r="N233" t="inlineStr">
        <is>
          <t xml:space="preserve">Cornutus : </t>
        </is>
      </c>
      <c r="O233" t="inlineStr">
        <is>
          <t xml:space="preserve"> : </t>
        </is>
      </c>
      <c r="P233" t="inlineStr"/>
      <c r="Q233" t="inlineStr"/>
      <c r="R233" t="inlineStr">
        <is>
          <t>Ledereinband, Schließen, erhabene Buchbeschläge</t>
        </is>
      </c>
      <c r="S233" t="inlineStr">
        <is>
          <t>bis 25 cm</t>
        </is>
      </c>
      <c r="T233" t="inlineStr">
        <is>
          <t>80° bis 110°, einseitig digitalisierbar?</t>
        </is>
      </c>
      <c r="U233" t="inlineStr">
        <is>
          <t>hohler Rücken</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t>
        </is>
      </c>
      <c r="B234" t="b">
        <v>1</v>
      </c>
      <c r="C234" t="inlineStr"/>
      <c r="D234" t="inlineStr"/>
      <c r="E234" t="n">
        <v>237</v>
      </c>
      <c r="F234">
        <f>HYPERLINK("https://portal.dnb.de/opac.htm?method=simpleSearch&amp;cqlMode=true&amp;query=idn%3D1066972001", "Portal")</f>
        <v/>
      </c>
      <c r="G234" t="inlineStr">
        <is>
          <t>Aaf</t>
        </is>
      </c>
      <c r="H234" t="inlineStr">
        <is>
          <t>L-1494-315502428</t>
        </is>
      </c>
      <c r="I234" t="inlineStr">
        <is>
          <t>1066972001</t>
        </is>
      </c>
      <c r="J234" t="inlineStr">
        <is>
          <t>II 14,1b</t>
        </is>
      </c>
      <c r="K234" t="inlineStr">
        <is>
          <t>II 14,1b</t>
        </is>
      </c>
      <c r="L234" t="inlineStr">
        <is>
          <t>II 14,1b</t>
        </is>
      </c>
      <c r="M234" t="inlineStr"/>
      <c r="N234" t="inlineStr">
        <is>
          <t xml:space="preserve">Super sapientiam Salomonis : </t>
        </is>
      </c>
      <c r="O234" t="inlineStr">
        <is>
          <t xml:space="preserve"> : </t>
        </is>
      </c>
      <c r="P234" t="inlineStr">
        <is>
          <t>X</t>
        </is>
      </c>
      <c r="Q234" t="inlineStr"/>
      <c r="R234" t="inlineStr">
        <is>
          <t>Halbledereinband, Schließen, erhabene Buchbeschläge</t>
        </is>
      </c>
      <c r="S234" t="inlineStr">
        <is>
          <t>bis 35 cm</t>
        </is>
      </c>
      <c r="T234" t="inlineStr">
        <is>
          <t>80° bis 110°, einseitig digitalisierbar?</t>
        </is>
      </c>
      <c r="U234" t="inlineStr">
        <is>
          <t>hohler Rücken, welliger Buchblock, Schrift bis in den Falz, erhabene Illuminationen, stark brüchiges Einbandmaterial</t>
        </is>
      </c>
      <c r="V234" t="inlineStr">
        <is>
          <t>nicht auflegen</t>
        </is>
      </c>
      <c r="W234" t="inlineStr">
        <is>
          <t>Kassette</t>
        </is>
      </c>
      <c r="X234" t="inlineStr">
        <is>
          <t>Nein</t>
        </is>
      </c>
      <c r="Y234" t="n">
        <v>3</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t>
        </is>
      </c>
      <c r="B235" t="b">
        <v>1</v>
      </c>
      <c r="C235" t="inlineStr"/>
      <c r="D235" t="inlineStr"/>
      <c r="E235" t="n">
        <v>238</v>
      </c>
      <c r="F235">
        <f>HYPERLINK("https://portal.dnb.de/opac.htm?method=simpleSearch&amp;cqlMode=true&amp;query=idn%3D1066973180", "Portal")</f>
        <v/>
      </c>
      <c r="G235" t="inlineStr">
        <is>
          <t>Aa</t>
        </is>
      </c>
      <c r="H235" t="inlineStr">
        <is>
          <t>L-1499-315503572</t>
        </is>
      </c>
      <c r="I235" t="inlineStr">
        <is>
          <t>1066973180</t>
        </is>
      </c>
      <c r="J235" t="inlineStr">
        <is>
          <t>II 14,1c</t>
        </is>
      </c>
      <c r="K235" t="inlineStr">
        <is>
          <t>II 14,1c</t>
        </is>
      </c>
      <c r="L235" t="inlineStr">
        <is>
          <t>II 14,1c</t>
        </is>
      </c>
      <c r="M235" t="inlineStr"/>
      <c r="N235" t="inlineStr">
        <is>
          <t xml:space="preserve">Sermones de tempore : </t>
        </is>
      </c>
      <c r="O235" t="inlineStr">
        <is>
          <t xml:space="preserve"> : </t>
        </is>
      </c>
      <c r="P235" t="inlineStr"/>
      <c r="Q235" t="inlineStr"/>
      <c r="R235" t="inlineStr">
        <is>
          <t>Halbledereinband, Schließen, erhabene Buchbeschläge</t>
        </is>
      </c>
      <c r="S235" t="inlineStr">
        <is>
          <t>bis 35 cm</t>
        </is>
      </c>
      <c r="T235" t="inlineStr">
        <is>
          <t>80° bis 110°, einseitig digitalisierbar?</t>
        </is>
      </c>
      <c r="U235" t="inlineStr">
        <is>
          <t>hohler Rücken</t>
        </is>
      </c>
      <c r="V235" t="inlineStr"/>
      <c r="W235" t="inlineStr">
        <is>
          <t>Kassette</t>
        </is>
      </c>
      <c r="X235" t="inlineStr">
        <is>
          <t>Nein</t>
        </is>
      </c>
      <c r="Y235" t="n">
        <v>2</v>
      </c>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II</t>
        </is>
      </c>
      <c r="B236" t="b">
        <v>1</v>
      </c>
      <c r="C236" t="inlineStr"/>
      <c r="D236" t="inlineStr"/>
      <c r="E236" t="n">
        <v>239</v>
      </c>
      <c r="F236">
        <f>HYPERLINK("https://portal.dnb.de/opac.htm?method=simpleSearch&amp;cqlMode=true&amp;query=idn%3D1066970653", "Portal")</f>
        <v/>
      </c>
      <c r="G236" t="inlineStr">
        <is>
          <t>Aaf</t>
        </is>
      </c>
      <c r="H236" t="inlineStr">
        <is>
          <t>L-1500-315501006</t>
        </is>
      </c>
      <c r="I236" t="inlineStr">
        <is>
          <t>1066970653</t>
        </is>
      </c>
      <c r="J236" t="inlineStr">
        <is>
          <t>II 14,1d</t>
        </is>
      </c>
      <c r="K236" t="inlineStr">
        <is>
          <t>II 14,1d</t>
        </is>
      </c>
      <c r="L236" t="inlineStr">
        <is>
          <t>II 14,1d</t>
        </is>
      </c>
      <c r="M236" t="inlineStr"/>
      <c r="N236" t="inlineStr">
        <is>
          <t xml:space="preserve">Sermones de sanctis : </t>
        </is>
      </c>
      <c r="O236" t="inlineStr">
        <is>
          <t xml:space="preserve"> : </t>
        </is>
      </c>
      <c r="P236" t="inlineStr">
        <is>
          <t>x</t>
        </is>
      </c>
      <c r="Q236" t="inlineStr"/>
      <c r="R236" t="inlineStr">
        <is>
          <t>Halbpergamentband</t>
        </is>
      </c>
      <c r="S236" t="inlineStr">
        <is>
          <t>bis 35 cm</t>
        </is>
      </c>
      <c r="T236" t="inlineStr">
        <is>
          <t>80° bis 110°, einseitig digitalisierbar?</t>
        </is>
      </c>
      <c r="U236" t="inlineStr">
        <is>
          <t>hohler Rücken, erhabene Illuminationen</t>
        </is>
      </c>
      <c r="V236" t="inlineStr">
        <is>
          <t>nicht auflegen</t>
        </is>
      </c>
      <c r="W236" t="inlineStr">
        <is>
          <t>Kassette</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t>
        </is>
      </c>
      <c r="B237" t="b">
        <v>1</v>
      </c>
      <c r="C237" t="inlineStr"/>
      <c r="D237" t="inlineStr"/>
      <c r="E237" t="n">
        <v>240</v>
      </c>
      <c r="F237">
        <f>HYPERLINK("https://portal.dnb.de/opac.htm?method=simpleSearch&amp;cqlMode=true&amp;query=idn%3D1066970882", "Portal")</f>
        <v/>
      </c>
      <c r="G237" t="inlineStr">
        <is>
          <t>Aa</t>
        </is>
      </c>
      <c r="H237" t="inlineStr">
        <is>
          <t>L-1494-315501243</t>
        </is>
      </c>
      <c r="I237" t="inlineStr">
        <is>
          <t>1066970882</t>
        </is>
      </c>
      <c r="J237" t="inlineStr">
        <is>
          <t>II 14,1e</t>
        </is>
      </c>
      <c r="K237" t="inlineStr">
        <is>
          <t>II 14,1e</t>
        </is>
      </c>
      <c r="L237" t="inlineStr">
        <is>
          <t>II 14,1e</t>
        </is>
      </c>
      <c r="M237" t="inlineStr"/>
      <c r="N237" t="inlineStr">
        <is>
          <t xml:space="preserve">Vocabularius praedicantium sive Variloquus : </t>
        </is>
      </c>
      <c r="O237" t="inlineStr">
        <is>
          <t xml:space="preserve"> : </t>
        </is>
      </c>
      <c r="P237" t="inlineStr">
        <is>
          <t>X</t>
        </is>
      </c>
      <c r="Q237" t="inlineStr"/>
      <c r="R237" t="inlineStr">
        <is>
          <t>Halbledereinband, Schließen, erhabene Buchbeschläge</t>
        </is>
      </c>
      <c r="S237" t="inlineStr">
        <is>
          <t>bis 25 cm</t>
        </is>
      </c>
      <c r="T237" t="inlineStr">
        <is>
          <t>80° bis 110°, einseitig digitalisierbar?</t>
        </is>
      </c>
      <c r="U237" t="inlineStr">
        <is>
          <t>erhabene Illuminationen, stark brüchiges Einbandmaterial</t>
        </is>
      </c>
      <c r="V237" t="inlineStr">
        <is>
          <t>nicht auflegen</t>
        </is>
      </c>
      <c r="W237" t="inlineStr">
        <is>
          <t>Kassette</t>
        </is>
      </c>
      <c r="X237" t="inlineStr">
        <is>
          <t>Nein</t>
        </is>
      </c>
      <c r="Y237" t="n">
        <v>3</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t>
        </is>
      </c>
      <c r="B238" t="b">
        <v>1</v>
      </c>
      <c r="C238" t="inlineStr"/>
      <c r="D238" t="inlineStr"/>
      <c r="E238" t="n">
        <v>241</v>
      </c>
      <c r="F238">
        <f>HYPERLINK("https://portal.dnb.de/opac.htm?method=simpleSearch&amp;cqlMode=true&amp;query=idn%3D1072058391", "Portal")</f>
        <v/>
      </c>
      <c r="G238" t="inlineStr">
        <is>
          <t>Aa</t>
        </is>
      </c>
      <c r="H238" t="inlineStr">
        <is>
          <t>L-1485-326855106</t>
        </is>
      </c>
      <c r="I238" t="inlineStr">
        <is>
          <t>1072058391</t>
        </is>
      </c>
      <c r="J238" t="inlineStr">
        <is>
          <t>II 15,1a</t>
        </is>
      </c>
      <c r="K238" t="inlineStr">
        <is>
          <t>II 15,1a</t>
        </is>
      </c>
      <c r="L238" t="inlineStr">
        <is>
          <t>II 15,1a</t>
        </is>
      </c>
      <c r="M238" t="inlineStr"/>
      <c r="N238" t="inlineStr">
        <is>
          <t xml:space="preserve">Sermones de sanctis : </t>
        </is>
      </c>
      <c r="O238" t="inlineStr">
        <is>
          <t xml:space="preserve"> : </t>
        </is>
      </c>
      <c r="P238" t="inlineStr">
        <is>
          <t>X</t>
        </is>
      </c>
      <c r="Q238" t="inlineStr"/>
      <c r="R238" t="inlineStr">
        <is>
          <t>Ledereinband, Schließen, erhabene Buchbeschläge</t>
        </is>
      </c>
      <c r="S238" t="inlineStr">
        <is>
          <t>bis 35 cm</t>
        </is>
      </c>
      <c r="T238" t="inlineStr">
        <is>
          <t>180°</t>
        </is>
      </c>
      <c r="U238" t="inlineStr">
        <is>
          <t>hohler Rücken, welliger Buchblock, erhabene Illuminationen</t>
        </is>
      </c>
      <c r="V238" t="inlineStr">
        <is>
          <t>nicht auflegen</t>
        </is>
      </c>
      <c r="W238" t="inlineStr">
        <is>
          <t>Kassette</t>
        </is>
      </c>
      <c r="X238" t="inlineStr">
        <is>
          <t>Nein</t>
        </is>
      </c>
      <c r="Y238" t="n">
        <v>0</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t>
        </is>
      </c>
      <c r="B239" t="b">
        <v>1</v>
      </c>
      <c r="C239" t="inlineStr"/>
      <c r="D239" t="inlineStr"/>
      <c r="E239" t="n">
        <v>242</v>
      </c>
      <c r="F239">
        <f>HYPERLINK("https://portal.dnb.de/opac.htm?method=simpleSearch&amp;cqlMode=true&amp;query=idn%3D1066968217", "Portal")</f>
        <v/>
      </c>
      <c r="G239" t="inlineStr">
        <is>
          <t>Aaf</t>
        </is>
      </c>
      <c r="H239" t="inlineStr">
        <is>
          <t>L-1488-315498471</t>
        </is>
      </c>
      <c r="I239" t="inlineStr">
        <is>
          <t>1066968217</t>
        </is>
      </c>
      <c r="J239" t="inlineStr">
        <is>
          <t>II 15,1b</t>
        </is>
      </c>
      <c r="K239" t="inlineStr">
        <is>
          <t>II 15,1b</t>
        </is>
      </c>
      <c r="L239" t="inlineStr">
        <is>
          <t>II 15,1b</t>
        </is>
      </c>
      <c r="M239" t="inlineStr"/>
      <c r="N239" t="inlineStr">
        <is>
          <t xml:space="preserve">Formulare und deutsch Rhetorica : </t>
        </is>
      </c>
      <c r="O239" t="inlineStr">
        <is>
          <t xml:space="preserve"> : </t>
        </is>
      </c>
      <c r="P239" t="inlineStr">
        <is>
          <t>X</t>
        </is>
      </c>
      <c r="Q239" t="inlineStr"/>
      <c r="R239" t="inlineStr">
        <is>
          <t>Gewebeeinband, Schließen, erhabene Buchbeschläge</t>
        </is>
      </c>
      <c r="S239" t="inlineStr">
        <is>
          <t>bis 35 cm</t>
        </is>
      </c>
      <c r="T239" t="inlineStr">
        <is>
          <t>180°</t>
        </is>
      </c>
      <c r="U239" t="inlineStr">
        <is>
          <t>hohler Rücken</t>
        </is>
      </c>
      <c r="V239" t="inlineStr"/>
      <c r="W239" t="inlineStr">
        <is>
          <t>Kassette</t>
        </is>
      </c>
      <c r="X239" t="inlineStr">
        <is>
          <t>Nein</t>
        </is>
      </c>
      <c r="Y239" t="n">
        <v>0</v>
      </c>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t>
        </is>
      </c>
      <c r="B240" t="b">
        <v>1</v>
      </c>
      <c r="C240" t="inlineStr"/>
      <c r="D240" t="inlineStr"/>
      <c r="E240" t="n">
        <v>243</v>
      </c>
      <c r="F240">
        <f>HYPERLINK("https://portal.dnb.de/opac.htm?method=simpleSearch&amp;cqlMode=true&amp;query=idn%3D1066968837", "Portal")</f>
        <v/>
      </c>
      <c r="G240" t="inlineStr">
        <is>
          <t>Aaf</t>
        </is>
      </c>
      <c r="H240" t="inlineStr">
        <is>
          <t>L-1489-315499109</t>
        </is>
      </c>
      <c r="I240" t="inlineStr">
        <is>
          <t>1066968837</t>
        </is>
      </c>
      <c r="J240" t="inlineStr">
        <is>
          <t>II 15,1c</t>
        </is>
      </c>
      <c r="K240" t="inlineStr">
        <is>
          <t>II 15,1c</t>
        </is>
      </c>
      <c r="L240" t="inlineStr">
        <is>
          <t>II 15,1c</t>
        </is>
      </c>
      <c r="M240" t="inlineStr"/>
      <c r="N240" t="inlineStr">
        <is>
          <t xml:space="preserve">De ordine docendi ac discendi : </t>
        </is>
      </c>
      <c r="O240" t="inlineStr">
        <is>
          <t xml:space="preserve"> : </t>
        </is>
      </c>
      <c r="P240" t="inlineStr">
        <is>
          <t>X</t>
        </is>
      </c>
      <c r="Q240" t="inlineStr"/>
      <c r="R240" t="inlineStr">
        <is>
          <t>Ledereinband, Schließen, erhabene Buchbeschläge</t>
        </is>
      </c>
      <c r="S240" t="inlineStr">
        <is>
          <t>bis 25 cm</t>
        </is>
      </c>
      <c r="T240" t="inlineStr">
        <is>
          <t>80° bis 110°, einseitig digitalisierbar?</t>
        </is>
      </c>
      <c r="U240" t="inlineStr">
        <is>
          <t>hohler Rücken, erhabene Illuminationen</t>
        </is>
      </c>
      <c r="V240" t="inlineStr">
        <is>
          <t>nicht auflegen</t>
        </is>
      </c>
      <c r="W240" t="inlineStr">
        <is>
          <t>Kassette</t>
        </is>
      </c>
      <c r="X240" t="inlineStr">
        <is>
          <t>Nein</t>
        </is>
      </c>
      <c r="Y240" t="n">
        <v>0</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t>
        </is>
      </c>
      <c r="B241" t="b">
        <v>1</v>
      </c>
      <c r="C241" t="inlineStr">
        <is>
          <t>x</t>
        </is>
      </c>
      <c r="D241" t="inlineStr"/>
      <c r="E241" t="n">
        <v>244</v>
      </c>
      <c r="F241">
        <f>HYPERLINK("https://portal.dnb.de/opac.htm?method=simpleSearch&amp;cqlMode=true&amp;query=idn%3D1066966095", "Portal")</f>
        <v/>
      </c>
      <c r="G241" t="inlineStr">
        <is>
          <t>Aa</t>
        </is>
      </c>
      <c r="H241" t="inlineStr">
        <is>
          <t>L-1485-315496398</t>
        </is>
      </c>
      <c r="I241" t="inlineStr">
        <is>
          <t>1066966095</t>
        </is>
      </c>
      <c r="J241" t="inlineStr">
        <is>
          <t>II 15,1d</t>
        </is>
      </c>
      <c r="K241" t="inlineStr">
        <is>
          <t>II 15,1d</t>
        </is>
      </c>
      <c r="L241" t="inlineStr">
        <is>
          <t>II 15,1d</t>
        </is>
      </c>
      <c r="M241" t="inlineStr"/>
      <c r="N241" t="inlineStr">
        <is>
          <t xml:space="preserve">Confessionale : </t>
        </is>
      </c>
      <c r="O241" t="inlineStr">
        <is>
          <t xml:space="preserve"> : </t>
        </is>
      </c>
      <c r="P241" t="inlineStr">
        <is>
          <t>X</t>
        </is>
      </c>
      <c r="Q241" t="inlineStr">
        <is>
          <t>7000,00 EUR</t>
        </is>
      </c>
      <c r="R241" t="inlineStr">
        <is>
          <t>Pergamentband, Schließen, erhabene Buchbeschläge</t>
        </is>
      </c>
      <c r="S241" t="inlineStr">
        <is>
          <t>bis 25 cm</t>
        </is>
      </c>
      <c r="T241" t="inlineStr">
        <is>
          <t>180°</t>
        </is>
      </c>
      <c r="U241" t="inlineStr">
        <is>
          <t>hohler Rücken, welliger Buchblock, Tintenfraß, erhabene Illuminationen, Schrift bis in den Falz</t>
        </is>
      </c>
      <c r="V241" t="inlineStr">
        <is>
          <t>nicht auflegen</t>
        </is>
      </c>
      <c r="W241" t="inlineStr">
        <is>
          <t>Kassette</t>
        </is>
      </c>
      <c r="X241" t="inlineStr">
        <is>
          <t>Nein</t>
        </is>
      </c>
      <c r="Y241" t="n">
        <v>0</v>
      </c>
      <c r="Z241" t="inlineStr">
        <is>
          <t>Verklebung lösen</t>
        </is>
      </c>
      <c r="AA241" t="inlineStr"/>
      <c r="AB241" t="inlineStr"/>
      <c r="AC241" t="inlineStr"/>
      <c r="AD241" t="inlineStr"/>
      <c r="AE241" t="inlineStr"/>
      <c r="AF241" t="inlineStr"/>
      <c r="AG241" t="inlineStr"/>
      <c r="AH241" t="inlineStr"/>
      <c r="AI241" t="inlineStr">
        <is>
          <t>Pg</t>
        </is>
      </c>
      <c r="AJ241" t="inlineStr"/>
      <c r="AK241" t="inlineStr">
        <is>
          <t>x</t>
        </is>
      </c>
      <c r="AL241" t="inlineStr"/>
      <c r="AM241" t="inlineStr">
        <is>
          <t>h</t>
        </is>
      </c>
      <c r="AN241" t="inlineStr"/>
      <c r="AO241" t="inlineStr"/>
      <c r="AP241" t="inlineStr"/>
      <c r="AQ241" t="inlineStr"/>
      <c r="AR241" t="inlineStr"/>
      <c r="AS241" t="inlineStr">
        <is>
          <t>Pa</t>
        </is>
      </c>
      <c r="AT241" t="inlineStr"/>
      <c r="AU241" t="inlineStr"/>
      <c r="AV241" t="inlineStr"/>
      <c r="AW241" t="inlineStr"/>
      <c r="AX241" t="inlineStr"/>
      <c r="AY241" t="inlineStr"/>
      <c r="AZ241" t="inlineStr"/>
      <c r="BA241" t="inlineStr"/>
      <c r="BB241" t="inlineStr"/>
      <c r="BC241" t="inlineStr">
        <is>
          <t>I/R</t>
        </is>
      </c>
      <c r="BD241" t="inlineStr">
        <is>
          <t>x</t>
        </is>
      </c>
      <c r="BE241" t="inlineStr"/>
      <c r="BF241" t="inlineStr"/>
      <c r="BG241" t="n">
        <v>110</v>
      </c>
      <c r="BH241" t="inlineStr"/>
      <c r="BI241" t="inlineStr"/>
      <c r="BJ241" t="inlineStr"/>
      <c r="BK241" t="inlineStr"/>
      <c r="BL241" t="inlineStr"/>
      <c r="BM241" t="inlineStr">
        <is>
          <t>n</t>
        </is>
      </c>
      <c r="BN241" t="n">
        <v>2</v>
      </c>
      <c r="BO241" t="inlineStr"/>
      <c r="BP241" t="inlineStr">
        <is>
          <t>Wellpappe</t>
        </is>
      </c>
      <c r="BQ241" t="inlineStr"/>
      <c r="BR241" t="inlineStr"/>
      <c r="BS241" t="inlineStr"/>
      <c r="BT241" t="inlineStr"/>
      <c r="BU241" t="inlineStr"/>
      <c r="BV241" t="inlineStr">
        <is>
          <t>Verklebung zwischen flieg. Blatt und 1. Seite soll nicht gelöst werden (Absprache mit B. Rüdiger)</t>
        </is>
      </c>
      <c r="BW241" t="inlineStr"/>
      <c r="BX241" t="inlineStr"/>
      <c r="BY241" t="inlineStr"/>
      <c r="BZ241" t="inlineStr">
        <is>
          <t>x, Fotos nur zu Doku-Zwecken</t>
        </is>
      </c>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is>
          <t>x</t>
        </is>
      </c>
      <c r="CS241" t="inlineStr"/>
      <c r="CT241" t="inlineStr"/>
      <c r="CU241" t="inlineStr"/>
      <c r="CV241" t="inlineStr">
        <is>
          <t>x</t>
        </is>
      </c>
      <c r="CW241" t="inlineStr"/>
      <c r="CX241" t="inlineStr"/>
      <c r="CY241" t="inlineStr"/>
      <c r="CZ241" t="inlineStr"/>
      <c r="DA241" t="inlineStr"/>
      <c r="DB241" t="inlineStr"/>
      <c r="DC241" t="inlineStr"/>
      <c r="DD241" t="inlineStr"/>
      <c r="DE241" t="inlineStr"/>
      <c r="DF241" t="n">
        <v>2</v>
      </c>
      <c r="DG241" t="inlineStr">
        <is>
          <t>Verklebung lösen zw. Fliegenden Blatt und 1. Seite, flieg. Blatt stabilisieren</t>
        </is>
      </c>
    </row>
    <row r="242">
      <c r="A242" t="inlineStr">
        <is>
          <t>II</t>
        </is>
      </c>
      <c r="B242" t="b">
        <v>1</v>
      </c>
      <c r="C242" t="inlineStr"/>
      <c r="D242" t="inlineStr"/>
      <c r="E242" t="n">
        <v>245</v>
      </c>
      <c r="F242">
        <f>HYPERLINK("https://portal.dnb.de/opac.htm?method=simpleSearch&amp;cqlMode=true&amp;query=idn%3D1066970718", "Portal")</f>
        <v/>
      </c>
      <c r="G242" t="inlineStr">
        <is>
          <t>Aaf</t>
        </is>
      </c>
      <c r="H242" t="inlineStr">
        <is>
          <t>L-1488-315501065</t>
        </is>
      </c>
      <c r="I242" t="inlineStr">
        <is>
          <t>1066970718</t>
        </is>
      </c>
      <c r="J242" t="inlineStr">
        <is>
          <t>II 15,2a</t>
        </is>
      </c>
      <c r="K242" t="inlineStr">
        <is>
          <t>II 15,2a</t>
        </is>
      </c>
      <c r="L242" t="inlineStr">
        <is>
          <t>II 15,2a</t>
        </is>
      </c>
      <c r="M242" t="inlineStr"/>
      <c r="N242" t="inlineStr">
        <is>
          <t xml:space="preserve">Quaestiones super totum cursum logicae : </t>
        </is>
      </c>
      <c r="O242" t="inlineStr">
        <is>
          <t xml:space="preserve"> : </t>
        </is>
      </c>
      <c r="P242" t="inlineStr">
        <is>
          <t>X</t>
        </is>
      </c>
      <c r="Q242" t="inlineStr"/>
      <c r="R242" t="inlineStr">
        <is>
          <t>Halbledereinband, Schließen, erhabene Buchbeschläge</t>
        </is>
      </c>
      <c r="S242" t="inlineStr">
        <is>
          <t>bis 35 cm</t>
        </is>
      </c>
      <c r="T242" t="inlineStr">
        <is>
          <t>80° bis 110°, einseitig digitalisierbar?</t>
        </is>
      </c>
      <c r="U242" t="inlineStr">
        <is>
          <t>hohler Rücken</t>
        </is>
      </c>
      <c r="V242" t="inlineStr"/>
      <c r="W242" t="inlineStr">
        <is>
          <t>Kassette</t>
        </is>
      </c>
      <c r="X242" t="inlineStr">
        <is>
          <t>Nein</t>
        </is>
      </c>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t>
        </is>
      </c>
      <c r="B243" t="b">
        <v>1</v>
      </c>
      <c r="C243" t="inlineStr"/>
      <c r="D243" t="inlineStr"/>
      <c r="E243" t="n">
        <v>246</v>
      </c>
      <c r="F243">
        <f>HYPERLINK("https://portal.dnb.de/opac.htm?method=simpleSearch&amp;cqlMode=true&amp;query=idn%3D1066973288", "Portal")</f>
        <v/>
      </c>
      <c r="G243" t="inlineStr">
        <is>
          <t>Aaf</t>
        </is>
      </c>
      <c r="H243" t="inlineStr">
        <is>
          <t>L-1487-315503661</t>
        </is>
      </c>
      <c r="I243" t="inlineStr">
        <is>
          <t>1066973288</t>
        </is>
      </c>
      <c r="J243" t="inlineStr">
        <is>
          <t>II 16,1a</t>
        </is>
      </c>
      <c r="K243" t="inlineStr">
        <is>
          <t>II 16,1a</t>
        </is>
      </c>
      <c r="L243" t="inlineStr">
        <is>
          <t>II 16,1a</t>
        </is>
      </c>
      <c r="M243" t="inlineStr"/>
      <c r="N243" t="inlineStr">
        <is>
          <t xml:space="preserve">Rhetorica pro conficiendis epistolis accomodata : </t>
        </is>
      </c>
      <c r="O243" t="inlineStr">
        <is>
          <t xml:space="preserve"> : </t>
        </is>
      </c>
      <c r="P243" t="inlineStr">
        <is>
          <t>X</t>
        </is>
      </c>
      <c r="Q243" t="inlineStr"/>
      <c r="R243" t="inlineStr">
        <is>
          <t>Halbledereinband, Schließen, erhabene Buchbeschläge</t>
        </is>
      </c>
      <c r="S243" t="inlineStr">
        <is>
          <t>bis 25 cm</t>
        </is>
      </c>
      <c r="T243" t="inlineStr"/>
      <c r="U243" t="inlineStr">
        <is>
          <t>hohler Rücken, Tintenfraß</t>
        </is>
      </c>
      <c r="V243" t="inlineStr"/>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t>
        </is>
      </c>
      <c r="B244" t="b">
        <v>1</v>
      </c>
      <c r="C244" t="inlineStr"/>
      <c r="D244" t="inlineStr"/>
      <c r="E244" t="n">
        <v>247</v>
      </c>
      <c r="F244">
        <f>HYPERLINK("https://portal.dnb.de/opac.htm?method=simpleSearch&amp;cqlMode=true&amp;query=idn%3D106697330X", "Portal")</f>
        <v/>
      </c>
      <c r="G244" t="inlineStr">
        <is>
          <t>Aaf</t>
        </is>
      </c>
      <c r="H244" t="inlineStr">
        <is>
          <t>L-1487-315503688</t>
        </is>
      </c>
      <c r="I244" t="inlineStr">
        <is>
          <t>106697330X</t>
        </is>
      </c>
      <c r="J244" t="inlineStr">
        <is>
          <t>II 16,2a</t>
        </is>
      </c>
      <c r="K244" t="inlineStr">
        <is>
          <t>II 16,2a</t>
        </is>
      </c>
      <c r="L244" t="inlineStr">
        <is>
          <t>II 16,2a</t>
        </is>
      </c>
      <c r="M244" t="inlineStr"/>
      <c r="N244" t="inlineStr">
        <is>
          <t xml:space="preserve">Psalterium cum canticis : </t>
        </is>
      </c>
      <c r="O244" t="inlineStr">
        <is>
          <t xml:space="preserve"> : </t>
        </is>
      </c>
      <c r="P244" t="inlineStr">
        <is>
          <t>X</t>
        </is>
      </c>
      <c r="Q244" t="inlineStr"/>
      <c r="R244" t="inlineStr">
        <is>
          <t>Halbledereinband</t>
        </is>
      </c>
      <c r="S244" t="inlineStr">
        <is>
          <t>bis 25 cm</t>
        </is>
      </c>
      <c r="T244" t="inlineStr"/>
      <c r="U244" t="inlineStr">
        <is>
          <t>fester Rücken mit Schmuckprägung, welliger Buchblock, erhabene Illuminationen</t>
        </is>
      </c>
      <c r="V244" t="inlineStr">
        <is>
          <t>nicht auflegen</t>
        </is>
      </c>
      <c r="W244" t="inlineStr">
        <is>
          <t>Kassette</t>
        </is>
      </c>
      <c r="X244" t="inlineStr">
        <is>
          <t>Nein</t>
        </is>
      </c>
      <c r="Y244" t="n">
        <v>1</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t>
        </is>
      </c>
      <c r="B245" t="b">
        <v>1</v>
      </c>
      <c r="C245" t="inlineStr"/>
      <c r="D245" t="inlineStr"/>
      <c r="E245" t="n">
        <v>248</v>
      </c>
      <c r="F245">
        <f>HYPERLINK("https://portal.dnb.de/opac.htm?method=simpleSearch&amp;cqlMode=true&amp;query=idn%3D1066973377", "Portal")</f>
        <v/>
      </c>
      <c r="G245" t="inlineStr">
        <is>
          <t>Aaf</t>
        </is>
      </c>
      <c r="H245" t="inlineStr">
        <is>
          <t>L-1472-315503742</t>
        </is>
      </c>
      <c r="I245" t="inlineStr">
        <is>
          <t>1066973377</t>
        </is>
      </c>
      <c r="J245" t="inlineStr">
        <is>
          <t>II 17,1a</t>
        </is>
      </c>
      <c r="K245" t="inlineStr">
        <is>
          <t>II 17,1a</t>
        </is>
      </c>
      <c r="L245" t="inlineStr">
        <is>
          <t>II 17,1a</t>
        </is>
      </c>
      <c r="M245" t="inlineStr"/>
      <c r="N245" t="inlineStr">
        <is>
          <t>De anima et spiritu. Add: De ebrietate. De vanitate saeculi. De vita christiana. De sobrietate. De quattuor virtutibus caritatis. De contritione cordi</t>
        </is>
      </c>
      <c r="O245" t="inlineStr">
        <is>
          <t xml:space="preserve"> : </t>
        </is>
      </c>
      <c r="P245" t="inlineStr">
        <is>
          <t>X</t>
        </is>
      </c>
      <c r="Q245" t="inlineStr"/>
      <c r="R245" t="inlineStr">
        <is>
          <t>Halbledereinband, Schließen, erhabene Buchbeschläge</t>
        </is>
      </c>
      <c r="S245" t="inlineStr">
        <is>
          <t>bis 25 cm</t>
        </is>
      </c>
      <c r="T245" t="inlineStr">
        <is>
          <t>180°</t>
        </is>
      </c>
      <c r="U245" t="inlineStr">
        <is>
          <t>hohler Rücken, erhabene Illuminationen</t>
        </is>
      </c>
      <c r="V245" t="inlineStr">
        <is>
          <t>nicht auflegen</t>
        </is>
      </c>
      <c r="W245" t="inlineStr">
        <is>
          <t>Kassette</t>
        </is>
      </c>
      <c r="X245" t="inlineStr">
        <is>
          <t>Nein</t>
        </is>
      </c>
      <c r="Y245" t="n">
        <v>0</v>
      </c>
      <c r="Z245" t="inlineStr"/>
      <c r="AA245" t="inlineStr">
        <is>
          <t>gereinigt</t>
        </is>
      </c>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t>
        </is>
      </c>
      <c r="B246" t="b">
        <v>1</v>
      </c>
      <c r="C246" t="inlineStr"/>
      <c r="D246" t="inlineStr"/>
      <c r="E246" t="n">
        <v>249</v>
      </c>
      <c r="F246">
        <f>HYPERLINK("https://portal.dnb.de/opac.htm?method=simpleSearch&amp;cqlMode=true&amp;query=idn%3D106696467X", "Portal")</f>
        <v/>
      </c>
      <c r="G246" t="inlineStr">
        <is>
          <t>Aaf</t>
        </is>
      </c>
      <c r="H246" t="inlineStr">
        <is>
          <t>L-1472-315494891</t>
        </is>
      </c>
      <c r="I246" t="inlineStr">
        <is>
          <t>106696467X</t>
        </is>
      </c>
      <c r="J246" t="inlineStr">
        <is>
          <t>II 17,1b</t>
        </is>
      </c>
      <c r="K246" t="inlineStr">
        <is>
          <t>II 17,1b</t>
        </is>
      </c>
      <c r="L246" t="inlineStr">
        <is>
          <t>II 17,1b</t>
        </is>
      </c>
      <c r="M246" t="inlineStr"/>
      <c r="N246" t="inlineStr">
        <is>
          <t xml:space="preserve">De consensu evangelistarum : </t>
        </is>
      </c>
      <c r="O246" t="inlineStr">
        <is>
          <t xml:space="preserve"> : </t>
        </is>
      </c>
      <c r="P246" t="inlineStr">
        <is>
          <t>X</t>
        </is>
      </c>
      <c r="Q246" t="inlineStr"/>
      <c r="R246" t="inlineStr">
        <is>
          <t>Halbledereinband, Schließen, erhabene Buchbeschläge</t>
        </is>
      </c>
      <c r="S246" t="inlineStr">
        <is>
          <t>bis 35 cm</t>
        </is>
      </c>
      <c r="T246" t="inlineStr">
        <is>
          <t>180°</t>
        </is>
      </c>
      <c r="U246" t="inlineStr">
        <is>
          <t>fester Rücken mit Schmuckprägung, erhabene Illuminationen</t>
        </is>
      </c>
      <c r="V246" t="inlineStr">
        <is>
          <t>nicht auflegen</t>
        </is>
      </c>
      <c r="W246" t="inlineStr">
        <is>
          <t>Kassette</t>
        </is>
      </c>
      <c r="X246" t="inlineStr">
        <is>
          <t>Nein</t>
        </is>
      </c>
      <c r="Y246" t="n">
        <v>1</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t>
        </is>
      </c>
      <c r="B247" t="b">
        <v>1</v>
      </c>
      <c r="C247" t="inlineStr"/>
      <c r="D247" t="inlineStr"/>
      <c r="E247" t="n">
        <v>250</v>
      </c>
      <c r="F247">
        <f>HYPERLINK("https://portal.dnb.de/opac.htm?method=simpleSearch&amp;cqlMode=true&amp;query=idn%3D1066972168", "Portal")</f>
        <v/>
      </c>
      <c r="G247" t="inlineStr">
        <is>
          <t>Aa</t>
        </is>
      </c>
      <c r="H247" t="inlineStr">
        <is>
          <t>L-1494-315502584</t>
        </is>
      </c>
      <c r="I247" t="inlineStr">
        <is>
          <t>1066972168</t>
        </is>
      </c>
      <c r="J247" t="inlineStr">
        <is>
          <t>II 18,1a</t>
        </is>
      </c>
      <c r="K247" t="inlineStr">
        <is>
          <t>II 18,1a</t>
        </is>
      </c>
      <c r="L247" t="inlineStr">
        <is>
          <t>II 18,1a</t>
        </is>
      </c>
      <c r="M247" t="inlineStr"/>
      <c r="N247" t="inlineStr">
        <is>
          <t xml:space="preserve">Epistolae longiores : </t>
        </is>
      </c>
      <c r="O247" t="inlineStr">
        <is>
          <t xml:space="preserve"> : </t>
        </is>
      </c>
      <c r="P247" t="inlineStr">
        <is>
          <t>X</t>
        </is>
      </c>
      <c r="Q247" t="inlineStr"/>
      <c r="R247" t="inlineStr">
        <is>
          <t>Halbledereinband</t>
        </is>
      </c>
      <c r="S247" t="inlineStr">
        <is>
          <t>bis 25 cm</t>
        </is>
      </c>
      <c r="T247" t="inlineStr"/>
      <c r="U247" t="inlineStr">
        <is>
          <t>hohler Rücken</t>
        </is>
      </c>
      <c r="V247" t="inlineStr"/>
      <c r="W247" t="inlineStr">
        <is>
          <t>Kassette</t>
        </is>
      </c>
      <c r="X247" t="inlineStr">
        <is>
          <t>Nein</t>
        </is>
      </c>
      <c r="Y247" t="n">
        <v>1</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t>
        </is>
      </c>
      <c r="B248" t="b">
        <v>1</v>
      </c>
      <c r="C248" t="inlineStr"/>
      <c r="D248" t="inlineStr"/>
      <c r="E248" t="inlineStr"/>
      <c r="F248">
        <f>HYPERLINK("https://portal.dnb.de/opac.htm?method=simpleSearch&amp;cqlMode=true&amp;query=idn%3D1268385603", "Portal")</f>
        <v/>
      </c>
      <c r="G248" t="inlineStr">
        <is>
          <t>Qd</t>
        </is>
      </c>
      <c r="H248" t="inlineStr">
        <is>
          <t>L-1489-833255436</t>
        </is>
      </c>
      <c r="I248" t="inlineStr">
        <is>
          <t>1268385603</t>
        </is>
      </c>
      <c r="J248" t="inlineStr">
        <is>
          <t>II 18,1b</t>
        </is>
      </c>
      <c r="K248" t="inlineStr">
        <is>
          <t>II 18,1b</t>
        </is>
      </c>
      <c r="L248" t="inlineStr">
        <is>
          <t>II 18,1b</t>
        </is>
      </c>
      <c r="M248" t="inlineStr"/>
      <c r="N248" t="inlineStr">
        <is>
          <t xml:space="preserve">Sammelband mit einer Inkunabel und einem Druck von 1710 : </t>
        </is>
      </c>
      <c r="O248" t="inlineStr">
        <is>
          <t xml:space="preserve"> : </t>
        </is>
      </c>
      <c r="P248" t="inlineStr">
        <is>
          <t>X</t>
        </is>
      </c>
      <c r="Q248" t="inlineStr"/>
      <c r="R248" t="inlineStr">
        <is>
          <t>Ledereinband</t>
        </is>
      </c>
      <c r="S248" t="inlineStr">
        <is>
          <t>bis 25 cm</t>
        </is>
      </c>
      <c r="T248" t="inlineStr">
        <is>
          <t>180°</t>
        </is>
      </c>
      <c r="U248" t="inlineStr">
        <is>
          <t>hohler Rücken, erhabene Illuminationen</t>
        </is>
      </c>
      <c r="V248" t="inlineStr">
        <is>
          <t>nicht auflegen</t>
        </is>
      </c>
      <c r="W248" t="inlineStr">
        <is>
          <t>Kassette</t>
        </is>
      </c>
      <c r="X248" t="inlineStr">
        <is>
          <t>Nein</t>
        </is>
      </c>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t>
        </is>
      </c>
      <c r="B249" t="b">
        <v>1</v>
      </c>
      <c r="C249" t="inlineStr"/>
      <c r="D249" t="inlineStr"/>
      <c r="E249" t="n">
        <v>253</v>
      </c>
      <c r="F249">
        <f>HYPERLINK("https://portal.dnb.de/opac.htm?method=simpleSearch&amp;cqlMode=true&amp;query=idn%3D1066965951", "Portal")</f>
        <v/>
      </c>
      <c r="G249" t="inlineStr">
        <is>
          <t>Aaf</t>
        </is>
      </c>
      <c r="H249" t="inlineStr">
        <is>
          <t>L-1494-31549624X</t>
        </is>
      </c>
      <c r="I249" t="inlineStr">
        <is>
          <t>1066965951</t>
        </is>
      </c>
      <c r="J249" t="inlineStr">
        <is>
          <t>II 18,1c</t>
        </is>
      </c>
      <c r="K249" t="inlineStr">
        <is>
          <t>II 18,1c</t>
        </is>
      </c>
      <c r="L249" t="inlineStr">
        <is>
          <t>II 18,1c</t>
        </is>
      </c>
      <c r="M249" t="inlineStr"/>
      <c r="N249" t="inlineStr">
        <is>
          <t xml:space="preserve">Expositio mysteriorum missae : </t>
        </is>
      </c>
      <c r="O249" t="inlineStr">
        <is>
          <t xml:space="preserve"> : </t>
        </is>
      </c>
      <c r="P249" t="inlineStr">
        <is>
          <t>X</t>
        </is>
      </c>
      <c r="Q249" t="inlineStr"/>
      <c r="R249" t="inlineStr">
        <is>
          <t>Halbledereinband</t>
        </is>
      </c>
      <c r="S249" t="inlineStr">
        <is>
          <t>bis 25 cm</t>
        </is>
      </c>
      <c r="T249" t="inlineStr">
        <is>
          <t>180°</t>
        </is>
      </c>
      <c r="U249" t="inlineStr">
        <is>
          <t>hohler Rücken, erhabene Illuminationen</t>
        </is>
      </c>
      <c r="V249" t="inlineStr">
        <is>
          <t>nicht auflegen</t>
        </is>
      </c>
      <c r="W249" t="inlineStr">
        <is>
          <t>Kassette</t>
        </is>
      </c>
      <c r="X249" t="inlineStr">
        <is>
          <t>Nein</t>
        </is>
      </c>
      <c r="Y249" t="n">
        <v>0</v>
      </c>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t>
        </is>
      </c>
      <c r="B250" t="b">
        <v>1</v>
      </c>
      <c r="C250" t="inlineStr"/>
      <c r="D250" t="inlineStr"/>
      <c r="E250" t="n">
        <v>254</v>
      </c>
      <c r="F250">
        <f>HYPERLINK("https://portal.dnb.de/opac.htm?method=simpleSearch&amp;cqlMode=true&amp;query=idn%3D1066970734", "Portal")</f>
        <v/>
      </c>
      <c r="G250" t="inlineStr">
        <is>
          <t>Aaf</t>
        </is>
      </c>
      <c r="H250" t="inlineStr">
        <is>
          <t>L-1488-315501081</t>
        </is>
      </c>
      <c r="I250" t="inlineStr">
        <is>
          <t>1066970734</t>
        </is>
      </c>
      <c r="J250" t="inlineStr">
        <is>
          <t>II 18,2a</t>
        </is>
      </c>
      <c r="K250" t="inlineStr">
        <is>
          <t>II 18,2a</t>
        </is>
      </c>
      <c r="L250" t="inlineStr">
        <is>
          <t>II 18,2a</t>
        </is>
      </c>
      <c r="M250" t="inlineStr"/>
      <c r="N250" t="inlineStr">
        <is>
          <t xml:space="preserve">De componendis versibus hexametro et pentametro : </t>
        </is>
      </c>
      <c r="O250" t="inlineStr">
        <is>
          <t xml:space="preserve"> : </t>
        </is>
      </c>
      <c r="P250" t="inlineStr">
        <is>
          <t>X</t>
        </is>
      </c>
      <c r="Q250" t="inlineStr"/>
      <c r="R250" t="inlineStr">
        <is>
          <t>Halbledereinband</t>
        </is>
      </c>
      <c r="S250" t="inlineStr">
        <is>
          <t>bis 25 cm</t>
        </is>
      </c>
      <c r="T250" t="inlineStr">
        <is>
          <t>180°</t>
        </is>
      </c>
      <c r="U250" t="inlineStr">
        <is>
          <t>hohler Rücken, welliger Buchblock</t>
        </is>
      </c>
      <c r="V250" t="inlineStr"/>
      <c r="W250" t="inlineStr">
        <is>
          <t>Kassette</t>
        </is>
      </c>
      <c r="X250" t="inlineStr">
        <is>
          <t>Nein</t>
        </is>
      </c>
      <c r="Y250" t="n">
        <v>1</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t>
        </is>
      </c>
      <c r="B251" t="b">
        <v>1</v>
      </c>
      <c r="C251" t="inlineStr"/>
      <c r="D251" t="inlineStr"/>
      <c r="E251" t="n">
        <v>255</v>
      </c>
      <c r="F251">
        <f>HYPERLINK("https://portal.dnb.de/opac.htm?method=simpleSearch&amp;cqlMode=true&amp;query=idn%3D1072319012", "Portal")</f>
        <v/>
      </c>
      <c r="G251" t="inlineStr">
        <is>
          <t>Aa</t>
        </is>
      </c>
      <c r="H251" t="inlineStr">
        <is>
          <t>L-1494-327279281</t>
        </is>
      </c>
      <c r="I251" t="inlineStr">
        <is>
          <t>1072319012</t>
        </is>
      </c>
      <c r="J251" t="inlineStr">
        <is>
          <t>II 18,2b</t>
        </is>
      </c>
      <c r="K251" t="inlineStr">
        <is>
          <t>II 18,2b</t>
        </is>
      </c>
      <c r="L251" t="inlineStr">
        <is>
          <t>II 18,2b</t>
        </is>
      </c>
      <c r="M251" t="inlineStr"/>
      <c r="N251" t="inlineStr">
        <is>
          <t xml:space="preserve">Dialogus recommendationis exprobationisque poetices : </t>
        </is>
      </c>
      <c r="O251" t="inlineStr">
        <is>
          <t xml:space="preserve"> : </t>
        </is>
      </c>
      <c r="P251" t="inlineStr">
        <is>
          <t>X</t>
        </is>
      </c>
      <c r="Q251" t="inlineStr"/>
      <c r="R251" t="inlineStr">
        <is>
          <t>Gewebeeinband</t>
        </is>
      </c>
      <c r="S251" t="inlineStr">
        <is>
          <t>bis 25 cm</t>
        </is>
      </c>
      <c r="T251" t="inlineStr">
        <is>
          <t>180°</t>
        </is>
      </c>
      <c r="U251" t="inlineStr">
        <is>
          <t>hohler Rücken</t>
        </is>
      </c>
      <c r="V251" t="inlineStr"/>
      <c r="W251" t="inlineStr">
        <is>
          <t>Kassette</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t>
        </is>
      </c>
      <c r="B252" t="b">
        <v>1</v>
      </c>
      <c r="C252" t="inlineStr"/>
      <c r="D252" t="inlineStr"/>
      <c r="E252" t="n">
        <v>256</v>
      </c>
      <c r="F252">
        <f>HYPERLINK("https://portal.dnb.de/opac.htm?method=simpleSearch&amp;cqlMode=true&amp;query=idn%3D107205888X", "Portal")</f>
        <v/>
      </c>
      <c r="G252" t="inlineStr">
        <is>
          <t>Aa</t>
        </is>
      </c>
      <c r="H252" t="inlineStr">
        <is>
          <t>L-1493-326855459</t>
        </is>
      </c>
      <c r="I252" t="inlineStr">
        <is>
          <t>107205888X</t>
        </is>
      </c>
      <c r="J252" t="inlineStr">
        <is>
          <t>II 18,3a</t>
        </is>
      </c>
      <c r="K252" t="inlineStr">
        <is>
          <t>II 18,3a</t>
        </is>
      </c>
      <c r="L252" t="inlineStr">
        <is>
          <t>II 18,3a</t>
        </is>
      </c>
      <c r="M252" t="inlineStr"/>
      <c r="N252" t="inlineStr">
        <is>
          <t xml:space="preserve">Epistolae : </t>
        </is>
      </c>
      <c r="O252" t="inlineStr">
        <is>
          <t xml:space="preserve"> : </t>
        </is>
      </c>
      <c r="P252" t="inlineStr">
        <is>
          <t>X</t>
        </is>
      </c>
      <c r="Q252" t="inlineStr"/>
      <c r="R252" t="inlineStr">
        <is>
          <t>Gewebeeinband, Schließen, erhabene Buchbeschläge</t>
        </is>
      </c>
      <c r="S252" t="inlineStr">
        <is>
          <t>bis 35 cm</t>
        </is>
      </c>
      <c r="T252" t="inlineStr">
        <is>
          <t>180°</t>
        </is>
      </c>
      <c r="U252" t="inlineStr">
        <is>
          <t>hohler Rücken, welliger Buchblock, erhabene Illuminationen</t>
        </is>
      </c>
      <c r="V252" t="inlineStr">
        <is>
          <t>nicht auflegen</t>
        </is>
      </c>
      <c r="W252" t="inlineStr">
        <is>
          <t>Kassette</t>
        </is>
      </c>
      <c r="X252" t="inlineStr">
        <is>
          <t>Nein</t>
        </is>
      </c>
      <c r="Y252" t="n">
        <v>0</v>
      </c>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t>
        </is>
      </c>
      <c r="B253" t="b">
        <v>1</v>
      </c>
      <c r="C253" t="inlineStr"/>
      <c r="D253" t="inlineStr"/>
      <c r="E253" t="n">
        <v>257</v>
      </c>
      <c r="F253">
        <f>HYPERLINK("https://portal.dnb.de/opac.htm?method=simpleSearch&amp;cqlMode=true&amp;query=idn%3D1066965099", "Portal")</f>
        <v/>
      </c>
      <c r="G253" t="inlineStr">
        <is>
          <t>Aaf</t>
        </is>
      </c>
      <c r="H253" t="inlineStr">
        <is>
          <t>L-1494-315495235</t>
        </is>
      </c>
      <c r="I253" t="inlineStr">
        <is>
          <t>1066965099</t>
        </is>
      </c>
      <c r="J253" t="inlineStr">
        <is>
          <t>II 18,3b</t>
        </is>
      </c>
      <c r="K253" t="inlineStr">
        <is>
          <t>II 18,3b</t>
        </is>
      </c>
      <c r="L253" t="inlineStr">
        <is>
          <t>II 18,3b</t>
        </is>
      </c>
      <c r="M253" t="inlineStr"/>
      <c r="N253" t="inlineStr">
        <is>
          <t xml:space="preserve">De planctu naturae : </t>
        </is>
      </c>
      <c r="O253" t="inlineStr">
        <is>
          <t xml:space="preserve"> : </t>
        </is>
      </c>
      <c r="P253" t="inlineStr">
        <is>
          <t>X</t>
        </is>
      </c>
      <c r="Q253" t="inlineStr"/>
      <c r="R253" t="inlineStr">
        <is>
          <t>Pergamentband</t>
        </is>
      </c>
      <c r="S253" t="inlineStr">
        <is>
          <t>bis 25 cm</t>
        </is>
      </c>
      <c r="T253" t="inlineStr">
        <is>
          <t>80° bis 110°, einseitig digitalisierbar?</t>
        </is>
      </c>
      <c r="U253" t="inlineStr">
        <is>
          <t>hohler Rücken</t>
        </is>
      </c>
      <c r="V253" t="inlineStr"/>
      <c r="W253" t="inlineStr">
        <is>
          <t>Kassette</t>
        </is>
      </c>
      <c r="X253" t="inlineStr">
        <is>
          <t>Nein</t>
        </is>
      </c>
      <c r="Y253" t="n">
        <v>0</v>
      </c>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t>
        </is>
      </c>
      <c r="B254" t="b">
        <v>1</v>
      </c>
      <c r="C254" t="inlineStr"/>
      <c r="D254" t="inlineStr"/>
      <c r="E254" t="n">
        <v>258</v>
      </c>
      <c r="F254">
        <f>HYPERLINK("https://portal.dnb.de/opac.htm?method=simpleSearch&amp;cqlMode=true&amp;query=idn%3D1066969663", "Portal")</f>
        <v/>
      </c>
      <c r="G254" t="inlineStr">
        <is>
          <t>Aaf</t>
        </is>
      </c>
      <c r="H254" t="inlineStr">
        <is>
          <t>L-1496-31550000X</t>
        </is>
      </c>
      <c r="I254" t="inlineStr">
        <is>
          <t>1066969663</t>
        </is>
      </c>
      <c r="J254" t="inlineStr">
        <is>
          <t>II 18,4a</t>
        </is>
      </c>
      <c r="K254" t="inlineStr">
        <is>
          <t>II 18,4a</t>
        </is>
      </c>
      <c r="L254" t="inlineStr">
        <is>
          <t>II 18,4a</t>
        </is>
      </c>
      <c r="M254" t="inlineStr"/>
      <c r="N254" t="inlineStr">
        <is>
          <t xml:space="preserve">De animabus exutis a corporibus sive De apparitionibus et receptaculis animarum : </t>
        </is>
      </c>
      <c r="O254" t="inlineStr">
        <is>
          <t xml:space="preserve"> : </t>
        </is>
      </c>
      <c r="P254" t="inlineStr"/>
      <c r="Q254" t="inlineStr"/>
      <c r="R254" t="inlineStr">
        <is>
          <t>Gewebeeinband</t>
        </is>
      </c>
      <c r="S254" t="inlineStr">
        <is>
          <t>bis 25 cm</t>
        </is>
      </c>
      <c r="T254" t="inlineStr">
        <is>
          <t>180°</t>
        </is>
      </c>
      <c r="U254" t="inlineStr">
        <is>
          <t>hohler Rücken, welliger Buchblock, erhabene Illuminationen</t>
        </is>
      </c>
      <c r="V254" t="inlineStr">
        <is>
          <t>nicht auflegen</t>
        </is>
      </c>
      <c r="W254" t="inlineStr">
        <is>
          <t>Kassette</t>
        </is>
      </c>
      <c r="X254" t="inlineStr">
        <is>
          <t>Nein</t>
        </is>
      </c>
      <c r="Y254" t="n">
        <v>0</v>
      </c>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t>
        </is>
      </c>
      <c r="B255" t="b">
        <v>1</v>
      </c>
      <c r="C255" t="inlineStr"/>
      <c r="D255" t="inlineStr"/>
      <c r="E255" t="n">
        <v>259</v>
      </c>
      <c r="F255">
        <f>HYPERLINK("https://portal.dnb.de/opac.htm?method=simpleSearch&amp;cqlMode=true&amp;query=idn%3D1066973210", "Portal")</f>
        <v/>
      </c>
      <c r="G255" t="inlineStr">
        <is>
          <t>Aaf</t>
        </is>
      </c>
      <c r="H255" t="inlineStr">
        <is>
          <t>L-1497-315503602</t>
        </is>
      </c>
      <c r="I255" t="inlineStr">
        <is>
          <t>1066973210</t>
        </is>
      </c>
      <c r="J255" t="inlineStr">
        <is>
          <t>II 18,4b</t>
        </is>
      </c>
      <c r="K255" t="inlineStr">
        <is>
          <t>II 18,4b</t>
        </is>
      </c>
      <c r="L255" t="inlineStr">
        <is>
          <t>II 18,4b</t>
        </is>
      </c>
      <c r="M255" t="inlineStr"/>
      <c r="N255" t="inlineStr">
        <is>
          <t xml:space="preserve">Epitoma bellorum Alberti Saxoniae ducis : </t>
        </is>
      </c>
      <c r="O255" t="inlineStr">
        <is>
          <t xml:space="preserve"> : </t>
        </is>
      </c>
      <c r="P255" t="inlineStr">
        <is>
          <t>X</t>
        </is>
      </c>
      <c r="Q255" t="inlineStr"/>
      <c r="R255" t="inlineStr">
        <is>
          <t>Broschur</t>
        </is>
      </c>
      <c r="S255" t="inlineStr">
        <is>
          <t>bis 25 cm</t>
        </is>
      </c>
      <c r="T255" t="inlineStr">
        <is>
          <t>80° bis 110°, einseitig digitalisierbar?</t>
        </is>
      </c>
      <c r="U255" t="inlineStr"/>
      <c r="V255" t="inlineStr"/>
      <c r="W255" t="inlineStr">
        <is>
          <t>Mappe</t>
        </is>
      </c>
      <c r="X255" t="inlineStr">
        <is>
          <t>Nein</t>
        </is>
      </c>
      <c r="Y255" t="n">
        <v>0</v>
      </c>
      <c r="Z255" t="inlineStr"/>
      <c r="AA255" t="inlineStr">
        <is>
          <t>ausgebunden, Originaleinband extra</t>
        </is>
      </c>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t>
        </is>
      </c>
      <c r="B256" t="b">
        <v>1</v>
      </c>
      <c r="C256" t="inlineStr"/>
      <c r="D256" t="inlineStr"/>
      <c r="E256" t="n">
        <v>260</v>
      </c>
      <c r="F256">
        <f>HYPERLINK("https://portal.dnb.de/opac.htm?method=simpleSearch&amp;cqlMode=true&amp;query=idn%3D1072320371", "Portal")</f>
        <v/>
      </c>
      <c r="G256" t="inlineStr">
        <is>
          <t>Aa</t>
        </is>
      </c>
      <c r="H256" t="inlineStr">
        <is>
          <t>L-1498-327280026</t>
        </is>
      </c>
      <c r="I256" t="inlineStr">
        <is>
          <t>1072320371</t>
        </is>
      </c>
      <c r="J256" t="inlineStr">
        <is>
          <t>II 18,5a</t>
        </is>
      </c>
      <c r="K256" t="inlineStr">
        <is>
          <t>II 18,5a</t>
        </is>
      </c>
      <c r="L256" t="inlineStr">
        <is>
          <t>II 18,5a</t>
        </is>
      </c>
      <c r="M256" t="inlineStr"/>
      <c r="N256" t="inlineStr">
        <is>
          <t xml:space="preserve">De componendis versibus : </t>
        </is>
      </c>
      <c r="O256" t="inlineStr">
        <is>
          <t xml:space="preserve"> : </t>
        </is>
      </c>
      <c r="P256" t="inlineStr">
        <is>
          <t>X</t>
        </is>
      </c>
      <c r="Q256" t="inlineStr"/>
      <c r="R256" t="inlineStr">
        <is>
          <t>Gewebeeinband</t>
        </is>
      </c>
      <c r="S256" t="inlineStr">
        <is>
          <t>bis 25 cm</t>
        </is>
      </c>
      <c r="T256" t="inlineStr">
        <is>
          <t>180°</t>
        </is>
      </c>
      <c r="U256" t="inlineStr">
        <is>
          <t>hohler Rücken, welliger Buchblock</t>
        </is>
      </c>
      <c r="V256" t="inlineStr"/>
      <c r="W256" t="inlineStr">
        <is>
          <t>Kassette</t>
        </is>
      </c>
      <c r="X256" t="inlineStr">
        <is>
          <t>Nein</t>
        </is>
      </c>
      <c r="Y256" t="n">
        <v>0</v>
      </c>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t>
        </is>
      </c>
      <c r="B257" t="b">
        <v>1</v>
      </c>
      <c r="C257" t="inlineStr"/>
      <c r="D257" t="inlineStr"/>
      <c r="E257" t="n">
        <v>262</v>
      </c>
      <c r="F257">
        <f>HYPERLINK("https://portal.dnb.de/opac.htm?method=simpleSearch&amp;cqlMode=true&amp;query=idn%3D1072059312", "Portal")</f>
        <v/>
      </c>
      <c r="G257" t="inlineStr">
        <is>
          <t>Aa</t>
        </is>
      </c>
      <c r="H257" t="inlineStr">
        <is>
          <t>L-1476-32685570X</t>
        </is>
      </c>
      <c r="I257" t="inlineStr">
        <is>
          <t>1072059312</t>
        </is>
      </c>
      <c r="J257" t="inlineStr">
        <is>
          <t>II 19,1a</t>
        </is>
      </c>
      <c r="K257" t="inlineStr">
        <is>
          <t>II 19,1a</t>
        </is>
      </c>
      <c r="L257" t="inlineStr">
        <is>
          <t>II 19,1a</t>
        </is>
      </c>
      <c r="M257" t="inlineStr"/>
      <c r="N257" t="inlineStr">
        <is>
          <t xml:space="preserve">Expositio super toto psalterio : </t>
        </is>
      </c>
      <c r="O257" t="inlineStr">
        <is>
          <t xml:space="preserve"> : </t>
        </is>
      </c>
      <c r="P257" t="inlineStr">
        <is>
          <t>X</t>
        </is>
      </c>
      <c r="Q257" t="inlineStr"/>
      <c r="R257" t="inlineStr">
        <is>
          <t>Halbledereinband, Schließen, erhabene Buchbeschläge</t>
        </is>
      </c>
      <c r="S257" t="inlineStr">
        <is>
          <t>bis 35 cm</t>
        </is>
      </c>
      <c r="T257" t="inlineStr">
        <is>
          <t>180°</t>
        </is>
      </c>
      <c r="U257" t="inlineStr">
        <is>
          <t>hohler Rücken, welliger Buchblock, erhabene Illuminationen</t>
        </is>
      </c>
      <c r="V257" t="inlineStr">
        <is>
          <t>nicht auflegen</t>
        </is>
      </c>
      <c r="W257" t="inlineStr">
        <is>
          <t>Kassette</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t>
        </is>
      </c>
      <c r="B258" t="b">
        <v>1</v>
      </c>
      <c r="C258" t="inlineStr"/>
      <c r="D258" t="inlineStr"/>
      <c r="E258" t="n">
        <v>263</v>
      </c>
      <c r="F258">
        <f>HYPERLINK("https://portal.dnb.de/opac.htm?method=simpleSearch&amp;cqlMode=true&amp;query=idn%3D1067438289", "Portal")</f>
        <v/>
      </c>
      <c r="G258" t="inlineStr">
        <is>
          <t>Aal</t>
        </is>
      </c>
      <c r="H258" t="inlineStr">
        <is>
          <t>L-1488-316402206</t>
        </is>
      </c>
      <c r="I258" t="inlineStr">
        <is>
          <t>1067438289</t>
        </is>
      </c>
      <c r="J258" t="inlineStr">
        <is>
          <t>II 19,2a - Fragm.</t>
        </is>
      </c>
      <c r="K258" t="inlineStr">
        <is>
          <t>II 19,2a - Fragm.</t>
        </is>
      </c>
      <c r="L258" t="inlineStr">
        <is>
          <t>II 19,2a - Fragm.</t>
        </is>
      </c>
      <c r="M258" t="inlineStr"/>
      <c r="N258" t="inlineStr">
        <is>
          <t xml:space="preserve">Missale Aboense secundum ordinem fratrum praedicatorum : </t>
        </is>
      </c>
      <c r="O258" t="inlineStr">
        <is>
          <t xml:space="preserve"> : </t>
        </is>
      </c>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t>
        </is>
      </c>
      <c r="B259" t="b">
        <v>1</v>
      </c>
      <c r="C259" t="inlineStr"/>
      <c r="D259" t="inlineStr"/>
      <c r="E259" t="n">
        <v>264</v>
      </c>
      <c r="F259">
        <f>HYPERLINK("https://portal.dnb.de/opac.htm?method=simpleSearch&amp;cqlMode=true&amp;query=idn%3D1067438548", "Portal")</f>
        <v/>
      </c>
      <c r="G259" t="inlineStr">
        <is>
          <t>Aal</t>
        </is>
      </c>
      <c r="H259" t="inlineStr">
        <is>
          <t>L-1487-316402281</t>
        </is>
      </c>
      <c r="I259" t="inlineStr">
        <is>
          <t>1067438548</t>
        </is>
      </c>
      <c r="J259" t="inlineStr">
        <is>
          <t>II 19,2c - Fragm.</t>
        </is>
      </c>
      <c r="K259" t="inlineStr">
        <is>
          <t>II 19,2c - Fragm.</t>
        </is>
      </c>
      <c r="L259" t="inlineStr">
        <is>
          <t>II 19,2c - Fragm.</t>
        </is>
      </c>
      <c r="M259" t="inlineStr"/>
      <c r="N259" t="inlineStr">
        <is>
          <t xml:space="preserve">Rituale Upsalense : </t>
        </is>
      </c>
      <c r="O259" t="inlineStr">
        <is>
          <t xml:space="preserve"> : </t>
        </is>
      </c>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t>
        </is>
      </c>
      <c r="B260" t="b">
        <v>1</v>
      </c>
      <c r="C260" t="inlineStr"/>
      <c r="D260" t="inlineStr"/>
      <c r="E260" t="n">
        <v>265</v>
      </c>
      <c r="F260">
        <f>HYPERLINK("https://portal.dnb.de/opac.htm?method=simpleSearch&amp;cqlMode=true&amp;query=idn%3D1067439005", "Portal")</f>
        <v/>
      </c>
      <c r="G260" t="inlineStr">
        <is>
          <t>Aal</t>
        </is>
      </c>
      <c r="H260" t="inlineStr">
        <is>
          <t>L-1487-316402540</t>
        </is>
      </c>
      <c r="I260" t="inlineStr">
        <is>
          <t>1067439005</t>
        </is>
      </c>
      <c r="J260" t="inlineStr">
        <is>
          <t>II 19,2d - Fragm.</t>
        </is>
      </c>
      <c r="K260" t="inlineStr">
        <is>
          <t>II 19,2d - Fragm.</t>
        </is>
      </c>
      <c r="L260" t="inlineStr">
        <is>
          <t>II 19,2d - Fragm.</t>
        </is>
      </c>
      <c r="M260" t="inlineStr"/>
      <c r="N260" t="inlineStr">
        <is>
          <t xml:space="preserve">Missale  Strengense : </t>
        </is>
      </c>
      <c r="O260" t="inlineStr">
        <is>
          <t xml:space="preserve"> : </t>
        </is>
      </c>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t>
        </is>
      </c>
      <c r="B261" t="b">
        <v>1</v>
      </c>
      <c r="C261" t="inlineStr"/>
      <c r="D261" t="inlineStr"/>
      <c r="E261" t="n">
        <v>266</v>
      </c>
      <c r="F261">
        <f>HYPERLINK("https://portal.dnb.de/opac.htm?method=simpleSearch&amp;cqlMode=true&amp;query=idn%3D1072059665", "Portal")</f>
        <v/>
      </c>
      <c r="G261" t="inlineStr">
        <is>
          <t>Aa</t>
        </is>
      </c>
      <c r="H261" t="inlineStr">
        <is>
          <t>L-1493-326855874</t>
        </is>
      </c>
      <c r="I261" t="inlineStr">
        <is>
          <t>1072059665</t>
        </is>
      </c>
      <c r="J261" t="inlineStr">
        <is>
          <t>II 20,1a</t>
        </is>
      </c>
      <c r="K261" t="inlineStr">
        <is>
          <t>II 20,1a</t>
        </is>
      </c>
      <c r="L261" t="inlineStr">
        <is>
          <t>II 20,1a</t>
        </is>
      </c>
      <c r="M261" t="inlineStr"/>
      <c r="N261" t="inlineStr">
        <is>
          <t xml:space="preserve">De vita spirituali : </t>
        </is>
      </c>
      <c r="O261" t="inlineStr">
        <is>
          <t xml:space="preserve"> : </t>
        </is>
      </c>
      <c r="P261" t="inlineStr">
        <is>
          <t>X</t>
        </is>
      </c>
      <c r="Q261" t="inlineStr"/>
      <c r="R261" t="inlineStr">
        <is>
          <t>Pergamentband</t>
        </is>
      </c>
      <c r="S261" t="inlineStr">
        <is>
          <t>bis 25 cm</t>
        </is>
      </c>
      <c r="T261" t="inlineStr">
        <is>
          <t>180°</t>
        </is>
      </c>
      <c r="U261" t="inlineStr">
        <is>
          <t>hohler Rücken, welliger Buchblock</t>
        </is>
      </c>
      <c r="V261" t="inlineStr"/>
      <c r="W261" t="inlineStr">
        <is>
          <t>Mappe</t>
        </is>
      </c>
      <c r="X261" t="inlineStr">
        <is>
          <t>Nein</t>
        </is>
      </c>
      <c r="Y261" t="n">
        <v>0</v>
      </c>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II</t>
        </is>
      </c>
      <c r="B262" t="b">
        <v>1</v>
      </c>
      <c r="C262" t="inlineStr"/>
      <c r="D262" t="inlineStr"/>
      <c r="E262" t="n">
        <v>267</v>
      </c>
      <c r="F262">
        <f>HYPERLINK("https://portal.dnb.de/opac.htm?method=simpleSearch&amp;cqlMode=true&amp;query=idn%3D1066967202", "Portal")</f>
        <v/>
      </c>
      <c r="G262" t="inlineStr">
        <is>
          <t>Aaf</t>
        </is>
      </c>
      <c r="H262" t="inlineStr">
        <is>
          <t>L-1474-315497467</t>
        </is>
      </c>
      <c r="I262" t="inlineStr">
        <is>
          <t>1066967202</t>
        </is>
      </c>
      <c r="J262" t="inlineStr">
        <is>
          <t>II 21,1a</t>
        </is>
      </c>
      <c r="K262" t="inlineStr">
        <is>
          <t>II 21,1a</t>
        </is>
      </c>
      <c r="L262" t="inlineStr">
        <is>
          <t>II 21,1a - 1</t>
        </is>
      </c>
      <c r="M262" t="inlineStr"/>
      <c r="N262" t="inlineStr">
        <is>
          <t xml:space="preserve">Breviarium Moguntinum : </t>
        </is>
      </c>
      <c r="O262" t="inlineStr">
        <is>
          <t xml:space="preserve"> : </t>
        </is>
      </c>
      <c r="P262" t="inlineStr">
        <is>
          <t>X</t>
        </is>
      </c>
      <c r="Q262" t="inlineStr"/>
      <c r="R262" t="inlineStr">
        <is>
          <t>Halbledereinband, Schließen, erhabene Buchbeschläge</t>
        </is>
      </c>
      <c r="S262" t="inlineStr">
        <is>
          <t>bis 25 cm</t>
        </is>
      </c>
      <c r="T262" t="inlineStr">
        <is>
          <t>nur sehr geringer Öffnungswinkel</t>
        </is>
      </c>
      <c r="U262" t="inlineStr">
        <is>
          <t>fester Rücken mit Schmuckprägung, Schrift bis in den Falz, erhabene Illuminationen</t>
        </is>
      </c>
      <c r="V262" t="inlineStr">
        <is>
          <t>nicht auflegen</t>
        </is>
      </c>
      <c r="W262" t="inlineStr">
        <is>
          <t>Kassette</t>
        </is>
      </c>
      <c r="X262" t="inlineStr">
        <is>
          <t>Nein</t>
        </is>
      </c>
      <c r="Y262" t="n">
        <v>0</v>
      </c>
      <c r="Z262" t="inlineStr"/>
      <c r="AA262" t="inlineStr">
        <is>
          <t>gereinigt;Fragment in Sammelbox</t>
        </is>
      </c>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t>
        </is>
      </c>
      <c r="B263" t="b">
        <v>0</v>
      </c>
      <c r="C263" t="inlineStr"/>
      <c r="D263" t="inlineStr"/>
      <c r="E263" t="inlineStr"/>
      <c r="F263">
        <f>HYPERLINK("https://portal.dnb.de/opac.htm?method=simpleSearch&amp;cqlMode=true&amp;query=idn%3D", "Portal")</f>
        <v/>
      </c>
      <c r="G263" t="inlineStr"/>
      <c r="H263" t="inlineStr"/>
      <c r="I263" t="inlineStr"/>
      <c r="J263" t="inlineStr"/>
      <c r="K263" t="inlineStr"/>
      <c r="L263" t="inlineStr">
        <is>
          <t>II 21,1a - 2</t>
        </is>
      </c>
      <c r="M263" t="inlineStr"/>
      <c r="N263" t="inlineStr"/>
      <c r="O263" t="inlineStr"/>
      <c r="P263" t="inlineStr">
        <is>
          <t>X</t>
        </is>
      </c>
      <c r="Q263" t="inlineStr"/>
      <c r="R263" t="inlineStr">
        <is>
          <t>Halbledereinband, Schließen, erhabene Buchbeschläge</t>
        </is>
      </c>
      <c r="S263" t="inlineStr">
        <is>
          <t>bis 25 cm</t>
        </is>
      </c>
      <c r="T263" t="inlineStr">
        <is>
          <t>80° bis 110°, einseitig digitalisierbar?</t>
        </is>
      </c>
      <c r="U263" t="inlineStr">
        <is>
          <t>fester Rücken mit Schmuckprägung, welliger Buchblock, erhabene Illuminationen</t>
        </is>
      </c>
      <c r="V263" t="inlineStr">
        <is>
          <t>nicht auflegen</t>
        </is>
      </c>
      <c r="W263" t="inlineStr">
        <is>
          <t>Kassette</t>
        </is>
      </c>
      <c r="X263" t="inlineStr">
        <is>
          <t>Nein</t>
        </is>
      </c>
      <c r="Y263" t="n">
        <v>0</v>
      </c>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t>
        </is>
      </c>
      <c r="B264" t="b">
        <v>1</v>
      </c>
      <c r="C264" t="inlineStr"/>
      <c r="D264" t="inlineStr"/>
      <c r="E264" t="n">
        <v>268</v>
      </c>
      <c r="F264">
        <f>HYPERLINK("https://portal.dnb.de/opac.htm?method=simpleSearch&amp;cqlMode=true&amp;query=idn%3D1066967202", "Portal")</f>
        <v/>
      </c>
      <c r="G264" t="inlineStr">
        <is>
          <t>Aaf</t>
        </is>
      </c>
      <c r="H264" t="inlineStr">
        <is>
          <t>L-1476-316067881</t>
        </is>
      </c>
      <c r="I264" t="inlineStr">
        <is>
          <t>1066967202</t>
        </is>
      </c>
      <c r="J264" t="inlineStr">
        <is>
          <t>II 21,1b - Fragm</t>
        </is>
      </c>
      <c r="K264" t="inlineStr">
        <is>
          <t>II 21,1b - Fragm.</t>
        </is>
      </c>
      <c r="L264" t="inlineStr">
        <is>
          <t>II 21,1b - Fragm.</t>
        </is>
      </c>
      <c r="M264" t="inlineStr"/>
      <c r="N264" t="inlineStr">
        <is>
          <t xml:space="preserve">Breviarium Moguntinum : </t>
        </is>
      </c>
      <c r="O264" t="inlineStr">
        <is>
          <t xml:space="preserve"> : </t>
        </is>
      </c>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t>
        </is>
      </c>
      <c r="B265" t="b">
        <v>1</v>
      </c>
      <c r="C265" t="inlineStr"/>
      <c r="D265" t="inlineStr"/>
      <c r="E265" t="n">
        <v>269</v>
      </c>
      <c r="F265">
        <f>HYPERLINK("https://portal.dnb.de/opac.htm?method=simpleSearch&amp;cqlMode=true&amp;query=idn%3D1066967636", "Portal")</f>
        <v/>
      </c>
      <c r="G265" t="inlineStr">
        <is>
          <t>Aaf</t>
        </is>
      </c>
      <c r="H265" t="inlineStr">
        <is>
          <t>L-1474-315497882</t>
        </is>
      </c>
      <c r="I265" t="inlineStr">
        <is>
          <t>1066967636</t>
        </is>
      </c>
      <c r="J265" t="inlineStr">
        <is>
          <t>II 21,1c</t>
        </is>
      </c>
      <c r="K265" t="inlineStr">
        <is>
          <t>II 21,1c</t>
        </is>
      </c>
      <c r="L265" t="inlineStr">
        <is>
          <t>II 21,1c</t>
        </is>
      </c>
      <c r="M265" t="inlineStr"/>
      <c r="N265" t="inlineStr">
        <is>
          <t xml:space="preserve">Constitutiones congregationis Bursfeldensis ordinis S. Benedictini sive Cerimoniale monachorum ord. S. Benedicti : </t>
        </is>
      </c>
      <c r="O265" t="inlineStr">
        <is>
          <t xml:space="preserve"> : </t>
        </is>
      </c>
      <c r="P265" t="inlineStr">
        <is>
          <t>X</t>
        </is>
      </c>
      <c r="Q265" t="inlineStr"/>
      <c r="R265" t="inlineStr">
        <is>
          <t>Ledereinband</t>
        </is>
      </c>
      <c r="S265" t="inlineStr">
        <is>
          <t>bis 25 cm</t>
        </is>
      </c>
      <c r="T265" t="inlineStr">
        <is>
          <t>80° bis 110°, einseitig digitalisierbar?</t>
        </is>
      </c>
      <c r="U265" t="inlineStr">
        <is>
          <t>fester Rücken mit Schmuckprägung, erhabene Illuminationen</t>
        </is>
      </c>
      <c r="V265" t="inlineStr">
        <is>
          <t>nicht auflegen</t>
        </is>
      </c>
      <c r="W265" t="inlineStr">
        <is>
          <t>Kassette</t>
        </is>
      </c>
      <c r="X265" t="inlineStr">
        <is>
          <t>Nein</t>
        </is>
      </c>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t>
        </is>
      </c>
      <c r="B266" t="b">
        <v>1</v>
      </c>
      <c r="C266" t="inlineStr"/>
      <c r="D266" t="inlineStr"/>
      <c r="E266" t="n">
        <v>270</v>
      </c>
      <c r="F266">
        <f>HYPERLINK("https://portal.dnb.de/opac.htm?method=simpleSearch&amp;cqlMode=true&amp;query=idn%3D1067300287", "Portal")</f>
        <v/>
      </c>
      <c r="G266" t="inlineStr">
        <is>
          <t>Aal</t>
        </is>
      </c>
      <c r="H266" t="inlineStr">
        <is>
          <t>L-1475-316068217</t>
        </is>
      </c>
      <c r="I266" t="inlineStr">
        <is>
          <t>1067300287</t>
        </is>
      </c>
      <c r="J266" t="inlineStr">
        <is>
          <t>II 21,1d - Fragm</t>
        </is>
      </c>
      <c r="K266" t="inlineStr">
        <is>
          <t>II 21,1d - Fragm.</t>
        </is>
      </c>
      <c r="L266" t="inlineStr">
        <is>
          <t>II 21,1d - Fragm.</t>
        </is>
      </c>
      <c r="M266" t="inlineStr"/>
      <c r="N266" t="inlineStr">
        <is>
          <t xml:space="preserve">Breviarium Moguntinum : </t>
        </is>
      </c>
      <c r="O266" t="inlineStr">
        <is>
          <t xml:space="preserve"> : </t>
        </is>
      </c>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t>
        </is>
      </c>
      <c r="B267" t="b">
        <v>1</v>
      </c>
      <c r="C267" t="inlineStr">
        <is>
          <t>x</t>
        </is>
      </c>
      <c r="D267" t="inlineStr"/>
      <c r="E267" t="inlineStr"/>
      <c r="F267">
        <f>HYPERLINK("https://portal.dnb.de/opac.htm?method=simpleSearch&amp;cqlMode=true&amp;query=idn%3D1268957623", "Portal")</f>
        <v/>
      </c>
      <c r="G267" t="inlineStr">
        <is>
          <t>Qd</t>
        </is>
      </c>
      <c r="H267" t="inlineStr">
        <is>
          <t>L-1483-834340305</t>
        </is>
      </c>
      <c r="I267" t="inlineStr">
        <is>
          <t>1268957623</t>
        </is>
      </c>
      <c r="J267" t="inlineStr">
        <is>
          <t>II 22,1b</t>
        </is>
      </c>
      <c r="K267" t="inlineStr">
        <is>
          <t>II 22,1b</t>
        </is>
      </c>
      <c r="L267" t="inlineStr">
        <is>
          <t>II 22,1b</t>
        </is>
      </c>
      <c r="M267" t="inlineStr"/>
      <c r="N267" t="inlineStr">
        <is>
          <t xml:space="preserve">Sammelband mit zwei Inkunabeln, gedruckt in Memmingen von Albert Kunne : </t>
        </is>
      </c>
      <c r="O267" t="inlineStr">
        <is>
          <t xml:space="preserve"> : </t>
        </is>
      </c>
      <c r="P267" t="inlineStr">
        <is>
          <t>X</t>
        </is>
      </c>
      <c r="Q267" t="inlineStr"/>
      <c r="R267" t="inlineStr">
        <is>
          <t>Schließen, erhabene Buchbeschläge</t>
        </is>
      </c>
      <c r="S267" t="inlineStr">
        <is>
          <t>bis 25 cm</t>
        </is>
      </c>
      <c r="T267" t="inlineStr">
        <is>
          <t>80° bis 110°, einseitig digitalisierbar?</t>
        </is>
      </c>
      <c r="U267" t="inlineStr">
        <is>
          <t>stark brüchiges Einbandmaterial, fester Rücken mit Schmuckprägung, welliger Buchblock</t>
        </is>
      </c>
      <c r="V267" t="inlineStr"/>
      <c r="W267" t="inlineStr">
        <is>
          <t>Kassette</t>
        </is>
      </c>
      <c r="X267" t="inlineStr">
        <is>
          <t>Nein</t>
        </is>
      </c>
      <c r="Y267" t="n">
        <v>3</v>
      </c>
      <c r="Z267" t="inlineStr">
        <is>
          <t>Einbandsicherung</t>
        </is>
      </c>
      <c r="AA267" t="inlineStr">
        <is>
          <t>Fragment in Sammelbox</t>
        </is>
      </c>
      <c r="AB267" t="inlineStr"/>
      <c r="AC267" t="inlineStr"/>
      <c r="AD267" t="inlineStr"/>
      <c r="AE267" t="inlineStr"/>
      <c r="AF267" t="inlineStr"/>
      <c r="AG267" t="inlineStr"/>
      <c r="AH267" t="inlineStr"/>
      <c r="AI267" t="inlineStr">
        <is>
          <t>HD</t>
        </is>
      </c>
      <c r="AJ267" t="inlineStr"/>
      <c r="AK267" t="inlineStr">
        <is>
          <t>x</t>
        </is>
      </c>
      <c r="AL267" t="inlineStr"/>
      <c r="AM267" t="inlineStr">
        <is>
          <t>f/V</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c r="BD267" t="inlineStr"/>
      <c r="BE267" t="inlineStr"/>
      <c r="BF267" t="inlineStr"/>
      <c r="BG267" t="n">
        <v>60</v>
      </c>
      <c r="BH267" t="inlineStr">
        <is>
          <t xml:space="preserve">
entgültig nach Restaurierung festlegen!!</t>
        </is>
      </c>
      <c r="BI267" t="inlineStr"/>
      <c r="BJ267" t="inlineStr"/>
      <c r="BK267" t="inlineStr"/>
      <c r="BL267" t="inlineStr"/>
      <c r="BM267" t="inlineStr">
        <is>
          <t>ja vor</t>
        </is>
      </c>
      <c r="BN267" t="n">
        <v>13.5</v>
      </c>
      <c r="BO267" t="inlineStr"/>
      <c r="BP267" t="inlineStr">
        <is>
          <t>Wellpappe</t>
        </is>
      </c>
      <c r="BQ267" t="inlineStr"/>
      <c r="BR267" t="inlineStr"/>
      <c r="BS267" t="inlineStr"/>
      <c r="BT267" t="inlineStr"/>
      <c r="BU267" t="inlineStr"/>
      <c r="BV267" t="inlineStr"/>
      <c r="BW267" t="inlineStr"/>
      <c r="BX267" t="inlineStr"/>
      <c r="BY267" t="inlineStr"/>
      <c r="BZ267" t="inlineStr">
        <is>
          <t>x</t>
        </is>
      </c>
      <c r="CA267" t="inlineStr">
        <is>
          <t>x</t>
        </is>
      </c>
      <c r="CB267" t="inlineStr">
        <is>
          <t>x</t>
        </is>
      </c>
      <c r="CC267" t="inlineStr"/>
      <c r="CD267" t="inlineStr">
        <is>
          <t>v/h</t>
        </is>
      </c>
      <c r="CE267" t="n">
        <v>3</v>
      </c>
      <c r="CF267" t="inlineStr">
        <is>
          <t>x</t>
        </is>
      </c>
      <c r="CG267" t="inlineStr"/>
      <c r="CH267" t="inlineStr"/>
      <c r="CI267" t="inlineStr"/>
      <c r="CJ267" t="inlineStr"/>
      <c r="CK267" t="inlineStr"/>
      <c r="CL267" t="inlineStr">
        <is>
          <t>o</t>
        </is>
      </c>
      <c r="CM267" t="n">
        <v>7.5</v>
      </c>
      <c r="CN267"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O267" t="inlineStr">
        <is>
          <t>x</t>
        </is>
      </c>
      <c r="CP267" t="inlineStr"/>
      <c r="CQ267" t="inlineStr"/>
      <c r="CR267" t="inlineStr"/>
      <c r="CS267" t="inlineStr">
        <is>
          <t>x</t>
        </is>
      </c>
      <c r="CT267" t="inlineStr">
        <is>
          <t>x</t>
        </is>
      </c>
      <c r="CU267" t="inlineStr"/>
      <c r="CV267" t="inlineStr"/>
      <c r="CW267" t="inlineStr"/>
      <c r="CX267" t="inlineStr"/>
      <c r="CY267" t="inlineStr"/>
      <c r="CZ267" t="inlineStr"/>
      <c r="DA267" t="inlineStr"/>
      <c r="DB267" t="inlineStr"/>
      <c r="DC267" t="inlineStr"/>
      <c r="DD267" t="inlineStr"/>
      <c r="DE267" t="inlineStr"/>
      <c r="DF267" t="n">
        <v>6</v>
      </c>
      <c r="DG267"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8">
      <c r="A268" t="inlineStr">
        <is>
          <t>II</t>
        </is>
      </c>
      <c r="B268" t="b">
        <v>1</v>
      </c>
      <c r="C268" t="inlineStr"/>
      <c r="D268" t="inlineStr"/>
      <c r="E268" t="n">
        <v>273</v>
      </c>
      <c r="F268">
        <f>HYPERLINK("https://portal.dnb.de/opac.htm?method=simpleSearch&amp;cqlMode=true&amp;query=idn%3D1066971161", "Portal")</f>
        <v/>
      </c>
      <c r="G268" t="inlineStr">
        <is>
          <t>Aaf</t>
        </is>
      </c>
      <c r="H268" t="inlineStr">
        <is>
          <t>L-1492-315501537</t>
        </is>
      </c>
      <c r="I268" t="inlineStr">
        <is>
          <t>1066971161</t>
        </is>
      </c>
      <c r="J268" t="inlineStr">
        <is>
          <t>II 22,1d</t>
        </is>
      </c>
      <c r="K268" t="inlineStr">
        <is>
          <t>II 22,1d</t>
        </is>
      </c>
      <c r="L268" t="inlineStr">
        <is>
          <t>II 22,1d</t>
        </is>
      </c>
      <c r="M268" t="inlineStr"/>
      <c r="N268" t="inlineStr">
        <is>
          <t xml:space="preserve">Repertorium in postillam Nicolai de Lyra super vetus et novum testamentum : </t>
        </is>
      </c>
      <c r="O268" t="inlineStr">
        <is>
          <t xml:space="preserve"> : </t>
        </is>
      </c>
      <c r="P268" t="inlineStr">
        <is>
          <t>X</t>
        </is>
      </c>
      <c r="Q268" t="inlineStr"/>
      <c r="R268" t="inlineStr">
        <is>
          <t>Halbledereinband, Schließen, erhabene Buchbeschläge</t>
        </is>
      </c>
      <c r="S268" t="inlineStr">
        <is>
          <t>bis 35 cm</t>
        </is>
      </c>
      <c r="T268" t="inlineStr">
        <is>
          <t>80° bis 110°, einseitig digitalisierbar?</t>
        </is>
      </c>
      <c r="U268" t="inlineStr">
        <is>
          <t>hohler Rücken, welliger Buchblock, erhabene Illuminationen</t>
        </is>
      </c>
      <c r="V268" t="inlineStr">
        <is>
          <t>nicht auflegen</t>
        </is>
      </c>
      <c r="W268" t="inlineStr">
        <is>
          <t>Kassette</t>
        </is>
      </c>
      <c r="X268" t="inlineStr">
        <is>
          <t>Nein</t>
        </is>
      </c>
      <c r="Y268" t="n">
        <v>1</v>
      </c>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n">
        <v>0</v>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t>
        </is>
      </c>
      <c r="B269" t="b">
        <v>1</v>
      </c>
      <c r="C269" t="inlineStr"/>
      <c r="D269" t="inlineStr"/>
      <c r="E269" t="n">
        <v>274</v>
      </c>
      <c r="F269">
        <f>HYPERLINK("https://portal.dnb.de/opac.htm?method=simpleSearch&amp;cqlMode=true&amp;query=idn%3D1072060000", "Portal")</f>
        <v/>
      </c>
      <c r="G269" t="inlineStr">
        <is>
          <t>Aa</t>
        </is>
      </c>
      <c r="H269" t="inlineStr">
        <is>
          <t>L-1488-326856064</t>
        </is>
      </c>
      <c r="I269" t="inlineStr">
        <is>
          <t>1072060000</t>
        </is>
      </c>
      <c r="J269" t="inlineStr">
        <is>
          <t>II 23,1a</t>
        </is>
      </c>
      <c r="K269" t="inlineStr">
        <is>
          <t>II 23,1a</t>
        </is>
      </c>
      <c r="L269" t="inlineStr">
        <is>
          <t>II 23,1a</t>
        </is>
      </c>
      <c r="M269" t="inlineStr"/>
      <c r="N269" t="inlineStr">
        <is>
          <t xml:space="preserve">Beichtbüchlein : </t>
        </is>
      </c>
      <c r="O269" t="inlineStr">
        <is>
          <t xml:space="preserve"> : </t>
        </is>
      </c>
      <c r="P269" t="inlineStr">
        <is>
          <t>X</t>
        </is>
      </c>
      <c r="Q269" t="inlineStr"/>
      <c r="R269" t="inlineStr">
        <is>
          <t>Halbledereinband</t>
        </is>
      </c>
      <c r="S269" t="inlineStr">
        <is>
          <t>bis 25 cm</t>
        </is>
      </c>
      <c r="T269" t="inlineStr">
        <is>
          <t>80° bis 110°, einseitig digitalisierbar?</t>
        </is>
      </c>
      <c r="U269" t="inlineStr">
        <is>
          <t>hohler Rücken, erhabene Illuminationen</t>
        </is>
      </c>
      <c r="V269" t="inlineStr">
        <is>
          <t>nicht auflegen</t>
        </is>
      </c>
      <c r="W269" t="inlineStr">
        <is>
          <t>Kassette</t>
        </is>
      </c>
      <c r="X269" t="inlineStr">
        <is>
          <t>Nein</t>
        </is>
      </c>
      <c r="Y269" t="n">
        <v>1</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t>
        </is>
      </c>
      <c r="B270" t="b">
        <v>1</v>
      </c>
      <c r="C270" t="inlineStr"/>
      <c r="D270" t="inlineStr"/>
      <c r="E270" t="n">
        <v>275</v>
      </c>
      <c r="F270">
        <f>HYPERLINK("https://portal.dnb.de/opac.htm?method=simpleSearch&amp;cqlMode=true&amp;query=idn%3D1079559167", "Portal")</f>
        <v/>
      </c>
      <c r="G270" t="inlineStr">
        <is>
          <t>Aal</t>
        </is>
      </c>
      <c r="H270" t="inlineStr">
        <is>
          <t>L-1500-343707918</t>
        </is>
      </c>
      <c r="I270" t="inlineStr">
        <is>
          <t>1079559167</t>
        </is>
      </c>
      <c r="J270" t="inlineStr">
        <is>
          <t>II 23,2a</t>
        </is>
      </c>
      <c r="K270" t="inlineStr">
        <is>
          <t>II 23,2a</t>
        </is>
      </c>
      <c r="L270" t="inlineStr">
        <is>
          <t>II 23,2a</t>
        </is>
      </c>
      <c r="M270" t="inlineStr"/>
      <c r="N270" t="inlineStr">
        <is>
          <t xml:space="preserve">Quadragesimale s. De preservatione hominis a peccato : </t>
        </is>
      </c>
      <c r="O270" t="inlineStr">
        <is>
          <t xml:space="preserve"> : </t>
        </is>
      </c>
      <c r="P270" t="inlineStr">
        <is>
          <t>X</t>
        </is>
      </c>
      <c r="Q270" t="inlineStr"/>
      <c r="R270" t="inlineStr">
        <is>
          <t>Ledereinband, Schließen, erhabene Buchbeschläge</t>
        </is>
      </c>
      <c r="S270" t="inlineStr">
        <is>
          <t>bis 25 cm</t>
        </is>
      </c>
      <c r="T270" t="inlineStr">
        <is>
          <t>80° bis 110°, einseitig digitalisierbar?</t>
        </is>
      </c>
      <c r="U270" t="inlineStr">
        <is>
          <t>hohler Rücken, welliger Buchblock, stark brüchiges Einbandmaterial</t>
        </is>
      </c>
      <c r="V270" t="inlineStr"/>
      <c r="W270" t="inlineStr">
        <is>
          <t>Kassette</t>
        </is>
      </c>
      <c r="X270" t="inlineStr">
        <is>
          <t>Nein</t>
        </is>
      </c>
      <c r="Y270" t="n">
        <v>3</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t>
        </is>
      </c>
      <c r="B271" t="b">
        <v>1</v>
      </c>
      <c r="C271" t="inlineStr"/>
      <c r="D271" t="inlineStr"/>
      <c r="E271" t="n">
        <v>276</v>
      </c>
      <c r="F271">
        <f>HYPERLINK("https://portal.dnb.de/opac.htm?method=simpleSearch&amp;cqlMode=true&amp;query=idn%3D1066968454", "Portal")</f>
        <v/>
      </c>
      <c r="G271" t="inlineStr">
        <is>
          <t>Aaf</t>
        </is>
      </c>
      <c r="H271" t="inlineStr">
        <is>
          <t>L-1470-315498706</t>
        </is>
      </c>
      <c r="I271" t="inlineStr">
        <is>
          <t>1066968454</t>
        </is>
      </c>
      <c r="J271" t="inlineStr">
        <is>
          <t>II 24,1a</t>
        </is>
      </c>
      <c r="K271" t="inlineStr">
        <is>
          <t>II 24,1a</t>
        </is>
      </c>
      <c r="L271" t="inlineStr">
        <is>
          <t>II 24,1a</t>
        </is>
      </c>
      <c r="M271" t="inlineStr"/>
      <c r="N271" t="inlineStr">
        <is>
          <t xml:space="preserve">De spiritualibus nuptiis sive Opusculum super Cantica canticorum : </t>
        </is>
      </c>
      <c r="O271" t="inlineStr">
        <is>
          <t xml:space="preserve"> : </t>
        </is>
      </c>
      <c r="P271" t="inlineStr">
        <is>
          <t>x</t>
        </is>
      </c>
      <c r="Q271" t="inlineStr"/>
      <c r="R271" t="inlineStr">
        <is>
          <t>Pergamentband</t>
        </is>
      </c>
      <c r="S271" t="inlineStr">
        <is>
          <t>bis 35 cm</t>
        </is>
      </c>
      <c r="T271" t="inlineStr">
        <is>
          <t>80° bis 110°, einseitig digitalisierbar?</t>
        </is>
      </c>
      <c r="U271" t="inlineStr">
        <is>
          <t>erhabene Illuminationen</t>
        </is>
      </c>
      <c r="V271" t="inlineStr">
        <is>
          <t>nicht auflegen</t>
        </is>
      </c>
      <c r="W271" t="inlineStr">
        <is>
          <t>Kassette</t>
        </is>
      </c>
      <c r="X271" t="inlineStr">
        <is>
          <t>Nein</t>
        </is>
      </c>
      <c r="Y271" t="n">
        <v>0</v>
      </c>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t>
        </is>
      </c>
      <c r="B272" t="b">
        <v>1</v>
      </c>
      <c r="C272" t="inlineStr"/>
      <c r="D272" t="inlineStr"/>
      <c r="E272" t="n">
        <v>277</v>
      </c>
      <c r="F272">
        <f>HYPERLINK("https://portal.dnb.de/opac.htm?method=simpleSearch&amp;cqlMode=true&amp;query=idn%3D1066966885", "Portal")</f>
        <v/>
      </c>
      <c r="G272" t="inlineStr">
        <is>
          <t>Aa</t>
        </is>
      </c>
      <c r="H272" t="inlineStr">
        <is>
          <t>L-1472-315497181</t>
        </is>
      </c>
      <c r="I272" t="inlineStr">
        <is>
          <t>1066966885</t>
        </is>
      </c>
      <c r="J272" t="inlineStr">
        <is>
          <t>II 24,1b</t>
        </is>
      </c>
      <c r="K272" t="inlineStr">
        <is>
          <t>II 24,1b</t>
        </is>
      </c>
      <c r="L272" t="inlineStr">
        <is>
          <t>II 24,1b</t>
        </is>
      </c>
      <c r="M272" t="inlineStr"/>
      <c r="N272" t="inlineStr">
        <is>
          <t xml:space="preserve">Breviloquium : </t>
        </is>
      </c>
      <c r="O272" t="inlineStr">
        <is>
          <t xml:space="preserve"> : </t>
        </is>
      </c>
      <c r="P272" t="inlineStr">
        <is>
          <t>X</t>
        </is>
      </c>
      <c r="Q272" t="inlineStr"/>
      <c r="R272" t="inlineStr">
        <is>
          <t>Halbledereinband, Schließen, erhabene Buchbeschläge</t>
        </is>
      </c>
      <c r="S272" t="inlineStr">
        <is>
          <t>bis 35 cm</t>
        </is>
      </c>
      <c r="T272" t="inlineStr">
        <is>
          <t>80° bis 110°, einseitig digitalisierbar?</t>
        </is>
      </c>
      <c r="U272" t="inlineStr">
        <is>
          <t>hohler Rücken, erhabene Illuminationen</t>
        </is>
      </c>
      <c r="V272" t="inlineStr">
        <is>
          <t>nicht auflegen</t>
        </is>
      </c>
      <c r="W272" t="inlineStr">
        <is>
          <t>Kassette</t>
        </is>
      </c>
      <c r="X272" t="inlineStr">
        <is>
          <t>Nein</t>
        </is>
      </c>
      <c r="Y272" t="n">
        <v>1</v>
      </c>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t>
        </is>
      </c>
      <c r="B273" t="b">
        <v>1</v>
      </c>
      <c r="C273" t="inlineStr">
        <is>
          <t>x</t>
        </is>
      </c>
      <c r="D273" t="inlineStr"/>
      <c r="E273" t="n">
        <v>278</v>
      </c>
      <c r="F273">
        <f>HYPERLINK("https://portal.dnb.de/opac.htm?method=simpleSearch&amp;cqlMode=true&amp;query=idn%3D1048306054", "Portal")</f>
        <v/>
      </c>
      <c r="G273" t="inlineStr">
        <is>
          <t>Aa</t>
        </is>
      </c>
      <c r="H273" t="inlineStr">
        <is>
          <t>L-1473-287114600</t>
        </is>
      </c>
      <c r="I273" t="inlineStr">
        <is>
          <t>1048306054</t>
        </is>
      </c>
      <c r="J273" t="inlineStr">
        <is>
          <t>II 24,1c</t>
        </is>
      </c>
      <c r="K273" t="inlineStr">
        <is>
          <t>II 24,1c</t>
        </is>
      </c>
      <c r="L273" t="inlineStr">
        <is>
          <t>II 24,1c -1</t>
        </is>
      </c>
      <c r="M273" t="inlineStr"/>
      <c r="N273" t="inlineStr">
        <is>
          <t xml:space="preserve">Pantheologia : </t>
        </is>
      </c>
      <c r="O273" t="inlineStr">
        <is>
          <t xml:space="preserve"> : </t>
        </is>
      </c>
      <c r="P273" t="inlineStr">
        <is>
          <t>X</t>
        </is>
      </c>
      <c r="Q273" t="inlineStr">
        <is>
          <t>15000,00 EUR</t>
        </is>
      </c>
      <c r="R273" t="inlineStr">
        <is>
          <t>Ledereinband, Schließen, erhabene Buchbeschläge</t>
        </is>
      </c>
      <c r="S273" t="inlineStr">
        <is>
          <t>bis 42 cm</t>
        </is>
      </c>
      <c r="T273" t="inlineStr">
        <is>
          <t>80° bis 110°, einseitig digitalisierbar?</t>
        </is>
      </c>
      <c r="U273" t="inlineStr">
        <is>
          <t>fester Rücken mit Schmuckprägung, erhabene Illuminationen, stark brüchiges Einbandmaterial</t>
        </is>
      </c>
      <c r="V273" t="inlineStr"/>
      <c r="W273" t="inlineStr"/>
      <c r="X273" t="inlineStr">
        <is>
          <t>Signaturfahne austauschen</t>
        </is>
      </c>
      <c r="Y273" t="n">
        <v>3</v>
      </c>
      <c r="Z273" t="inlineStr"/>
      <c r="AA273" t="inlineStr"/>
      <c r="AB273" t="inlineStr"/>
      <c r="AC273" t="inlineStr"/>
      <c r="AD273" t="inlineStr"/>
      <c r="AE273" t="inlineStr"/>
      <c r="AF273" t="inlineStr"/>
      <c r="AG273" t="inlineStr"/>
      <c r="AH273" t="inlineStr"/>
      <c r="AI273" t="inlineStr">
        <is>
          <t>L</t>
        </is>
      </c>
      <c r="AJ273" t="inlineStr"/>
      <c r="AK273" t="inlineStr">
        <is>
          <t>x</t>
        </is>
      </c>
      <c r="AL273" t="inlineStr"/>
      <c r="AM273" t="inlineStr">
        <is>
          <t>f/V</t>
        </is>
      </c>
      <c r="AN273" t="inlineStr"/>
      <c r="AO273" t="inlineStr"/>
      <c r="AP273" t="inlineStr"/>
      <c r="AQ273" t="inlineStr"/>
      <c r="AR273" t="inlineStr"/>
      <c r="AS273" t="inlineStr">
        <is>
          <t>Pa</t>
        </is>
      </c>
      <c r="AT273" t="inlineStr"/>
      <c r="AU273" t="inlineStr"/>
      <c r="AV273" t="inlineStr"/>
      <c r="AW273" t="inlineStr"/>
      <c r="AX273" t="inlineStr"/>
      <c r="AY273" t="inlineStr"/>
      <c r="AZ273" t="inlineStr"/>
      <c r="BA273" t="inlineStr"/>
      <c r="BB273" t="inlineStr"/>
      <c r="BC273" t="inlineStr">
        <is>
          <t>B/I/R</t>
        </is>
      </c>
      <c r="BD273" t="inlineStr">
        <is>
          <t>x</t>
        </is>
      </c>
      <c r="BE273" t="inlineStr"/>
      <c r="BF273" t="inlineStr"/>
      <c r="BG273" t="n">
        <v>45</v>
      </c>
      <c r="BH273" t="inlineStr"/>
      <c r="BI273" t="inlineStr"/>
      <c r="BJ273" t="inlineStr"/>
      <c r="BK273" t="inlineStr"/>
      <c r="BL273" t="inlineStr"/>
      <c r="BM273" t="inlineStr">
        <is>
          <t>ja vor</t>
        </is>
      </c>
      <c r="BN273" t="n">
        <v>11</v>
      </c>
      <c r="BO273" t="inlineStr"/>
      <c r="BP273" t="inlineStr"/>
      <c r="BQ273" t="inlineStr"/>
      <c r="BR273" t="inlineStr">
        <is>
          <t>x</t>
        </is>
      </c>
      <c r="BS273" t="inlineStr"/>
      <c r="BT273" t="inlineStr"/>
      <c r="BU273" t="inlineStr"/>
      <c r="BV273" t="inlineStr"/>
      <c r="BW273" t="inlineStr"/>
      <c r="BX273" t="inlineStr"/>
      <c r="BY273" t="inlineStr"/>
      <c r="BZ273" t="inlineStr">
        <is>
          <t>x</t>
        </is>
      </c>
      <c r="CA273" t="inlineStr">
        <is>
          <t>x</t>
        </is>
      </c>
      <c r="CB273" t="inlineStr">
        <is>
          <t>x</t>
        </is>
      </c>
      <c r="CC273" t="inlineStr"/>
      <c r="CD273" t="inlineStr">
        <is>
          <t>v</t>
        </is>
      </c>
      <c r="CE273" t="inlineStr"/>
      <c r="CF273" t="inlineStr"/>
      <c r="CG273" t="inlineStr"/>
      <c r="CH273" t="inlineStr"/>
      <c r="CI273" t="inlineStr"/>
      <c r="CJ273" t="inlineStr"/>
      <c r="CK273" t="inlineStr"/>
      <c r="CL273" t="inlineStr"/>
      <c r="CM273" t="n">
        <v>4</v>
      </c>
      <c r="CN273" t="inlineStr">
        <is>
          <t>Gelenk mit JP-Gewebe-Laminat stabilisieren, ggf. mit JP überfangen, Bundfelder oben und unten hohl belassen</t>
        </is>
      </c>
      <c r="CO273" t="inlineStr">
        <is>
          <t>x</t>
        </is>
      </c>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n">
        <v>7</v>
      </c>
      <c r="DG273" t="inlineStr">
        <is>
          <t>v.a. an Kopf und Fuß reinigen, Achtung: ÖW nur 45°</t>
        </is>
      </c>
    </row>
    <row r="274">
      <c r="A274" t="inlineStr">
        <is>
          <t>II</t>
        </is>
      </c>
      <c r="B274" t="b">
        <v>0</v>
      </c>
      <c r="C274" t="inlineStr">
        <is>
          <t>x</t>
        </is>
      </c>
      <c r="D274" t="inlineStr"/>
      <c r="E274" t="inlineStr"/>
      <c r="F274">
        <f>HYPERLINK("https://portal.dnb.de/opac.htm?method=simpleSearch&amp;cqlMode=true&amp;query=idn%3D", "Portal")</f>
        <v/>
      </c>
      <c r="G274" t="inlineStr"/>
      <c r="H274" t="inlineStr"/>
      <c r="I274" t="inlineStr"/>
      <c r="J274" t="inlineStr"/>
      <c r="K274" t="inlineStr"/>
      <c r="L274" t="inlineStr">
        <is>
          <t>II 24,1c -2</t>
        </is>
      </c>
      <c r="M274" t="inlineStr"/>
      <c r="N274" t="inlineStr"/>
      <c r="O274" t="inlineStr"/>
      <c r="P274" t="inlineStr">
        <is>
          <t>X</t>
        </is>
      </c>
      <c r="Q274" t="inlineStr"/>
      <c r="R274" t="inlineStr">
        <is>
          <t>Ledereinband, Schließen, erhabene Buchbeschläge</t>
        </is>
      </c>
      <c r="S274" t="inlineStr">
        <is>
          <t>bis 42 cm</t>
        </is>
      </c>
      <c r="T274" t="inlineStr">
        <is>
          <t>80° bis 110°, einseitig digitalisierbar?</t>
        </is>
      </c>
      <c r="U274" t="inlineStr">
        <is>
          <t>fester Rücken mit Schmuckprägung, erhabene Illuminationen, stark brüchiges Einbandmaterial</t>
        </is>
      </c>
      <c r="V274" t="inlineStr"/>
      <c r="W274" t="inlineStr"/>
      <c r="X274" t="inlineStr"/>
      <c r="Y274" t="n">
        <v>3</v>
      </c>
      <c r="Z274" t="inlineStr"/>
      <c r="AA274" t="inlineStr"/>
      <c r="AB274" t="inlineStr"/>
      <c r="AC274" t="inlineStr"/>
      <c r="AD274" t="inlineStr"/>
      <c r="AE274" t="inlineStr"/>
      <c r="AF274" t="inlineStr"/>
      <c r="AG274" t="inlineStr"/>
      <c r="AH274" t="inlineStr"/>
      <c r="AI274" t="inlineStr">
        <is>
          <t>L</t>
        </is>
      </c>
      <c r="AJ274" t="inlineStr"/>
      <c r="AK274" t="inlineStr">
        <is>
          <t>x</t>
        </is>
      </c>
      <c r="AL274" t="inlineStr"/>
      <c r="AM274" t="inlineStr">
        <is>
          <t>f/V</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is>
          <t>I/R</t>
        </is>
      </c>
      <c r="BD274" t="inlineStr">
        <is>
          <t>x</t>
        </is>
      </c>
      <c r="BE274" t="inlineStr"/>
      <c r="BF274" t="inlineStr"/>
      <c r="BG274" t="n">
        <v>60</v>
      </c>
      <c r="BH274" t="inlineStr"/>
      <c r="BI274" t="inlineStr"/>
      <c r="BJ274" t="inlineStr"/>
      <c r="BK274" t="inlineStr"/>
      <c r="BL274" t="inlineStr"/>
      <c r="BM274" t="inlineStr">
        <is>
          <t>ja vor</t>
        </is>
      </c>
      <c r="BN274" t="n">
        <v>3.5</v>
      </c>
      <c r="BO274" t="inlineStr"/>
      <c r="BP274" t="inlineStr"/>
      <c r="BQ274" t="inlineStr"/>
      <c r="BR274" t="inlineStr">
        <is>
          <t>x</t>
        </is>
      </c>
      <c r="BS274" t="inlineStr"/>
      <c r="BT274" t="inlineStr"/>
      <c r="BU274" t="inlineStr"/>
      <c r="BV274" t="inlineStr"/>
      <c r="BW274" t="inlineStr"/>
      <c r="BX274" t="inlineStr"/>
      <c r="BY274" t="inlineStr"/>
      <c r="BZ274" t="inlineStr">
        <is>
          <t>x</t>
        </is>
      </c>
      <c r="CA274" t="inlineStr">
        <is>
          <t>x</t>
        </is>
      </c>
      <c r="CB274" t="inlineStr">
        <is>
          <t>x</t>
        </is>
      </c>
      <c r="CC274" t="inlineStr"/>
      <c r="CD274" t="inlineStr">
        <is>
          <t>v</t>
        </is>
      </c>
      <c r="CE274" t="inlineStr"/>
      <c r="CF274" t="inlineStr"/>
      <c r="CG274" t="inlineStr"/>
      <c r="CH274" t="inlineStr"/>
      <c r="CI274" t="inlineStr"/>
      <c r="CJ274" t="inlineStr"/>
      <c r="CK274" t="inlineStr"/>
      <c r="CL274" t="inlineStr"/>
      <c r="CM274" t="n">
        <v>3.5</v>
      </c>
      <c r="CN274" t="inlineStr">
        <is>
          <t>Gelenk mit JP-Gewebe-Laminat stabilisieren, ggf. mit JP überfangen</t>
        </is>
      </c>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II</t>
        </is>
      </c>
      <c r="B275" t="b">
        <v>1</v>
      </c>
      <c r="C275" t="inlineStr"/>
      <c r="D275" t="inlineStr"/>
      <c r="E275" t="n">
        <v>279</v>
      </c>
      <c r="F275">
        <f>HYPERLINK("https://portal.dnb.de/opac.htm?method=simpleSearch&amp;cqlMode=true&amp;query=idn%3D1066968411", "Portal")</f>
        <v/>
      </c>
      <c r="G275" t="inlineStr">
        <is>
          <t>Aa</t>
        </is>
      </c>
      <c r="H275" t="inlineStr">
        <is>
          <t>L-1471-315498668</t>
        </is>
      </c>
      <c r="I275" t="inlineStr">
        <is>
          <t>1066968411</t>
        </is>
      </c>
      <c r="J275" t="inlineStr">
        <is>
          <t>II 24,1d</t>
        </is>
      </c>
      <c r="K275" t="inlineStr">
        <is>
          <t>II 24,1d</t>
        </is>
      </c>
      <c r="L275" t="inlineStr">
        <is>
          <t>II 24,1d</t>
        </is>
      </c>
      <c r="M275" t="inlineStr"/>
      <c r="N275" t="inlineStr">
        <is>
          <t xml:space="preserve">Conclusiones de diversis materiis moralibus sive De regulis mandatorum : </t>
        </is>
      </c>
      <c r="O275" t="inlineStr">
        <is>
          <t xml:space="preserve"> : </t>
        </is>
      </c>
      <c r="P275" t="inlineStr"/>
      <c r="Q275" t="inlineStr"/>
      <c r="R275" t="inlineStr">
        <is>
          <t>Pergamentband</t>
        </is>
      </c>
      <c r="S275" t="inlineStr">
        <is>
          <t>bis 35 cm</t>
        </is>
      </c>
      <c r="T275" t="inlineStr">
        <is>
          <t>nur sehr geringer Öffnungswinkel</t>
        </is>
      </c>
      <c r="U275" t="inlineStr">
        <is>
          <t>erhabene Illuminationen</t>
        </is>
      </c>
      <c r="V275" t="inlineStr">
        <is>
          <t>nicht auflegen</t>
        </is>
      </c>
      <c r="W275" t="inlineStr">
        <is>
          <t>Kassette</t>
        </is>
      </c>
      <c r="X275" t="inlineStr">
        <is>
          <t>Nein</t>
        </is>
      </c>
      <c r="Y275" t="n">
        <v>0</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t>
        </is>
      </c>
      <c r="B276" t="b">
        <v>1</v>
      </c>
      <c r="C276" t="inlineStr"/>
      <c r="D276" t="inlineStr"/>
      <c r="E276" t="n">
        <v>280</v>
      </c>
      <c r="F276">
        <f>HYPERLINK("https://portal.dnb.de/opac.htm?method=simpleSearch&amp;cqlMode=true&amp;query=idn%3D1066972532", "Portal")</f>
        <v/>
      </c>
      <c r="G276" t="inlineStr">
        <is>
          <t>Aa</t>
        </is>
      </c>
      <c r="H276" t="inlineStr">
        <is>
          <t>L-1474-315502959</t>
        </is>
      </c>
      <c r="I276" t="inlineStr">
        <is>
          <t>1066972532</t>
        </is>
      </c>
      <c r="J276" t="inlineStr">
        <is>
          <t>II 24,2a</t>
        </is>
      </c>
      <c r="K276" t="inlineStr">
        <is>
          <t>II 24,2a</t>
        </is>
      </c>
      <c r="L276" t="inlineStr">
        <is>
          <t>II 24,2a</t>
        </is>
      </c>
      <c r="M276" t="inlineStr"/>
      <c r="N276" t="inlineStr">
        <is>
          <t xml:space="preserve">Quaestiones de duodecim quodlibet : </t>
        </is>
      </c>
      <c r="O276" t="inlineStr">
        <is>
          <t xml:space="preserve"> : </t>
        </is>
      </c>
      <c r="P276" t="inlineStr"/>
      <c r="Q276" t="inlineStr"/>
      <c r="R276" t="inlineStr">
        <is>
          <t>Halbledereinband</t>
        </is>
      </c>
      <c r="S276" t="inlineStr">
        <is>
          <t>bis 42 cm</t>
        </is>
      </c>
      <c r="T276" t="inlineStr">
        <is>
          <t>80° bis 110°, einseitig digitalisierbar?</t>
        </is>
      </c>
      <c r="U276" t="inlineStr">
        <is>
          <t>fester Rücken mit Schmuckprägung, erhabene Illuminationen</t>
        </is>
      </c>
      <c r="V276" t="inlineStr">
        <is>
          <t>nicht auflegen</t>
        </is>
      </c>
      <c r="W276" t="inlineStr"/>
      <c r="X276" t="inlineStr">
        <is>
          <t>Signaturfahne austauschen</t>
        </is>
      </c>
      <c r="Y276" t="n">
        <v>0</v>
      </c>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t>
        </is>
      </c>
      <c r="B277" t="b">
        <v>1</v>
      </c>
      <c r="C277" t="inlineStr"/>
      <c r="D277" t="inlineStr"/>
      <c r="E277" t="n">
        <v>281</v>
      </c>
      <c r="F277">
        <f>HYPERLINK("https://portal.dnb.de/opac.htm?method=simpleSearch&amp;cqlMode=true&amp;query=idn%3D1067300988", "Portal")</f>
        <v/>
      </c>
      <c r="G277" t="inlineStr">
        <is>
          <t>Afl</t>
        </is>
      </c>
      <c r="H277" t="inlineStr">
        <is>
          <t>L-1475-316068608</t>
        </is>
      </c>
      <c r="I277" t="inlineStr">
        <is>
          <t>1067300988</t>
        </is>
      </c>
      <c r="J277" t="inlineStr">
        <is>
          <t>II 24,2ba - Fragm.</t>
        </is>
      </c>
      <c r="K277" t="inlineStr">
        <is>
          <t>II 24,2ba - Fragm.</t>
        </is>
      </c>
      <c r="L277" t="inlineStr">
        <is>
          <t>II 24,2ba - Fragm.</t>
        </is>
      </c>
      <c r="M277" t="inlineStr"/>
      <c r="N277" t="inlineStr">
        <is>
          <t>Der @Heiligen Leben</t>
        </is>
      </c>
      <c r="O277" t="inlineStr">
        <is>
          <t>2. : Sommerteil</t>
        </is>
      </c>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t>
        </is>
      </c>
      <c r="B278" t="b">
        <v>1</v>
      </c>
      <c r="C278" t="inlineStr"/>
      <c r="D278" t="inlineStr"/>
      <c r="E278" t="n">
        <v>282</v>
      </c>
      <c r="F278">
        <f>HYPERLINK("https://portal.dnb.de/opac.htm?method=simpleSearch&amp;cqlMode=true&amp;query=idn%3D1066970491", "Portal")</f>
        <v/>
      </c>
      <c r="G278" t="inlineStr">
        <is>
          <t>Aaf</t>
        </is>
      </c>
      <c r="H278" t="inlineStr">
        <is>
          <t>L-1476-315500859</t>
        </is>
      </c>
      <c r="I278" t="inlineStr">
        <is>
          <t>1066970491</t>
        </is>
      </c>
      <c r="J278" t="inlineStr">
        <is>
          <t>II 24,2c</t>
        </is>
      </c>
      <c r="K278" t="inlineStr">
        <is>
          <t>II 24,2c</t>
        </is>
      </c>
      <c r="L278" t="inlineStr">
        <is>
          <t>II 24,2c</t>
        </is>
      </c>
      <c r="M278" t="inlineStr"/>
      <c r="N278" t="inlineStr">
        <is>
          <t xml:space="preserve">Repertorium utriusque iuris : </t>
        </is>
      </c>
      <c r="O278" t="inlineStr">
        <is>
          <t xml:space="preserve"> : </t>
        </is>
      </c>
      <c r="P278" t="inlineStr">
        <is>
          <t>X</t>
        </is>
      </c>
      <c r="Q278" t="inlineStr"/>
      <c r="R278" t="inlineStr">
        <is>
          <t>Ledereinband, Schließen, erhabene Buchbeschläge</t>
        </is>
      </c>
      <c r="S278" t="inlineStr">
        <is>
          <t>bis 42 cm</t>
        </is>
      </c>
      <c r="T278" t="inlineStr">
        <is>
          <t>80° bis 110°, einseitig digitalisierbar?</t>
        </is>
      </c>
      <c r="U278" t="inlineStr">
        <is>
          <t>fester Rücken mit Schmuckprägung</t>
        </is>
      </c>
      <c r="V278" t="inlineStr"/>
      <c r="W278" t="inlineStr"/>
      <c r="X278" t="inlineStr"/>
      <c r="Y278" t="n">
        <v>0</v>
      </c>
      <c r="Z278" t="inlineStr"/>
      <c r="AA278" t="inlineStr">
        <is>
          <t>18 cm dick</t>
        </is>
      </c>
      <c r="AB278" t="inlineStr"/>
      <c r="AC278" t="inlineStr"/>
      <c r="AD278" t="inlineStr"/>
      <c r="AE278" t="inlineStr"/>
      <c r="AF278" t="inlineStr"/>
      <c r="AG278" t="inlineStr">
        <is>
          <t>x</t>
        </is>
      </c>
      <c r="AH278" t="inlineStr"/>
      <c r="AI278" t="inlineStr">
        <is>
          <t>HD</t>
        </is>
      </c>
      <c r="AJ278" t="inlineStr"/>
      <c r="AK278" t="inlineStr">
        <is>
          <t>x</t>
        </is>
      </c>
      <c r="AL278" t="inlineStr"/>
      <c r="AM278" t="inlineStr">
        <is>
          <t>h</t>
        </is>
      </c>
      <c r="AN278" t="inlineStr"/>
      <c r="AO278" t="inlineStr"/>
      <c r="AP278" t="inlineStr"/>
      <c r="AQ278" t="inlineStr"/>
      <c r="AR278" t="inlineStr"/>
      <c r="AS278" t="inlineStr">
        <is>
          <t>Pa</t>
        </is>
      </c>
      <c r="AT278" t="inlineStr"/>
      <c r="AU278" t="inlineStr"/>
      <c r="AV278" t="inlineStr"/>
      <c r="AW278" t="inlineStr"/>
      <c r="AX278" t="inlineStr">
        <is>
          <t>x</t>
        </is>
      </c>
      <c r="AY278" t="inlineStr"/>
      <c r="AZ278" t="inlineStr"/>
      <c r="BA278" t="inlineStr"/>
      <c r="BB278" t="inlineStr"/>
      <c r="BC278" t="inlineStr"/>
      <c r="BD278" t="inlineStr"/>
      <c r="BE278" t="inlineStr"/>
      <c r="BF278" t="inlineStr"/>
      <c r="BG278" t="n">
        <v>110</v>
      </c>
      <c r="BH278" t="inlineStr"/>
      <c r="BI278" t="inlineStr"/>
      <c r="BJ278" t="inlineStr"/>
      <c r="BK278" t="inlineStr"/>
      <c r="BL278" t="inlineStr"/>
      <c r="BM278" t="inlineStr">
        <is>
          <t>n</t>
        </is>
      </c>
      <c r="BN278" t="n">
        <v>0</v>
      </c>
      <c r="BO278" t="inlineStr"/>
      <c r="BP278" t="inlineStr">
        <is>
          <t>Wellpappe</t>
        </is>
      </c>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II</t>
        </is>
      </c>
      <c r="B279" t="b">
        <v>1</v>
      </c>
      <c r="C279" t="inlineStr"/>
      <c r="D279" t="inlineStr"/>
      <c r="E279" t="n">
        <v>283</v>
      </c>
      <c r="F279">
        <f>HYPERLINK("https://portal.dnb.de/opac.htm?method=simpleSearch&amp;cqlMode=true&amp;query=idn%3D106696646X", "Portal")</f>
        <v/>
      </c>
      <c r="G279" t="inlineStr">
        <is>
          <t>Aaf</t>
        </is>
      </c>
      <c r="H279" t="inlineStr">
        <is>
          <t>L-1475-315496754</t>
        </is>
      </c>
      <c r="I279" t="inlineStr">
        <is>
          <t>106696646X</t>
        </is>
      </c>
      <c r="J279" t="inlineStr">
        <is>
          <t>II 24,3 a</t>
        </is>
      </c>
      <c r="K279" t="inlineStr">
        <is>
          <t>II 24,3 a</t>
        </is>
      </c>
      <c r="L279" t="inlineStr">
        <is>
          <t>II 24,3 a</t>
        </is>
      </c>
      <c r="M279" t="inlineStr"/>
      <c r="N279" t="inlineStr">
        <is>
          <t xml:space="preserve">Biblia, lat. : </t>
        </is>
      </c>
      <c r="O279" t="inlineStr">
        <is>
          <t xml:space="preserve"> : </t>
        </is>
      </c>
      <c r="P279" t="inlineStr">
        <is>
          <t>X</t>
        </is>
      </c>
      <c r="Q279" t="inlineStr"/>
      <c r="R279" t="inlineStr">
        <is>
          <t>Halbledereinband, Schließen, erhabene Buchbeschläge</t>
        </is>
      </c>
      <c r="S279" t="inlineStr">
        <is>
          <t>bis 42 cm</t>
        </is>
      </c>
      <c r="T279" t="inlineStr">
        <is>
          <t>nur sehr geringer Öffnungswinkel</t>
        </is>
      </c>
      <c r="U279" t="inlineStr">
        <is>
          <t>fester Rücken mit Schmuckprägung, erhabene Illuminationen</t>
        </is>
      </c>
      <c r="V279" t="inlineStr">
        <is>
          <t>nicht auflegen</t>
        </is>
      </c>
      <c r="W279" t="inlineStr"/>
      <c r="X279" t="inlineStr"/>
      <c r="Y279" t="n">
        <v>0</v>
      </c>
      <c r="Z279" t="inlineStr"/>
      <c r="AA279" t="inlineStr">
        <is>
          <t>Holzdeckel</t>
        </is>
      </c>
      <c r="AB279" t="inlineStr"/>
      <c r="AC279" t="inlineStr"/>
      <c r="AD279" t="inlineStr"/>
      <c r="AE279" t="inlineStr"/>
      <c r="AF279" t="inlineStr"/>
      <c r="AG279" t="inlineStr">
        <is>
          <t>x</t>
        </is>
      </c>
      <c r="AH279" t="inlineStr"/>
      <c r="AI279" t="inlineStr">
        <is>
          <t>HD</t>
        </is>
      </c>
      <c r="AJ279" t="inlineStr"/>
      <c r="AK279" t="inlineStr">
        <is>
          <t>x</t>
        </is>
      </c>
      <c r="AL279" t="inlineStr"/>
      <c r="AM279" t="inlineStr">
        <is>
          <t>h</t>
        </is>
      </c>
      <c r="AN279" t="inlineStr"/>
      <c r="AO279" t="inlineStr"/>
      <c r="AP279" t="inlineStr"/>
      <c r="AQ279" t="inlineStr">
        <is>
          <t>x</t>
        </is>
      </c>
      <c r="AR279" t="inlineStr"/>
      <c r="AS279" t="inlineStr">
        <is>
          <t>Pa</t>
        </is>
      </c>
      <c r="AT279" t="inlineStr"/>
      <c r="AU279" t="inlineStr"/>
      <c r="AV279" t="inlineStr"/>
      <c r="AW279" t="inlineStr"/>
      <c r="AX279" t="inlineStr">
        <is>
          <t>x</t>
        </is>
      </c>
      <c r="AY279" t="inlineStr"/>
      <c r="AZ279" t="inlineStr"/>
      <c r="BA279" t="inlineStr"/>
      <c r="BB279" t="inlineStr"/>
      <c r="BC279" t="inlineStr">
        <is>
          <t>I/R</t>
        </is>
      </c>
      <c r="BD279" t="inlineStr">
        <is>
          <t>x</t>
        </is>
      </c>
      <c r="BE279" t="inlineStr"/>
      <c r="BF279" t="inlineStr"/>
      <c r="BG279" t="n">
        <v>110</v>
      </c>
      <c r="BH279" t="inlineStr"/>
      <c r="BI279" t="inlineStr"/>
      <c r="BJ279" t="inlineStr"/>
      <c r="BK279" t="inlineStr"/>
      <c r="BL279" t="inlineStr"/>
      <c r="BM279" t="inlineStr">
        <is>
          <t>n</t>
        </is>
      </c>
      <c r="BN279" t="n">
        <v>0</v>
      </c>
      <c r="BO279" t="inlineStr"/>
      <c r="BP279" t="inlineStr">
        <is>
          <t>Wellpappe</t>
        </is>
      </c>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t>
        </is>
      </c>
      <c r="B280" t="b">
        <v>1</v>
      </c>
      <c r="C280" t="inlineStr">
        <is>
          <t>x</t>
        </is>
      </c>
      <c r="D280" t="inlineStr"/>
      <c r="E280" t="n">
        <v>284</v>
      </c>
      <c r="F280">
        <f>HYPERLINK("https://portal.dnb.de/opac.htm?method=simpleSearch&amp;cqlMode=true&amp;query=idn%3D1066967873", "Portal")</f>
        <v/>
      </c>
      <c r="G280" t="inlineStr">
        <is>
          <t>Aaf</t>
        </is>
      </c>
      <c r="H280" t="inlineStr">
        <is>
          <t>L-1481-315498129</t>
        </is>
      </c>
      <c r="I280" t="inlineStr">
        <is>
          <t>1066967873</t>
        </is>
      </c>
      <c r="J280" t="inlineStr">
        <is>
          <t>II 24,3 k</t>
        </is>
      </c>
      <c r="K280" t="inlineStr">
        <is>
          <t>II 24,3 k</t>
        </is>
      </c>
      <c r="L280" t="inlineStr">
        <is>
          <t>II 24,3 k</t>
        </is>
      </c>
      <c r="M280" t="inlineStr"/>
      <c r="N280" t="inlineStr">
        <is>
          <t xml:space="preserve">Quaestiones in quattuor libros Sententiarum : </t>
        </is>
      </c>
      <c r="O280" t="inlineStr">
        <is>
          <t xml:space="preserve"> : </t>
        </is>
      </c>
      <c r="P280" t="inlineStr">
        <is>
          <t>X</t>
        </is>
      </c>
      <c r="Q280" t="inlineStr">
        <is>
          <t>15275,00 USD</t>
        </is>
      </c>
      <c r="R280" t="inlineStr">
        <is>
          <t>Halbledereinband, Schließen, erhabene Buchbeschläge</t>
        </is>
      </c>
      <c r="S280" t="inlineStr">
        <is>
          <t>bis 42 cm</t>
        </is>
      </c>
      <c r="T280" t="inlineStr">
        <is>
          <t>80° bis 110°, einseitig digitalisierbar?</t>
        </is>
      </c>
      <c r="U280" t="inlineStr">
        <is>
          <t>hohler Rücken, erhabene Illuminationen</t>
        </is>
      </c>
      <c r="V280" t="inlineStr">
        <is>
          <t>nicht auflegen</t>
        </is>
      </c>
      <c r="W280" t="inlineStr"/>
      <c r="X280" t="inlineStr">
        <is>
          <t>Signaturfahne austauschen</t>
        </is>
      </c>
      <c r="Y280" t="n">
        <v>1</v>
      </c>
      <c r="Z280" t="inlineStr"/>
      <c r="AA280" t="inlineStr"/>
      <c r="AB280" t="inlineStr"/>
      <c r="AC280" t="inlineStr"/>
      <c r="AD280" t="inlineStr"/>
      <c r="AE280" t="inlineStr"/>
      <c r="AF280" t="inlineStr"/>
      <c r="AG280" t="inlineStr"/>
      <c r="AH280" t="inlineStr"/>
      <c r="AI280" t="inlineStr">
        <is>
          <t>HL</t>
        </is>
      </c>
      <c r="AJ280" t="inlineStr"/>
      <c r="AK280" t="inlineStr">
        <is>
          <t>x</t>
        </is>
      </c>
      <c r="AL280" t="inlineStr"/>
      <c r="AM280" t="inlineStr">
        <is>
          <t>h/E</t>
        </is>
      </c>
      <c r="AN280" t="inlineStr"/>
      <c r="AO280" t="inlineStr"/>
      <c r="AP280" t="inlineStr"/>
      <c r="AQ280" t="inlineStr"/>
      <c r="AR280" t="inlineStr"/>
      <c r="AS280" t="inlineStr">
        <is>
          <t>Pa</t>
        </is>
      </c>
      <c r="AT280" t="inlineStr"/>
      <c r="AU280" t="inlineStr"/>
      <c r="AV280" t="inlineStr"/>
      <c r="AW280" t="inlineStr"/>
      <c r="AX280" t="inlineStr"/>
      <c r="AY280" t="inlineStr"/>
      <c r="AZ280" t="inlineStr"/>
      <c r="BA280" t="inlineStr"/>
      <c r="BB280" t="inlineStr"/>
      <c r="BC280" t="inlineStr">
        <is>
          <t>I/R</t>
        </is>
      </c>
      <c r="BD280" t="inlineStr">
        <is>
          <t>x</t>
        </is>
      </c>
      <c r="BE280" t="inlineStr"/>
      <c r="BF280" t="inlineStr"/>
      <c r="BG280" t="n">
        <v>110</v>
      </c>
      <c r="BH280" t="inlineStr"/>
      <c r="BI280" t="inlineStr"/>
      <c r="BJ280" t="inlineStr"/>
      <c r="BK280" t="inlineStr"/>
      <c r="BL280" t="inlineStr"/>
      <c r="BM280" t="inlineStr">
        <is>
          <t>ja vor</t>
        </is>
      </c>
      <c r="BN280" t="n">
        <v>3</v>
      </c>
      <c r="BO280" t="inlineStr"/>
      <c r="BP280" t="inlineStr">
        <is>
          <t>Wellpappe</t>
        </is>
      </c>
      <c r="BQ280" t="inlineStr"/>
      <c r="BR280" t="inlineStr"/>
      <c r="BS280" t="inlineStr"/>
      <c r="BT280" t="inlineStr"/>
      <c r="BU280" t="inlineStr"/>
      <c r="BV280" t="inlineStr"/>
      <c r="BW280" t="inlineStr"/>
      <c r="BX280" t="inlineStr"/>
      <c r="BY280" t="inlineStr"/>
      <c r="BZ280" t="inlineStr">
        <is>
          <t>x</t>
        </is>
      </c>
      <c r="CA280" t="inlineStr">
        <is>
          <t>x</t>
        </is>
      </c>
      <c r="CB280" t="inlineStr">
        <is>
          <t>x</t>
        </is>
      </c>
      <c r="CC280" t="inlineStr"/>
      <c r="CD280" t="inlineStr">
        <is>
          <t>v</t>
        </is>
      </c>
      <c r="CE280" t="inlineStr"/>
      <c r="CF280" t="inlineStr"/>
      <c r="CG280" t="inlineStr"/>
      <c r="CH280" t="inlineStr"/>
      <c r="CI280" t="inlineStr"/>
      <c r="CJ280" t="inlineStr"/>
      <c r="CK280" t="inlineStr"/>
      <c r="CL280" t="inlineStr"/>
      <c r="CM280" t="n">
        <v>2</v>
      </c>
      <c r="CN280" t="inlineStr">
        <is>
          <t>loses Leder zurückkleben, ggf. mit JP überfangen, Beschläge hinten: im Deckel Nieten einschlagen oder abfeilen (verletzen Papier)</t>
        </is>
      </c>
      <c r="CO280" t="inlineStr">
        <is>
          <t>x</t>
        </is>
      </c>
      <c r="CP280" t="inlineStr"/>
      <c r="CQ280" t="inlineStr"/>
      <c r="CR280" t="inlineStr"/>
      <c r="CS280" t="inlineStr"/>
      <c r="CT280" t="inlineStr"/>
      <c r="CU280" t="inlineStr"/>
      <c r="CV280" t="inlineStr">
        <is>
          <t>x</t>
        </is>
      </c>
      <c r="CW280" t="inlineStr"/>
      <c r="CX280" t="inlineStr"/>
      <c r="CY280" t="inlineStr"/>
      <c r="CZ280" t="inlineStr"/>
      <c r="DA280" t="inlineStr"/>
      <c r="DB280" t="inlineStr"/>
      <c r="DC280" t="inlineStr"/>
      <c r="DD280" t="inlineStr"/>
      <c r="DE280" t="inlineStr"/>
      <c r="DF280" t="n">
        <v>1</v>
      </c>
      <c r="DG280" t="inlineStr">
        <is>
          <t>ersten Seiten trocken reinigen, Risse schließen im Vorsatz</t>
        </is>
      </c>
    </row>
    <row r="281">
      <c r="A281" t="inlineStr">
        <is>
          <t>II</t>
        </is>
      </c>
      <c r="B281" t="b">
        <v>1</v>
      </c>
      <c r="C281" t="inlineStr"/>
      <c r="D281" t="inlineStr"/>
      <c r="E281" t="n">
        <v>286</v>
      </c>
      <c r="F281">
        <f>HYPERLINK("https://portal.dnb.de/opac.htm?method=simpleSearch&amp;cqlMode=true&amp;query=idn%3D1067336133", "Portal")</f>
        <v/>
      </c>
      <c r="G281" t="inlineStr">
        <is>
          <t>Afl</t>
        </is>
      </c>
      <c r="H281" t="inlineStr">
        <is>
          <t>L-1478-315495537</t>
        </is>
      </c>
      <c r="I281" t="inlineStr">
        <is>
          <t>1067336133</t>
        </is>
      </c>
      <c r="J281" t="inlineStr">
        <is>
          <t>II 24,3b</t>
        </is>
      </c>
      <c r="K281" t="inlineStr">
        <is>
          <t>II 24,3b</t>
        </is>
      </c>
      <c r="L281" t="inlineStr">
        <is>
          <t>II 24,3b</t>
        </is>
      </c>
      <c r="M281" t="inlineStr"/>
      <c r="N281" t="inlineStr">
        <is>
          <t>Summa theologica</t>
        </is>
      </c>
      <c r="O281" t="inlineStr">
        <is>
          <t xml:space="preserve">P.1. : </t>
        </is>
      </c>
      <c r="P281" t="inlineStr">
        <is>
          <t>X</t>
        </is>
      </c>
      <c r="Q281" t="inlineStr"/>
      <c r="R281" t="inlineStr">
        <is>
          <t>Halbledereinband, Schließen, erhabene Buchbeschläge</t>
        </is>
      </c>
      <c r="S281" t="inlineStr">
        <is>
          <t>&gt; 42 cm</t>
        </is>
      </c>
      <c r="T281" t="inlineStr">
        <is>
          <t>180°</t>
        </is>
      </c>
      <c r="U281" t="inlineStr">
        <is>
          <t>hohler Rücken, erhabene Illuminationen</t>
        </is>
      </c>
      <c r="V281" t="inlineStr">
        <is>
          <t>nicht auflegen</t>
        </is>
      </c>
      <c r="W281" t="inlineStr"/>
      <c r="X281" t="inlineStr">
        <is>
          <t>Signaturfahne austauschen</t>
        </is>
      </c>
      <c r="Y281" t="n">
        <v>1</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t>
        </is>
      </c>
      <c r="B282" t="b">
        <v>1</v>
      </c>
      <c r="C282" t="inlineStr"/>
      <c r="D282" t="inlineStr"/>
      <c r="E282" t="n">
        <v>287</v>
      </c>
      <c r="F282">
        <f>HYPERLINK("https://portal.dnb.de/opac.htm?method=simpleSearch&amp;cqlMode=true&amp;query=idn%3D1067336222", "Portal")</f>
        <v/>
      </c>
      <c r="G282" t="inlineStr">
        <is>
          <t>Afl</t>
        </is>
      </c>
      <c r="H282" t="inlineStr">
        <is>
          <t>L-1478-315495545</t>
        </is>
      </c>
      <c r="I282" t="inlineStr">
        <is>
          <t>1067336222</t>
        </is>
      </c>
      <c r="J282" t="inlineStr">
        <is>
          <t>II 24,3c</t>
        </is>
      </c>
      <c r="K282" t="inlineStr">
        <is>
          <t>II 24,3c</t>
        </is>
      </c>
      <c r="L282" t="inlineStr">
        <is>
          <t>II 24,3c</t>
        </is>
      </c>
      <c r="M282" t="inlineStr"/>
      <c r="N282" t="inlineStr">
        <is>
          <t>Summa theologica</t>
        </is>
      </c>
      <c r="O282" t="inlineStr">
        <is>
          <t xml:space="preserve">P.2. : </t>
        </is>
      </c>
      <c r="P282" t="inlineStr">
        <is>
          <t>X</t>
        </is>
      </c>
      <c r="Q282" t="inlineStr"/>
      <c r="R282" t="inlineStr">
        <is>
          <t>Halbledereinband, Schließen, erhabene Buchbeschläge</t>
        </is>
      </c>
      <c r="S282" t="inlineStr">
        <is>
          <t>&gt; 42 cm</t>
        </is>
      </c>
      <c r="T282" t="inlineStr">
        <is>
          <t>180°</t>
        </is>
      </c>
      <c r="U282" t="inlineStr">
        <is>
          <t>hohler Rücken, erhabene Illuminationen</t>
        </is>
      </c>
      <c r="V282" t="inlineStr"/>
      <c r="W282" t="inlineStr"/>
      <c r="X282" t="inlineStr">
        <is>
          <t>Signaturfahne austauschen</t>
        </is>
      </c>
      <c r="Y282" t="n">
        <v>0</v>
      </c>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t>
        </is>
      </c>
      <c r="B283" t="b">
        <v>1</v>
      </c>
      <c r="C283" t="inlineStr"/>
      <c r="D283" t="inlineStr"/>
      <c r="E283" t="inlineStr"/>
      <c r="F283">
        <f>HYPERLINK("https://portal.dnb.de/opac.htm?method=simpleSearch&amp;cqlMode=true&amp;query=idn%3D1268961159", "Portal")</f>
        <v/>
      </c>
      <c r="G283" t="inlineStr">
        <is>
          <t>Qd</t>
        </is>
      </c>
      <c r="H283" t="inlineStr">
        <is>
          <t>L-1472-834344017</t>
        </is>
      </c>
      <c r="I283" t="inlineStr">
        <is>
          <t>1268961159</t>
        </is>
      </c>
      <c r="J283" t="inlineStr">
        <is>
          <t>II 24,3c kursiv</t>
        </is>
      </c>
      <c r="K283" t="inlineStr">
        <is>
          <t>II 24,3c kursiv</t>
        </is>
      </c>
      <c r="L283" t="inlineStr">
        <is>
          <t>II 24,3c kursiv</t>
        </is>
      </c>
      <c r="M283" t="inlineStr"/>
      <c r="N283" t="inlineStr">
        <is>
          <t xml:space="preserve">Sammelband mit zwei Inkunabeln, gedruckt in Nürnberg bei Anton Koberger : </t>
        </is>
      </c>
      <c r="O283" t="inlineStr">
        <is>
          <t xml:space="preserve"> : </t>
        </is>
      </c>
      <c r="P283" t="inlineStr">
        <is>
          <t>X</t>
        </is>
      </c>
      <c r="Q283" t="inlineStr"/>
      <c r="R283" t="inlineStr">
        <is>
          <t>Halbledereinband, Schließen, erhabene Buchbeschläge</t>
        </is>
      </c>
      <c r="S283" t="inlineStr">
        <is>
          <t>bis 35 cm</t>
        </is>
      </c>
      <c r="T283" t="inlineStr">
        <is>
          <t>80° bis 110°, einseitig digitalisierbar?</t>
        </is>
      </c>
      <c r="U283" t="inlineStr">
        <is>
          <t>welliger Buchblock, erhabene Illuminationen</t>
        </is>
      </c>
      <c r="V283" t="inlineStr">
        <is>
          <t>nicht auflegen</t>
        </is>
      </c>
      <c r="W283" t="inlineStr">
        <is>
          <t>Mappe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t>
        </is>
      </c>
      <c r="B284" t="b">
        <v>1</v>
      </c>
      <c r="C284" t="inlineStr">
        <is>
          <t>x</t>
        </is>
      </c>
      <c r="D284" t="inlineStr"/>
      <c r="E284" t="n">
        <v>290</v>
      </c>
      <c r="F284">
        <f>HYPERLINK("https://portal.dnb.de/opac.htm?method=simpleSearch&amp;cqlMode=true&amp;query=idn%3D1067336257", "Portal")</f>
        <v/>
      </c>
      <c r="G284" t="inlineStr">
        <is>
          <t>Afl</t>
        </is>
      </c>
      <c r="H284" t="inlineStr">
        <is>
          <t>L-1478-315495553</t>
        </is>
      </c>
      <c r="I284" t="inlineStr">
        <is>
          <t>1067336257</t>
        </is>
      </c>
      <c r="J284" t="inlineStr">
        <is>
          <t>II 24,3d</t>
        </is>
      </c>
      <c r="K284" t="inlineStr">
        <is>
          <t>II 24,3d</t>
        </is>
      </c>
      <c r="L284" t="inlineStr">
        <is>
          <t>II 24,3d</t>
        </is>
      </c>
      <c r="M284" t="inlineStr"/>
      <c r="N284" t="inlineStr">
        <is>
          <t>Summa theologica</t>
        </is>
      </c>
      <c r="O284" t="inlineStr">
        <is>
          <t xml:space="preserve">P.3. : </t>
        </is>
      </c>
      <c r="P284" t="inlineStr">
        <is>
          <t>X</t>
        </is>
      </c>
      <c r="Q284" t="inlineStr">
        <is>
          <t>2700,00 EUR</t>
        </is>
      </c>
      <c r="R284" t="inlineStr">
        <is>
          <t>Halbledereinband, Schließen, erhabene Buchbeschläge</t>
        </is>
      </c>
      <c r="S284" t="inlineStr">
        <is>
          <t>&gt; 42 cm</t>
        </is>
      </c>
      <c r="T284" t="inlineStr">
        <is>
          <t>nur sehr geringer Öffnungswinkel</t>
        </is>
      </c>
      <c r="U284" t="inlineStr">
        <is>
          <t>erhabene Illuminationen</t>
        </is>
      </c>
      <c r="V284" t="inlineStr"/>
      <c r="W284" t="inlineStr"/>
      <c r="X284" t="inlineStr">
        <is>
          <t>Signaturfahne austauschen</t>
        </is>
      </c>
      <c r="Y284" t="n">
        <v>1</v>
      </c>
      <c r="Z284" t="inlineStr"/>
      <c r="AA284" t="inlineStr"/>
      <c r="AB284" t="inlineStr"/>
      <c r="AC284" t="inlineStr"/>
      <c r="AD284" t="inlineStr"/>
      <c r="AE284" t="inlineStr"/>
      <c r="AF284" t="inlineStr"/>
      <c r="AG284" t="inlineStr"/>
      <c r="AH284" t="inlineStr"/>
      <c r="AI284" t="inlineStr">
        <is>
          <t>HD</t>
        </is>
      </c>
      <c r="AJ284" t="inlineStr"/>
      <c r="AK284" t="inlineStr">
        <is>
          <t>x</t>
        </is>
      </c>
      <c r="AL284" t="inlineStr"/>
      <c r="AM284" t="inlineStr">
        <is>
          <t>h</t>
        </is>
      </c>
      <c r="AN284" t="inlineStr"/>
      <c r="AO284" t="inlineStr"/>
      <c r="AP284" t="inlineStr"/>
      <c r="AQ284" t="inlineStr"/>
      <c r="AR284" t="inlineStr"/>
      <c r="AS284" t="inlineStr">
        <is>
          <t>Pa</t>
        </is>
      </c>
      <c r="AT284" t="inlineStr"/>
      <c r="AU284" t="inlineStr"/>
      <c r="AV284" t="inlineStr"/>
      <c r="AW284" t="inlineStr">
        <is>
          <t>x</t>
        </is>
      </c>
      <c r="AX284" t="inlineStr">
        <is>
          <t>x</t>
        </is>
      </c>
      <c r="AY284" t="inlineStr"/>
      <c r="AZ284" t="inlineStr"/>
      <c r="BA284" t="inlineStr"/>
      <c r="BB284" t="inlineStr"/>
      <c r="BC284" t="inlineStr">
        <is>
          <t>I/R</t>
        </is>
      </c>
      <c r="BD284" t="inlineStr">
        <is>
          <t>x</t>
        </is>
      </c>
      <c r="BE284" t="inlineStr"/>
      <c r="BF284" t="inlineStr"/>
      <c r="BG284" t="n">
        <v>110</v>
      </c>
      <c r="BH284" t="inlineStr"/>
      <c r="BI284" t="inlineStr"/>
      <c r="BJ284" t="inlineStr"/>
      <c r="BK284" t="inlineStr"/>
      <c r="BL284" t="inlineStr"/>
      <c r="BM284" t="inlineStr">
        <is>
          <t>ja vor</t>
        </is>
      </c>
      <c r="BN284" t="n">
        <v>6.5</v>
      </c>
      <c r="BO284" t="inlineStr"/>
      <c r="BP284" t="inlineStr"/>
      <c r="BQ284" t="inlineStr"/>
      <c r="BR284" t="inlineStr">
        <is>
          <t>x</t>
        </is>
      </c>
      <c r="BS284" t="inlineStr"/>
      <c r="BT284" t="inlineStr"/>
      <c r="BU284" t="inlineStr"/>
      <c r="BV284" t="inlineStr"/>
      <c r="BW284" t="inlineStr"/>
      <c r="BX284" t="inlineStr"/>
      <c r="BY284" t="inlineStr"/>
      <c r="BZ284" t="inlineStr">
        <is>
          <t>x</t>
        </is>
      </c>
      <c r="CA284" t="inlineStr">
        <is>
          <t>x</t>
        </is>
      </c>
      <c r="CB284" t="inlineStr">
        <is>
          <t>x</t>
        </is>
      </c>
      <c r="CC284" t="inlineStr"/>
      <c r="CD284" t="inlineStr">
        <is>
          <t>v/h</t>
        </is>
      </c>
      <c r="CE284" t="inlineStr"/>
      <c r="CF284" t="inlineStr"/>
      <c r="CG284" t="inlineStr"/>
      <c r="CH284" t="inlineStr">
        <is>
          <t>x, ist locker</t>
        </is>
      </c>
      <c r="CI284" t="inlineStr"/>
      <c r="CJ284" t="inlineStr"/>
      <c r="CK284" t="inlineStr"/>
      <c r="CL284" t="inlineStr"/>
      <c r="CM284" t="n">
        <v>5</v>
      </c>
      <c r="CN284" t="inlineStr">
        <is>
          <t>Gelenke vorn komplett durchtrennen, JP unterlegen, Gelenk hinten teilweise mit JP unterlegen, ggf. Gelenke überfangen, Rücken oben und unten sichern mit JP, Gelenk vorn innen sichern, Schließenteile am RD fixieren</t>
        </is>
      </c>
      <c r="CO284" t="inlineStr">
        <is>
          <t>x</t>
        </is>
      </c>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n">
        <v>1.5</v>
      </c>
      <c r="DG284" t="inlineStr">
        <is>
          <t>ersten Seiten trocken reinigen, Abdeckungen bei Initialen (2 Stück vorn) erneueren (glattes JP, Silversave?)</t>
        </is>
      </c>
    </row>
    <row r="285">
      <c r="A285" t="inlineStr">
        <is>
          <t>II</t>
        </is>
      </c>
      <c r="B285" t="b">
        <v>1</v>
      </c>
      <c r="C285" t="inlineStr"/>
      <c r="D285" t="inlineStr"/>
      <c r="E285" t="n">
        <v>291</v>
      </c>
      <c r="F285">
        <f>HYPERLINK("https://portal.dnb.de/opac.htm?method=simpleSearch&amp;cqlMode=true&amp;query=idn%3D1067339086", "Portal")</f>
        <v/>
      </c>
      <c r="G285" t="inlineStr">
        <is>
          <t>Aal</t>
        </is>
      </c>
      <c r="H285" t="inlineStr">
        <is>
          <t>L-1480-316101710</t>
        </is>
      </c>
      <c r="I285" t="inlineStr">
        <is>
          <t>1067339086</t>
        </is>
      </c>
      <c r="J285" t="inlineStr">
        <is>
          <t>II 24,3d  kursiv</t>
        </is>
      </c>
      <c r="K285" t="inlineStr">
        <is>
          <t>II 24,3d kursiv</t>
        </is>
      </c>
      <c r="L285" t="inlineStr">
        <is>
          <t>II 24,3d kursiv</t>
        </is>
      </c>
      <c r="M285" t="inlineStr"/>
      <c r="N285" t="inlineStr">
        <is>
          <t xml:space="preserve">De obsidione urbis Rhodiae ad Fridericum imperatorem : </t>
        </is>
      </c>
      <c r="O285" t="inlineStr">
        <is>
          <t xml:space="preserve"> : </t>
        </is>
      </c>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t>
        </is>
      </c>
      <c r="B286" t="b">
        <v>1</v>
      </c>
      <c r="C286" t="inlineStr"/>
      <c r="D286" t="inlineStr"/>
      <c r="E286" t="n">
        <v>292</v>
      </c>
      <c r="F286">
        <f>HYPERLINK("https://portal.dnb.de/opac.htm?method=simpleSearch&amp;cqlMode=true&amp;query=idn%3D1067336257", "Portal")</f>
        <v/>
      </c>
      <c r="G286" t="inlineStr">
        <is>
          <t>Afl</t>
        </is>
      </c>
      <c r="H286" t="inlineStr">
        <is>
          <t>L-1478-315495561</t>
        </is>
      </c>
      <c r="I286" t="inlineStr">
        <is>
          <t>1067336257</t>
        </is>
      </c>
      <c r="J286" t="inlineStr">
        <is>
          <t>II 24,3da - Fragm.</t>
        </is>
      </c>
      <c r="K286" t="inlineStr">
        <is>
          <t>II 24,3da - Fragm.</t>
        </is>
      </c>
      <c r="L286" t="inlineStr">
        <is>
          <t>II 24,3da - Fragm.</t>
        </is>
      </c>
      <c r="M286" t="inlineStr"/>
      <c r="N286" t="inlineStr">
        <is>
          <t>Summa theologica</t>
        </is>
      </c>
      <c r="O286" t="inlineStr">
        <is>
          <t xml:space="preserve">P.3. : </t>
        </is>
      </c>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t>
        </is>
      </c>
      <c r="B287" t="b">
        <v>1</v>
      </c>
      <c r="C287" t="inlineStr"/>
      <c r="D287" t="inlineStr"/>
      <c r="E287" t="n">
        <v>293</v>
      </c>
      <c r="F287">
        <f>HYPERLINK("https://portal.dnb.de/opac.htm?method=simpleSearch&amp;cqlMode=true&amp;query=idn%3D1067336281", "Portal")</f>
        <v/>
      </c>
      <c r="G287" t="inlineStr">
        <is>
          <t>Afl</t>
        </is>
      </c>
      <c r="H287" t="inlineStr">
        <is>
          <t>L-1478-31549557X</t>
        </is>
      </c>
      <c r="I287" t="inlineStr">
        <is>
          <t>1067336281</t>
        </is>
      </c>
      <c r="J287" t="inlineStr">
        <is>
          <t>II 24,3e</t>
        </is>
      </c>
      <c r="K287" t="inlineStr">
        <is>
          <t>II 24,3e</t>
        </is>
      </c>
      <c r="L287" t="inlineStr">
        <is>
          <t>II 24,3e</t>
        </is>
      </c>
      <c r="M287" t="inlineStr"/>
      <c r="N287" t="inlineStr">
        <is>
          <t>Summa theologica</t>
        </is>
      </c>
      <c r="O287" t="inlineStr">
        <is>
          <t xml:space="preserve">P.4. : </t>
        </is>
      </c>
      <c r="P287" t="inlineStr">
        <is>
          <t>X</t>
        </is>
      </c>
      <c r="Q287" t="inlineStr"/>
      <c r="R287" t="inlineStr">
        <is>
          <t>Halbledereinband, Schließen, erhabene Buchbeschläge</t>
        </is>
      </c>
      <c r="S287" t="inlineStr">
        <is>
          <t>&gt; 42 cm</t>
        </is>
      </c>
      <c r="T287" t="inlineStr">
        <is>
          <t>80° bis 110°, einseitig digitalisierbar?</t>
        </is>
      </c>
      <c r="U287" t="inlineStr">
        <is>
          <t>hohler Rücken, erhabene Illuminationen</t>
        </is>
      </c>
      <c r="V287" t="inlineStr"/>
      <c r="W287" t="inlineStr"/>
      <c r="X287" t="inlineStr">
        <is>
          <t>Signaturfahne austauschen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t>
        </is>
      </c>
      <c r="B288" t="b">
        <v>1</v>
      </c>
      <c r="C288" t="inlineStr"/>
      <c r="D288" t="inlineStr"/>
      <c r="E288" t="n">
        <v>294</v>
      </c>
      <c r="F288">
        <f>HYPERLINK("https://portal.dnb.de/opac.htm?method=simpleSearch&amp;cqlMode=true&amp;query=idn%3D1066971544", "Portal")</f>
        <v/>
      </c>
      <c r="G288" t="inlineStr">
        <is>
          <t>Aa</t>
        </is>
      </c>
      <c r="H288" t="inlineStr">
        <is>
          <t>L-1481-315501928</t>
        </is>
      </c>
      <c r="I288" t="inlineStr">
        <is>
          <t>1066971544</t>
        </is>
      </c>
      <c r="J288" t="inlineStr">
        <is>
          <t>II 24,3e kursiv</t>
        </is>
      </c>
      <c r="K288" t="inlineStr">
        <is>
          <t>II 24,3e kursiv</t>
        </is>
      </c>
      <c r="L288" t="inlineStr">
        <is>
          <t>II 24,3e kursiv</t>
        </is>
      </c>
      <c r="M288" t="inlineStr"/>
      <c r="N288" t="inlineStr">
        <is>
          <t xml:space="preserve">Sententiarum libri IV : </t>
        </is>
      </c>
      <c r="O288" t="inlineStr">
        <is>
          <t xml:space="preserve"> : </t>
        </is>
      </c>
      <c r="P288" t="inlineStr"/>
      <c r="Q288" t="inlineStr"/>
      <c r="R288" t="inlineStr">
        <is>
          <t>Ledereinband, Schließen, erhabene Buchbeschläge</t>
        </is>
      </c>
      <c r="S288" t="inlineStr">
        <is>
          <t>bis 35 cm</t>
        </is>
      </c>
      <c r="T288" t="inlineStr">
        <is>
          <t>80° bis 110°, einseitig digitalisierbar?</t>
        </is>
      </c>
      <c r="U288" t="inlineStr">
        <is>
          <t>erhabene Illuminationen</t>
        </is>
      </c>
      <c r="V288" t="inlineStr">
        <is>
          <t>nicht auflegen</t>
        </is>
      </c>
      <c r="W288" t="inlineStr">
        <is>
          <t>Kassette</t>
        </is>
      </c>
      <c r="X288" t="inlineStr">
        <is>
          <t>Nein</t>
        </is>
      </c>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t>
        </is>
      </c>
      <c r="B289" t="b">
        <v>1</v>
      </c>
      <c r="C289" t="inlineStr"/>
      <c r="D289" t="inlineStr"/>
      <c r="E289" t="n">
        <v>295</v>
      </c>
      <c r="F289">
        <f>HYPERLINK("https://portal.dnb.de/opac.htm?method=simpleSearch&amp;cqlMode=true&amp;query=idn%3D1066967954", "Portal")</f>
        <v/>
      </c>
      <c r="G289" t="inlineStr">
        <is>
          <t>Aaf</t>
        </is>
      </c>
      <c r="H289" t="inlineStr">
        <is>
          <t>L-1480-315498226</t>
        </is>
      </c>
      <c r="I289" t="inlineStr">
        <is>
          <t>1066967954</t>
        </is>
      </c>
      <c r="J289" t="inlineStr">
        <is>
          <t>II 24,3ea</t>
        </is>
      </c>
      <c r="K289" t="inlineStr">
        <is>
          <t>II 24,3ea</t>
        </is>
      </c>
      <c r="L289" t="inlineStr">
        <is>
          <t>II 24,3ea</t>
        </is>
      </c>
      <c r="M289" t="inlineStr"/>
      <c r="N289" t="inlineStr">
        <is>
          <t xml:space="preserve">Rationale divinorum officiorum : </t>
        </is>
      </c>
      <c r="O289" t="inlineStr">
        <is>
          <t xml:space="preserve"> : </t>
        </is>
      </c>
      <c r="P289" t="inlineStr"/>
      <c r="Q289" t="inlineStr"/>
      <c r="R289" t="inlineStr">
        <is>
          <t>Ledereinband, Schließen, erhabene Buchbeschläge</t>
        </is>
      </c>
      <c r="S289" t="inlineStr">
        <is>
          <t>bis 35 cm</t>
        </is>
      </c>
      <c r="T289" t="inlineStr">
        <is>
          <t>80° bis 110°, einseitig digitalisierbar?</t>
        </is>
      </c>
      <c r="U289" t="inlineStr">
        <is>
          <t>Schrift bis in den Falz</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t>
        </is>
      </c>
      <c r="B290" t="b">
        <v>1</v>
      </c>
      <c r="C290" t="inlineStr"/>
      <c r="D290" t="inlineStr"/>
      <c r="E290" t="n">
        <v>296</v>
      </c>
      <c r="F290">
        <f>HYPERLINK("https://portal.dnb.de/opac.htm?method=simpleSearch&amp;cqlMode=true&amp;query=idn%3D1066971110", "Portal")</f>
        <v/>
      </c>
      <c r="G290" t="inlineStr">
        <is>
          <t>Aa</t>
        </is>
      </c>
      <c r="H290" t="inlineStr">
        <is>
          <t>L-1481-315501472</t>
        </is>
      </c>
      <c r="I290" t="inlineStr">
        <is>
          <t>1066971110</t>
        </is>
      </c>
      <c r="J290" t="inlineStr">
        <is>
          <t>II 24,3f</t>
        </is>
      </c>
      <c r="K290" t="inlineStr">
        <is>
          <t>II 24,3f</t>
        </is>
      </c>
      <c r="L290" t="inlineStr">
        <is>
          <t>II 24,3f -1</t>
        </is>
      </c>
      <c r="M290" t="inlineStr"/>
      <c r="N290" t="inlineStr">
        <is>
          <t xml:space="preserve">Postilla super totam Bibliam : </t>
        </is>
      </c>
      <c r="O290" t="inlineStr">
        <is>
          <t xml:space="preserve"> : </t>
        </is>
      </c>
      <c r="P290" t="inlineStr">
        <is>
          <t>X</t>
        </is>
      </c>
      <c r="Q290" t="inlineStr"/>
      <c r="R290" t="inlineStr">
        <is>
          <t>Halbledereinband, Schließen, erhabene Buchbeschläge</t>
        </is>
      </c>
      <c r="S290" t="inlineStr">
        <is>
          <t>bis 42 cm</t>
        </is>
      </c>
      <c r="T290" t="inlineStr">
        <is>
          <t>80° bis 110°, einseitig digitalisierbar?</t>
        </is>
      </c>
      <c r="U290" t="inlineStr">
        <is>
          <t>erhabene Illuminationen</t>
        </is>
      </c>
      <c r="V290" t="inlineStr">
        <is>
          <t>nicht auflegen</t>
        </is>
      </c>
      <c r="W290" t="inlineStr"/>
      <c r="X290" t="inlineStr">
        <is>
          <t>Signaturfahne austauschen</t>
        </is>
      </c>
      <c r="Y290" t="n">
        <v>0</v>
      </c>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t>
        </is>
      </c>
      <c r="B291" t="b">
        <v>0</v>
      </c>
      <c r="C291" t="inlineStr"/>
      <c r="D291" t="inlineStr"/>
      <c r="E291" t="inlineStr"/>
      <c r="F291">
        <f>HYPERLINK("https://portal.dnb.de/opac.htm?method=simpleSearch&amp;cqlMode=true&amp;query=idn%3D", "Portal")</f>
        <v/>
      </c>
      <c r="G291" t="inlineStr"/>
      <c r="H291" t="inlineStr"/>
      <c r="I291" t="inlineStr"/>
      <c r="J291" t="inlineStr"/>
      <c r="K291" t="inlineStr"/>
      <c r="L291" t="inlineStr">
        <is>
          <t>II 24,3f -2</t>
        </is>
      </c>
      <c r="M291" t="inlineStr"/>
      <c r="N291" t="inlineStr"/>
      <c r="O291" t="inlineStr"/>
      <c r="P291" t="inlineStr">
        <is>
          <t>X</t>
        </is>
      </c>
      <c r="Q291" t="inlineStr"/>
      <c r="R291" t="inlineStr">
        <is>
          <t>Halbledereinband, Schließen, erhabene Buchbeschläge</t>
        </is>
      </c>
      <c r="S291" t="inlineStr">
        <is>
          <t>bis 42 cm</t>
        </is>
      </c>
      <c r="T291" t="inlineStr">
        <is>
          <t>80° bis 110°, einseitig digitalisierbar?</t>
        </is>
      </c>
      <c r="U291" t="inlineStr">
        <is>
          <t>erhabene Illuminationen</t>
        </is>
      </c>
      <c r="V291" t="inlineStr">
        <is>
          <t>nicht auflegen</t>
        </is>
      </c>
      <c r="W291" t="inlineStr"/>
      <c r="X291" t="inlineStr"/>
      <c r="Y291" t="n">
        <v>1</v>
      </c>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n">
        <v>0</v>
      </c>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t>
        </is>
      </c>
      <c r="B292" t="b">
        <v>0</v>
      </c>
      <c r="C292" t="inlineStr"/>
      <c r="D292" t="inlineStr"/>
      <c r="E292" t="inlineStr"/>
      <c r="F292">
        <f>HYPERLINK("https://portal.dnb.de/opac.htm?method=simpleSearch&amp;cqlMode=true&amp;query=idn%3D", "Portal")</f>
        <v/>
      </c>
      <c r="G292" t="inlineStr"/>
      <c r="H292" t="inlineStr"/>
      <c r="I292" t="inlineStr"/>
      <c r="J292" t="inlineStr"/>
      <c r="K292" t="inlineStr"/>
      <c r="L292" t="inlineStr">
        <is>
          <t>II 24,3f -3</t>
        </is>
      </c>
      <c r="M292" t="inlineStr"/>
      <c r="N292" t="inlineStr"/>
      <c r="O292" t="inlineStr"/>
      <c r="P292" t="inlineStr">
        <is>
          <t>X</t>
        </is>
      </c>
      <c r="Q292" t="inlineStr"/>
      <c r="R292" t="inlineStr">
        <is>
          <t>Halbledereinband, Schließen, erhabene Buchbeschläge</t>
        </is>
      </c>
      <c r="S292" t="inlineStr">
        <is>
          <t>bis 42 cm</t>
        </is>
      </c>
      <c r="T292" t="inlineStr">
        <is>
          <t>80° bis 110°, einseitig digitalisierbar?</t>
        </is>
      </c>
      <c r="U292" t="inlineStr">
        <is>
          <t>erhabene Illuminationen</t>
        </is>
      </c>
      <c r="V292" t="inlineStr">
        <is>
          <t>nicht auflegen</t>
        </is>
      </c>
      <c r="W292" t="inlineStr"/>
      <c r="X292" t="inlineStr">
        <is>
          <t>Signaturfahne austauschen</t>
        </is>
      </c>
      <c r="Y292" t="n">
        <v>1</v>
      </c>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n">
        <v>0</v>
      </c>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t>
        </is>
      </c>
      <c r="B293" t="b">
        <v>1</v>
      </c>
      <c r="C293" t="inlineStr"/>
      <c r="D293" t="inlineStr"/>
      <c r="E293" t="n">
        <v>297</v>
      </c>
      <c r="F293">
        <f>HYPERLINK("https://portal.dnb.de/opac.htm?method=simpleSearch&amp;cqlMode=true&amp;query=idn%3D1066966621", "Portal")</f>
        <v/>
      </c>
      <c r="G293" t="inlineStr">
        <is>
          <t>Aa</t>
        </is>
      </c>
      <c r="H293" t="inlineStr">
        <is>
          <t>L-1497-315496916</t>
        </is>
      </c>
      <c r="I293" t="inlineStr">
        <is>
          <t>1066966621</t>
        </is>
      </c>
      <c r="J293" t="inlineStr">
        <is>
          <t>II 24,3f kursiv</t>
        </is>
      </c>
      <c r="K293" t="inlineStr">
        <is>
          <t>II 24,3f kursiv</t>
        </is>
      </c>
      <c r="L293" t="inlineStr">
        <is>
          <t>II 24,3f kursiv - 1</t>
        </is>
      </c>
      <c r="M293" t="inlineStr"/>
      <c r="N293" t="inlineStr">
        <is>
          <t xml:space="preserve">Biblia, lat. : </t>
        </is>
      </c>
      <c r="O293" t="inlineStr">
        <is>
          <t xml:space="preserve"> : </t>
        </is>
      </c>
      <c r="P293" t="inlineStr"/>
      <c r="Q293" t="inlineStr"/>
      <c r="R293" t="inlineStr">
        <is>
          <t>Pergamentband</t>
        </is>
      </c>
      <c r="S293" t="inlineStr">
        <is>
          <t>bis 25 cm</t>
        </is>
      </c>
      <c r="T293" t="inlineStr">
        <is>
          <t>80° bis 110°, einseitig digitalisierbar?</t>
        </is>
      </c>
      <c r="U293" t="inlineStr">
        <is>
          <t>hohler Rücken, Schrift bis in den Falz, erhabene Illuminationen</t>
        </is>
      </c>
      <c r="V293" t="inlineStr">
        <is>
          <t>nicht auflegen</t>
        </is>
      </c>
      <c r="W293" t="inlineStr">
        <is>
          <t>Kassette</t>
        </is>
      </c>
      <c r="X293" t="inlineStr">
        <is>
          <t>Nein, Signaturfahne austauschen</t>
        </is>
      </c>
      <c r="Y293" t="n">
        <v>0</v>
      </c>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n">
        <v>0</v>
      </c>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II</t>
        </is>
      </c>
      <c r="B294" t="b">
        <v>0</v>
      </c>
      <c r="C294" t="inlineStr"/>
      <c r="D294" t="inlineStr"/>
      <c r="E294" t="inlineStr"/>
      <c r="F294">
        <f>HYPERLINK("https://portal.dnb.de/opac.htm?method=simpleSearch&amp;cqlMode=true&amp;query=idn%3D", "Portal")</f>
        <v/>
      </c>
      <c r="G294" t="inlineStr"/>
      <c r="H294" t="inlineStr"/>
      <c r="I294" t="inlineStr"/>
      <c r="J294" t="inlineStr"/>
      <c r="K294" t="inlineStr"/>
      <c r="L294" t="inlineStr">
        <is>
          <t>II 24,3f kursiv - 2</t>
        </is>
      </c>
      <c r="M294" t="inlineStr"/>
      <c r="N294" t="inlineStr"/>
      <c r="O294" t="inlineStr"/>
      <c r="P294" t="inlineStr"/>
      <c r="Q294" t="inlineStr"/>
      <c r="R294" t="inlineStr">
        <is>
          <t>Pergamentband</t>
        </is>
      </c>
      <c r="S294" t="inlineStr">
        <is>
          <t>bis 35 cm</t>
        </is>
      </c>
      <c r="T294" t="inlineStr">
        <is>
          <t>80° bis 110°, einseitig digitalisierbar?</t>
        </is>
      </c>
      <c r="U294" t="inlineStr">
        <is>
          <t>hohler Rücken, Schrift bis in den Falz</t>
        </is>
      </c>
      <c r="V294" t="inlineStr"/>
      <c r="W294" t="inlineStr">
        <is>
          <t>Kassette</t>
        </is>
      </c>
      <c r="X294" t="inlineStr">
        <is>
          <t>Nein</t>
        </is>
      </c>
      <c r="Y294" t="n">
        <v>0</v>
      </c>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n">
        <v>0</v>
      </c>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II</t>
        </is>
      </c>
      <c r="B295" t="b">
        <v>0</v>
      </c>
      <c r="C295" t="inlineStr"/>
      <c r="D295" t="inlineStr"/>
      <c r="E295" t="inlineStr"/>
      <c r="F295">
        <f>HYPERLINK("https://portal.dnb.de/opac.htm?method=simpleSearch&amp;cqlMode=true&amp;query=idn%3D", "Portal")</f>
        <v/>
      </c>
      <c r="G295" t="inlineStr"/>
      <c r="H295" t="inlineStr"/>
      <c r="I295" t="inlineStr"/>
      <c r="J295" t="inlineStr"/>
      <c r="K295" t="inlineStr"/>
      <c r="L295" t="inlineStr">
        <is>
          <t>II 24,3f kursiv - 3</t>
        </is>
      </c>
      <c r="M295" t="inlineStr"/>
      <c r="N295" t="inlineStr"/>
      <c r="O295" t="inlineStr"/>
      <c r="P295" t="inlineStr"/>
      <c r="Q295" t="inlineStr"/>
      <c r="R295" t="inlineStr">
        <is>
          <t>Pergamentband</t>
        </is>
      </c>
      <c r="S295" t="inlineStr">
        <is>
          <t>bis 35 cm</t>
        </is>
      </c>
      <c r="T295" t="inlineStr">
        <is>
          <t>nur sehr geringer Öffnungswinkel</t>
        </is>
      </c>
      <c r="U295" t="inlineStr">
        <is>
          <t>hohler Rücken, Schrift bis in den Falz</t>
        </is>
      </c>
      <c r="V295" t="inlineStr"/>
      <c r="W295" t="inlineStr">
        <is>
          <t>Kassette</t>
        </is>
      </c>
      <c r="X295" t="inlineStr">
        <is>
          <t>Nein</t>
        </is>
      </c>
      <c r="Y295" t="n">
        <v>0</v>
      </c>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n">
        <v>0</v>
      </c>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II</t>
        </is>
      </c>
      <c r="B296" t="b">
        <v>1</v>
      </c>
      <c r="C296" t="inlineStr"/>
      <c r="D296" t="inlineStr"/>
      <c r="E296" t="n">
        <v>298</v>
      </c>
      <c r="F296">
        <f>HYPERLINK("https://portal.dnb.de/opac.htm?method=simpleSearch&amp;cqlMode=true&amp;query=idn%3D1066967962", "Portal")</f>
        <v/>
      </c>
      <c r="G296" t="inlineStr">
        <is>
          <t>Aaf</t>
        </is>
      </c>
      <c r="H296" t="inlineStr">
        <is>
          <t>L-1481-315498234</t>
        </is>
      </c>
      <c r="I296" t="inlineStr">
        <is>
          <t>1066967962</t>
        </is>
      </c>
      <c r="J296" t="inlineStr">
        <is>
          <t>II 24,3i</t>
        </is>
      </c>
      <c r="K296" t="inlineStr">
        <is>
          <t>II 24,3i</t>
        </is>
      </c>
      <c r="L296" t="inlineStr">
        <is>
          <t>II 24,3i</t>
        </is>
      </c>
      <c r="M296" t="inlineStr"/>
      <c r="N296" t="inlineStr">
        <is>
          <t xml:space="preserve">Rationale divinorum officiorum : </t>
        </is>
      </c>
      <c r="O296" t="inlineStr">
        <is>
          <t xml:space="preserve"> : </t>
        </is>
      </c>
      <c r="P296" t="inlineStr">
        <is>
          <t>x</t>
        </is>
      </c>
      <c r="Q296" t="inlineStr"/>
      <c r="R296" t="inlineStr">
        <is>
          <t>Ledereinband, Schließen, erhabene Buchbeschläge</t>
        </is>
      </c>
      <c r="S296" t="inlineStr">
        <is>
          <t>bis 35 cm</t>
        </is>
      </c>
      <c r="T296" t="inlineStr">
        <is>
          <t>80° bis 110°, einseitig digitalisierbar?</t>
        </is>
      </c>
      <c r="U296" t="inlineStr">
        <is>
          <t>erhabene Illuminationen</t>
        </is>
      </c>
      <c r="V296" t="inlineStr">
        <is>
          <t>nicht auflegen</t>
        </is>
      </c>
      <c r="W296" t="inlineStr">
        <is>
          <t>Kassette</t>
        </is>
      </c>
      <c r="X296" t="inlineStr">
        <is>
          <t>Nein</t>
        </is>
      </c>
      <c r="Y296" t="n">
        <v>0</v>
      </c>
      <c r="Z296" t="inlineStr"/>
      <c r="AA296" t="inlineStr">
        <is>
          <t>mit Stahlkette</t>
        </is>
      </c>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t>
        </is>
      </c>
      <c r="B297" t="b">
        <v>1</v>
      </c>
      <c r="C297" t="inlineStr"/>
      <c r="D297" t="inlineStr"/>
      <c r="E297" t="n">
        <v>299</v>
      </c>
      <c r="F297">
        <f>HYPERLINK("https://portal.dnb.de/opac.htm?method=simpleSearch&amp;cqlMode=true&amp;query=idn%3D1066970238", "Portal")</f>
        <v/>
      </c>
      <c r="G297" t="inlineStr">
        <is>
          <t>Aa</t>
        </is>
      </c>
      <c r="H297" t="inlineStr">
        <is>
          <t>L-1483-315500573</t>
        </is>
      </c>
      <c r="I297" t="inlineStr">
        <is>
          <t>1066970238</t>
        </is>
      </c>
      <c r="J297" t="inlineStr">
        <is>
          <t>II 24,3o</t>
        </is>
      </c>
      <c r="K297" t="inlineStr">
        <is>
          <t>II 24,3o</t>
        </is>
      </c>
      <c r="L297" t="inlineStr">
        <is>
          <t>II 24,3o</t>
        </is>
      </c>
      <c r="M297" t="inlineStr"/>
      <c r="N297" t="inlineStr">
        <is>
          <t xml:space="preserve">Catholicon : </t>
        </is>
      </c>
      <c r="O297" t="inlineStr">
        <is>
          <t xml:space="preserve"> : </t>
        </is>
      </c>
      <c r="P297" t="inlineStr">
        <is>
          <t>X</t>
        </is>
      </c>
      <c r="Q297" t="inlineStr"/>
      <c r="R297" t="inlineStr">
        <is>
          <t>Halbledereinband, Schließen, erhabene Buchbeschläge</t>
        </is>
      </c>
      <c r="S297" t="inlineStr">
        <is>
          <t>bis 35 cm</t>
        </is>
      </c>
      <c r="T297" t="inlineStr">
        <is>
          <t>80° bis 110°, einseitig digitalisierbar?</t>
        </is>
      </c>
      <c r="U297" t="inlineStr">
        <is>
          <t>erhabene Illuminationen</t>
        </is>
      </c>
      <c r="V297" t="inlineStr">
        <is>
          <t>nicht auflegen</t>
        </is>
      </c>
      <c r="W297" t="inlineStr"/>
      <c r="X297" t="inlineStr">
        <is>
          <t>Signaturfahne austauschen</t>
        </is>
      </c>
      <c r="Y297" t="n">
        <v>2</v>
      </c>
      <c r="Z297" t="inlineStr"/>
      <c r="AA297" t="inlineStr"/>
      <c r="AB297" t="inlineStr"/>
      <c r="AC297" t="inlineStr"/>
      <c r="AD297" t="inlineStr"/>
      <c r="AE297" t="inlineStr"/>
      <c r="AF297" t="inlineStr"/>
      <c r="AG297" t="inlineStr"/>
      <c r="AH297" t="inlineStr"/>
      <c r="AI297" t="inlineStr">
        <is>
          <t>HD</t>
        </is>
      </c>
      <c r="AJ297" t="inlineStr"/>
      <c r="AK297" t="inlineStr"/>
      <c r="AL297" t="inlineStr"/>
      <c r="AM297" t="inlineStr">
        <is>
          <t>f</t>
        </is>
      </c>
      <c r="AN297" t="inlineStr"/>
      <c r="AO297" t="inlineStr"/>
      <c r="AP297" t="inlineStr"/>
      <c r="AQ297" t="inlineStr"/>
      <c r="AR297" t="inlineStr">
        <is>
          <t>x</t>
        </is>
      </c>
      <c r="AS297" t="inlineStr">
        <is>
          <t>Pa</t>
        </is>
      </c>
      <c r="AT297" t="inlineStr"/>
      <c r="AU297" t="inlineStr"/>
      <c r="AV297" t="inlineStr"/>
      <c r="AW297" t="inlineStr"/>
      <c r="AX297" t="inlineStr"/>
      <c r="AY297" t="inlineStr"/>
      <c r="AZ297" t="inlineStr"/>
      <c r="BA297" t="inlineStr"/>
      <c r="BB297" t="inlineStr"/>
      <c r="BC297" t="inlineStr">
        <is>
          <t>I/R</t>
        </is>
      </c>
      <c r="BD297" t="inlineStr">
        <is>
          <t>x</t>
        </is>
      </c>
      <c r="BE297" t="inlineStr"/>
      <c r="BF297" t="inlineStr"/>
      <c r="BG297" t="n">
        <v>60</v>
      </c>
      <c r="BH297" t="inlineStr"/>
      <c r="BI297" t="inlineStr"/>
      <c r="BJ297" t="inlineStr"/>
      <c r="BK297" t="inlineStr"/>
      <c r="BL297" t="inlineStr"/>
      <c r="BM297" t="inlineStr">
        <is>
          <t>n</t>
        </is>
      </c>
      <c r="BN297" t="n">
        <v>0</v>
      </c>
      <c r="BO297" t="inlineStr"/>
      <c r="BP297" t="inlineStr">
        <is>
          <t>Wellpappe</t>
        </is>
      </c>
      <c r="BQ297" t="inlineStr"/>
      <c r="BR297" t="inlineStr"/>
      <c r="BS297" t="inlineStr"/>
      <c r="BT297" t="inlineStr"/>
      <c r="BU297" t="inlineStr"/>
      <c r="BV297" t="inlineStr">
        <is>
          <t>Schaden stabil</t>
        </is>
      </c>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II</t>
        </is>
      </c>
      <c r="B298" t="b">
        <v>1</v>
      </c>
      <c r="C298" t="inlineStr"/>
      <c r="D298" t="inlineStr"/>
      <c r="E298" t="inlineStr"/>
      <c r="F298">
        <f>HYPERLINK("https://portal.dnb.de/opac.htm?method=simpleSearch&amp;cqlMode=true&amp;query=idn%3D1066964912", "Portal")</f>
        <v/>
      </c>
      <c r="G298" t="inlineStr"/>
      <c r="H298" t="inlineStr">
        <is>
          <t>L-1485-315495073</t>
        </is>
      </c>
      <c r="I298" t="inlineStr">
        <is>
          <t>1066964912</t>
        </is>
      </c>
      <c r="J298" t="inlineStr"/>
      <c r="K298" t="inlineStr">
        <is>
          <t>II 24,3q</t>
        </is>
      </c>
      <c r="L298" t="inlineStr">
        <is>
          <t>II 24,3q</t>
        </is>
      </c>
      <c r="M298" t="inlineStr"/>
      <c r="N298" t="inlineStr">
        <is>
          <t xml:space="preserve">Biblia, lat. : </t>
        </is>
      </c>
      <c r="O298" t="inlineStr">
        <is>
          <t xml:space="preserve"> : </t>
        </is>
      </c>
      <c r="P298" t="inlineStr"/>
      <c r="Q298" t="inlineStr">
        <is>
          <t>7500,00 EUR</t>
        </is>
      </c>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t>
        </is>
      </c>
      <c r="B299" t="b">
        <v>1</v>
      </c>
      <c r="C299" t="inlineStr">
        <is>
          <t>x</t>
        </is>
      </c>
      <c r="D299" t="inlineStr"/>
      <c r="E299" t="inlineStr"/>
      <c r="F299">
        <f>HYPERLINK("https://portal.dnb.de/opac.htm?method=simpleSearch&amp;cqlMode=true&amp;query=idn%3D1272536750", "Portal")</f>
        <v/>
      </c>
      <c r="G299" t="inlineStr">
        <is>
          <t>Afl</t>
        </is>
      </c>
      <c r="H299" t="inlineStr">
        <is>
          <t>L-1485-848174933</t>
        </is>
      </c>
      <c r="I299" t="inlineStr">
        <is>
          <t>1272536750</t>
        </is>
      </c>
      <c r="J299" t="inlineStr">
        <is>
          <t>II 24,3q - 1</t>
        </is>
      </c>
      <c r="K299" t="inlineStr">
        <is>
          <t>II 24,3q - 1</t>
        </is>
      </c>
      <c r="L299" t="inlineStr">
        <is>
          <t>II 24,3q - 1</t>
        </is>
      </c>
      <c r="M299" t="inlineStr"/>
      <c r="N299" t="inlineStr">
        <is>
          <t>Biblia, lat.</t>
        </is>
      </c>
      <c r="O299" t="inlineStr">
        <is>
          <t xml:space="preserve">1 : </t>
        </is>
      </c>
      <c r="P299" t="inlineStr">
        <is>
          <t>X</t>
        </is>
      </c>
      <c r="Q299" t="inlineStr">
        <is>
          <t>2500,00 EUR</t>
        </is>
      </c>
      <c r="R299" t="inlineStr">
        <is>
          <t>Ledereinband, Schließen, erhabene Buchbeschläge</t>
        </is>
      </c>
      <c r="S299" t="inlineStr">
        <is>
          <t>bis 35 cm</t>
        </is>
      </c>
      <c r="T299" t="inlineStr">
        <is>
          <t>80° bis 110°, einseitig digitalisierbar?</t>
        </is>
      </c>
      <c r="U299" t="inlineStr">
        <is>
          <t>fester Rücken mit Schmuckprägung, welliger Buchblock, stark brüchiges Einbandmaterial, erhabene Illuminationen</t>
        </is>
      </c>
      <c r="V299" t="inlineStr">
        <is>
          <t>nicht auflegen</t>
        </is>
      </c>
      <c r="W299" t="inlineStr">
        <is>
          <t>Kassette</t>
        </is>
      </c>
      <c r="X299" t="inlineStr">
        <is>
          <t>Nein</t>
        </is>
      </c>
      <c r="Y299" t="n">
        <v>3</v>
      </c>
      <c r="Z299" t="inlineStr"/>
      <c r="AA299" t="inlineStr"/>
      <c r="AB299" t="inlineStr"/>
      <c r="AC299" t="inlineStr"/>
      <c r="AD299" t="inlineStr"/>
      <c r="AE299" t="inlineStr"/>
      <c r="AF299" t="inlineStr"/>
      <c r="AG299" t="inlineStr"/>
      <c r="AH299" t="inlineStr"/>
      <c r="AI299" t="inlineStr">
        <is>
          <t>L</t>
        </is>
      </c>
      <c r="AJ299" t="inlineStr"/>
      <c r="AK299" t="inlineStr">
        <is>
          <t>x</t>
        </is>
      </c>
      <c r="AL299" t="inlineStr"/>
      <c r="AM299" t="inlineStr">
        <is>
          <t>f/V</t>
        </is>
      </c>
      <c r="AN299" t="inlineStr"/>
      <c r="AO299" t="inlineStr"/>
      <c r="AP299" t="inlineStr"/>
      <c r="AQ299" t="inlineStr"/>
      <c r="AR299" t="inlineStr"/>
      <c r="AS299" t="inlineStr">
        <is>
          <t>Pa</t>
        </is>
      </c>
      <c r="AT299" t="inlineStr"/>
      <c r="AU299" t="inlineStr"/>
      <c r="AV299" t="inlineStr"/>
      <c r="AW299" t="inlineStr"/>
      <c r="AX299" t="inlineStr"/>
      <c r="AY299" t="inlineStr"/>
      <c r="AZ299" t="inlineStr"/>
      <c r="BA299" t="inlineStr"/>
      <c r="BB299" t="inlineStr"/>
      <c r="BC299" t="inlineStr">
        <is>
          <t>B/I/R</t>
        </is>
      </c>
      <c r="BD299" t="inlineStr">
        <is>
          <t>x</t>
        </is>
      </c>
      <c r="BE299" t="inlineStr"/>
      <c r="BF299" t="inlineStr"/>
      <c r="BG299" t="n">
        <v>45</v>
      </c>
      <c r="BH299" t="inlineStr"/>
      <c r="BI299" t="inlineStr"/>
      <c r="BJ299" t="inlineStr"/>
      <c r="BK299" t="inlineStr"/>
      <c r="BL299" t="inlineStr"/>
      <c r="BM299" t="inlineStr">
        <is>
          <t>ja vor</t>
        </is>
      </c>
      <c r="BN299" t="n">
        <v>10.5</v>
      </c>
      <c r="BO299" t="inlineStr"/>
      <c r="BP299" t="inlineStr">
        <is>
          <t>Wellpappe</t>
        </is>
      </c>
      <c r="BQ299" t="inlineStr"/>
      <c r="BR299" t="inlineStr"/>
      <c r="BS299" t="inlineStr"/>
      <c r="BT299" t="inlineStr"/>
      <c r="BU299" t="inlineStr"/>
      <c r="BV299" t="inlineStr"/>
      <c r="BW299" t="inlineStr"/>
      <c r="BX299" t="inlineStr"/>
      <c r="BY299" t="inlineStr"/>
      <c r="BZ299" t="inlineStr">
        <is>
          <t>x</t>
        </is>
      </c>
      <c r="CA299" t="inlineStr">
        <is>
          <t>x</t>
        </is>
      </c>
      <c r="CB299" t="inlineStr">
        <is>
          <t>x</t>
        </is>
      </c>
      <c r="CC299" t="inlineStr"/>
      <c r="CD299" t="inlineStr">
        <is>
          <t>v/h</t>
        </is>
      </c>
      <c r="CE299" t="n">
        <v>5</v>
      </c>
      <c r="CF299" t="inlineStr"/>
      <c r="CG299" t="inlineStr"/>
      <c r="CH299" t="inlineStr"/>
      <c r="CI299" t="inlineStr"/>
      <c r="CJ299" t="inlineStr"/>
      <c r="CK299" t="inlineStr"/>
      <c r="CL299" t="inlineStr">
        <is>
          <t>o/u</t>
        </is>
      </c>
      <c r="CM299" t="n">
        <v>9</v>
      </c>
      <c r="CN299" t="inlineStr">
        <is>
          <t>Kapitale sichern, Gelenke mit JP-Gewebe-Laminat unterlegen und ggf. mit JP überfangen, Bünde belassen (Stabilität bringt das Laminat, außerdem Gewebefälze im Gelenk innen), Ecken stabilisieren</t>
        </is>
      </c>
      <c r="CO299" t="inlineStr">
        <is>
          <t>x</t>
        </is>
      </c>
      <c r="CP299" t="inlineStr"/>
      <c r="CQ299" t="inlineStr"/>
      <c r="CR299" t="inlineStr"/>
      <c r="CS299" t="inlineStr"/>
      <c r="CT299" t="inlineStr"/>
      <c r="CU299" t="inlineStr"/>
      <c r="CV299" t="inlineStr">
        <is>
          <t>x</t>
        </is>
      </c>
      <c r="CW299" t="inlineStr"/>
      <c r="CX299" t="inlineStr"/>
      <c r="CY299" t="inlineStr"/>
      <c r="CZ299" t="inlineStr"/>
      <c r="DA299" t="inlineStr"/>
      <c r="DB299" t="inlineStr"/>
      <c r="DC299" t="inlineStr"/>
      <c r="DD299" t="inlineStr"/>
      <c r="DE299" t="inlineStr"/>
      <c r="DF299" t="n">
        <v>1.5</v>
      </c>
      <c r="DG299" t="inlineStr">
        <is>
          <t>ersten und letzten Seiten trocken reinigen, Gewebefälze der Spiegel mit JP-Fälzen stabilisieren</t>
        </is>
      </c>
    </row>
    <row r="300">
      <c r="A300" t="inlineStr">
        <is>
          <t>II</t>
        </is>
      </c>
      <c r="B300" t="b">
        <v>1</v>
      </c>
      <c r="C300" t="inlineStr">
        <is>
          <t>x</t>
        </is>
      </c>
      <c r="D300" t="inlineStr"/>
      <c r="E300" t="inlineStr"/>
      <c r="F300">
        <f>HYPERLINK("https://portal.dnb.de/opac.htm?method=simpleSearch&amp;cqlMode=true&amp;query=idn%3D1272536858", "Portal")</f>
        <v/>
      </c>
      <c r="G300" t="inlineStr">
        <is>
          <t>Afl</t>
        </is>
      </c>
      <c r="H300" t="inlineStr">
        <is>
          <t>L-1485-848175026</t>
        </is>
      </c>
      <c r="I300" t="inlineStr">
        <is>
          <t>1272536858</t>
        </is>
      </c>
      <c r="J300" t="inlineStr">
        <is>
          <t>II 24,3q - 2</t>
        </is>
      </c>
      <c r="K300" t="inlineStr">
        <is>
          <t>II 24,3q - 2</t>
        </is>
      </c>
      <c r="L300" t="inlineStr">
        <is>
          <t>II 24,3q - 2</t>
        </is>
      </c>
      <c r="M300" t="inlineStr"/>
      <c r="N300" t="inlineStr">
        <is>
          <t>Biblia, lat.</t>
        </is>
      </c>
      <c r="O300" t="inlineStr">
        <is>
          <t xml:space="preserve">2 : </t>
        </is>
      </c>
      <c r="P300" t="inlineStr"/>
      <c r="Q300" t="inlineStr">
        <is>
          <t>7500,00 EUR</t>
        </is>
      </c>
      <c r="R300" t="inlineStr"/>
      <c r="S300" t="inlineStr">
        <is>
          <t>bis 35 cm</t>
        </is>
      </c>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is>
          <t>L</t>
        </is>
      </c>
      <c r="AJ300" t="inlineStr"/>
      <c r="AK300" t="inlineStr">
        <is>
          <t>x</t>
        </is>
      </c>
      <c r="AL300" t="inlineStr"/>
      <c r="AM300" t="inlineStr">
        <is>
          <t>f/V</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is>
          <t>I/R</t>
        </is>
      </c>
      <c r="BD300" t="inlineStr">
        <is>
          <t>x</t>
        </is>
      </c>
      <c r="BE300" t="inlineStr"/>
      <c r="BF300" t="inlineStr"/>
      <c r="BG300" t="n">
        <v>60</v>
      </c>
      <c r="BH300" t="inlineStr"/>
      <c r="BI300" t="inlineStr"/>
      <c r="BJ300" t="inlineStr"/>
      <c r="BK300" t="inlineStr"/>
      <c r="BL300" t="inlineStr"/>
      <c r="BM300" t="inlineStr">
        <is>
          <t>ja vor</t>
        </is>
      </c>
      <c r="BN300" t="n">
        <v>5.5</v>
      </c>
      <c r="BO300" t="inlineStr"/>
      <c r="BP300" t="inlineStr">
        <is>
          <t>Wellpappe</t>
        </is>
      </c>
      <c r="BQ300" t="inlineStr"/>
      <c r="BR300" t="inlineStr"/>
      <c r="BS300" t="inlineStr"/>
      <c r="BT300" t="inlineStr"/>
      <c r="BU300" t="inlineStr"/>
      <c r="BV300" t="inlineStr"/>
      <c r="BW300" t="inlineStr"/>
      <c r="BX300" t="inlineStr"/>
      <c r="BY300" t="inlineStr"/>
      <c r="BZ300" t="inlineStr">
        <is>
          <t>x</t>
        </is>
      </c>
      <c r="CA300" t="inlineStr">
        <is>
          <t>x</t>
        </is>
      </c>
      <c r="CB300" t="inlineStr">
        <is>
          <t>x</t>
        </is>
      </c>
      <c r="CC300" t="inlineStr"/>
      <c r="CD300" t="inlineStr">
        <is>
          <t>v/h</t>
        </is>
      </c>
      <c r="CE300" t="inlineStr"/>
      <c r="CF300" t="inlineStr"/>
      <c r="CG300" t="inlineStr"/>
      <c r="CH300" t="inlineStr"/>
      <c r="CI300" t="inlineStr"/>
      <c r="CJ300" t="inlineStr"/>
      <c r="CK300" t="inlineStr"/>
      <c r="CL300" t="inlineStr"/>
      <c r="CM300" t="n">
        <v>4.5</v>
      </c>
      <c r="CN300" t="inlineStr">
        <is>
          <t>Gelenke mit JP-Gewebe-Laminat unterlegen und ggf. mit JP überfangen</t>
        </is>
      </c>
      <c r="CO300" t="inlineStr">
        <is>
          <t>x</t>
        </is>
      </c>
      <c r="CP300" t="inlineStr">
        <is>
          <t>x</t>
        </is>
      </c>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n">
        <v>1</v>
      </c>
      <c r="DG300" t="inlineStr">
        <is>
          <t>Vorsätz trocken reinigen, ca. 80 Seiten mit mikrobiellen Befall trocken reinigen</t>
        </is>
      </c>
    </row>
    <row r="301">
      <c r="A301" t="inlineStr">
        <is>
          <t>II</t>
        </is>
      </c>
      <c r="B301" t="b">
        <v>1</v>
      </c>
      <c r="C301" t="inlineStr">
        <is>
          <t>x</t>
        </is>
      </c>
      <c r="D301" t="inlineStr"/>
      <c r="E301" t="inlineStr"/>
      <c r="F301">
        <f>HYPERLINK("https://portal.dnb.de/opac.htm?method=simpleSearch&amp;cqlMode=true&amp;query=idn%3D1272536912", "Portal")</f>
        <v/>
      </c>
      <c r="G301" t="inlineStr">
        <is>
          <t>Afl</t>
        </is>
      </c>
      <c r="H301" t="inlineStr">
        <is>
          <t>L-1485-848175069</t>
        </is>
      </c>
      <c r="I301" t="inlineStr">
        <is>
          <t>1272536912</t>
        </is>
      </c>
      <c r="J301" t="inlineStr">
        <is>
          <t>II 24,3q - 4</t>
        </is>
      </c>
      <c r="K301" t="inlineStr">
        <is>
          <t>II 24,3q - 4</t>
        </is>
      </c>
      <c r="L301" t="inlineStr">
        <is>
          <t>II 24,3q - 4</t>
        </is>
      </c>
      <c r="M301" t="inlineStr"/>
      <c r="N301" t="inlineStr">
        <is>
          <t>Biblia, lat.</t>
        </is>
      </c>
      <c r="O301" t="inlineStr">
        <is>
          <t xml:space="preserve">4 : </t>
        </is>
      </c>
      <c r="P301" t="inlineStr">
        <is>
          <t>X</t>
        </is>
      </c>
      <c r="Q301" t="inlineStr">
        <is>
          <t>2500,00 EUR</t>
        </is>
      </c>
      <c r="R301" t="inlineStr">
        <is>
          <t>Ledereinband, Schließen, erhabene Buchbeschläge</t>
        </is>
      </c>
      <c r="S301" t="inlineStr">
        <is>
          <t>bis 35 cm</t>
        </is>
      </c>
      <c r="T301" t="inlineStr">
        <is>
          <t>80° bis 110°, einseitig digitalisierbar?</t>
        </is>
      </c>
      <c r="U301" t="inlineStr">
        <is>
          <t>fester Rücken mit Schmuckprägung, welliger Buchblock, stark brüchiges Einbandmaterial, erhabene Illuminationen</t>
        </is>
      </c>
      <c r="V301" t="inlineStr">
        <is>
          <t>nicht auflegen</t>
        </is>
      </c>
      <c r="W301" t="inlineStr">
        <is>
          <t>Kassette</t>
        </is>
      </c>
      <c r="X301" t="inlineStr">
        <is>
          <t>Nein</t>
        </is>
      </c>
      <c r="Y301" t="n">
        <v>3</v>
      </c>
      <c r="Z301" t="inlineStr"/>
      <c r="AA301" t="inlineStr"/>
      <c r="AB301" t="inlineStr"/>
      <c r="AC301" t="inlineStr"/>
      <c r="AD301" t="inlineStr"/>
      <c r="AE301" t="inlineStr"/>
      <c r="AF301" t="inlineStr"/>
      <c r="AG301" t="inlineStr"/>
      <c r="AH301" t="inlineStr"/>
      <c r="AI301" t="inlineStr">
        <is>
          <t>L</t>
        </is>
      </c>
      <c r="AJ301" t="inlineStr"/>
      <c r="AK301" t="inlineStr">
        <is>
          <t>x</t>
        </is>
      </c>
      <c r="AL301" t="inlineStr"/>
      <c r="AM301" t="inlineStr">
        <is>
          <t>f/V</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c r="BA301" t="inlineStr"/>
      <c r="BB301" t="inlineStr"/>
      <c r="BC301" t="inlineStr">
        <is>
          <t>I/R</t>
        </is>
      </c>
      <c r="BD301" t="inlineStr">
        <is>
          <t>x</t>
        </is>
      </c>
      <c r="BE301" t="inlineStr"/>
      <c r="BF301" t="inlineStr"/>
      <c r="BG301" t="n">
        <v>45</v>
      </c>
      <c r="BH301" t="inlineStr"/>
      <c r="BI301" t="inlineStr"/>
      <c r="BJ301" t="inlineStr"/>
      <c r="BK301" t="inlineStr"/>
      <c r="BL301" t="inlineStr"/>
      <c r="BM301" t="inlineStr">
        <is>
          <t>ja vor</t>
        </is>
      </c>
      <c r="BN301" t="n">
        <v>8.5</v>
      </c>
      <c r="BO301" t="inlineStr"/>
      <c r="BP301" t="inlineStr">
        <is>
          <t>Wellpappe</t>
        </is>
      </c>
      <c r="BQ301" t="inlineStr"/>
      <c r="BR301" t="inlineStr"/>
      <c r="BS301" t="inlineStr"/>
      <c r="BT301" t="inlineStr"/>
      <c r="BU301" t="inlineStr"/>
      <c r="BV301" t="inlineStr"/>
      <c r="BW301" t="inlineStr"/>
      <c r="BX301" t="inlineStr"/>
      <c r="BY301" t="inlineStr"/>
      <c r="BZ301" t="inlineStr">
        <is>
          <t>x</t>
        </is>
      </c>
      <c r="CA301" t="inlineStr">
        <is>
          <t>x</t>
        </is>
      </c>
      <c r="CB301" t="inlineStr">
        <is>
          <t>x</t>
        </is>
      </c>
      <c r="CC301" t="inlineStr"/>
      <c r="CD301" t="inlineStr">
        <is>
          <t>v/h</t>
        </is>
      </c>
      <c r="CE301" t="inlineStr"/>
      <c r="CF301" t="inlineStr"/>
      <c r="CG301" t="inlineStr"/>
      <c r="CH301" t="inlineStr"/>
      <c r="CI301" t="inlineStr"/>
      <c r="CJ301" t="inlineStr"/>
      <c r="CK301" t="inlineStr"/>
      <c r="CL301" t="inlineStr">
        <is>
          <t>o</t>
        </is>
      </c>
      <c r="CM301" t="n">
        <v>6.5</v>
      </c>
      <c r="CN301" t="inlineStr">
        <is>
          <t>Kapital sichern, Gelenke mit JP-Gewebe-Laminat unterlegen und ggf. mit JP überfangen, Ecken stabilisieren</t>
        </is>
      </c>
      <c r="CO301" t="inlineStr">
        <is>
          <t>x</t>
        </is>
      </c>
      <c r="CP301" t="inlineStr">
        <is>
          <t>x</t>
        </is>
      </c>
      <c r="CQ301" t="inlineStr"/>
      <c r="CR301" t="inlineStr"/>
      <c r="CS301" t="inlineStr"/>
      <c r="CT301" t="inlineStr"/>
      <c r="CU301" t="inlineStr"/>
      <c r="CV301" t="inlineStr">
        <is>
          <t>x</t>
        </is>
      </c>
      <c r="CW301" t="inlineStr"/>
      <c r="CX301" t="inlineStr">
        <is>
          <t>x</t>
        </is>
      </c>
      <c r="CY301" t="inlineStr"/>
      <c r="CZ301" t="inlineStr"/>
      <c r="DA301" t="inlineStr">
        <is>
          <t>x</t>
        </is>
      </c>
      <c r="DB301" t="inlineStr"/>
      <c r="DC301" t="inlineStr"/>
      <c r="DD301" t="inlineStr"/>
      <c r="DE301" t="inlineStr"/>
      <c r="DF301" t="n">
        <v>2</v>
      </c>
      <c r="DG301" t="inlineStr">
        <is>
          <t>Vorsätz trocken reinigen, ca. 160 Seiten mit mikrobiellen Befall trocken reinigen, Risse schließen, Gewebefalz des Spiegels ggf. mit JP-Falz stabilisieren</t>
        </is>
      </c>
    </row>
    <row r="302">
      <c r="A302" t="inlineStr">
        <is>
          <t>II</t>
        </is>
      </c>
      <c r="B302" t="b">
        <v>1</v>
      </c>
      <c r="C302" t="inlineStr"/>
      <c r="D302" t="inlineStr"/>
      <c r="E302" t="n">
        <v>301</v>
      </c>
      <c r="F302">
        <f>HYPERLINK("https://portal.dnb.de/opac.htm?method=simpleSearch&amp;cqlMode=true&amp;query=idn%3D106697022X", "Portal")</f>
        <v/>
      </c>
      <c r="G302" t="inlineStr">
        <is>
          <t>Aa</t>
        </is>
      </c>
      <c r="H302" t="inlineStr">
        <is>
          <t>L-1486-315500565</t>
        </is>
      </c>
      <c r="I302" t="inlineStr">
        <is>
          <t>106697022X</t>
        </is>
      </c>
      <c r="J302" t="inlineStr">
        <is>
          <t>II 24,3r</t>
        </is>
      </c>
      <c r="K302" t="inlineStr">
        <is>
          <t>II 24,3r</t>
        </is>
      </c>
      <c r="L302" t="inlineStr">
        <is>
          <t>II 24,3r</t>
        </is>
      </c>
      <c r="M302" t="inlineStr"/>
      <c r="N302" t="inlineStr">
        <is>
          <t xml:space="preserve">Catholicon : </t>
        </is>
      </c>
      <c r="O302" t="inlineStr">
        <is>
          <t xml:space="preserve"> : </t>
        </is>
      </c>
      <c r="P302" t="inlineStr">
        <is>
          <t>X</t>
        </is>
      </c>
      <c r="Q302" t="inlineStr"/>
      <c r="R302" t="inlineStr">
        <is>
          <t>Ledereinband, Schließen, erhabene Buchbeschläge</t>
        </is>
      </c>
      <c r="S302" t="inlineStr">
        <is>
          <t>bis 42 cm</t>
        </is>
      </c>
      <c r="T302" t="inlineStr">
        <is>
          <t>80° bis 110°, einseitig digitalisierbar?</t>
        </is>
      </c>
      <c r="U302" t="inlineStr"/>
      <c r="V302" t="inlineStr"/>
      <c r="W302" t="inlineStr"/>
      <c r="X302" t="inlineStr">
        <is>
          <t>Signaturfahne austauschen</t>
        </is>
      </c>
      <c r="Y302" t="n">
        <v>0</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t>
        </is>
      </c>
      <c r="B303" t="b">
        <v>1</v>
      </c>
      <c r="C303" t="inlineStr">
        <is>
          <t>x</t>
        </is>
      </c>
      <c r="D303" t="inlineStr"/>
      <c r="E303" t="n">
        <v>302</v>
      </c>
      <c r="F303">
        <f>HYPERLINK("https://portal.dnb.de/opac.htm?method=simpleSearch&amp;cqlMode=true&amp;query=idn%3D1066970866", "Portal")</f>
        <v/>
      </c>
      <c r="G303" t="inlineStr">
        <is>
          <t>Aa</t>
        </is>
      </c>
      <c r="H303" t="inlineStr">
        <is>
          <t>L-1487-315501227</t>
        </is>
      </c>
      <c r="I303" t="inlineStr">
        <is>
          <t>1066970866</t>
        </is>
      </c>
      <c r="J303" t="inlineStr">
        <is>
          <t>II 24,3s</t>
        </is>
      </c>
      <c r="K303" t="inlineStr">
        <is>
          <t>II 24,3s</t>
        </is>
      </c>
      <c r="L303" t="inlineStr">
        <is>
          <t>II 24,3s</t>
        </is>
      </c>
      <c r="M303" t="inlineStr"/>
      <c r="N303" t="inlineStr">
        <is>
          <t xml:space="preserve">Sermones de tempore et de sanctis sive Hortulus reginae : </t>
        </is>
      </c>
      <c r="O303" t="inlineStr">
        <is>
          <t xml:space="preserve"> : </t>
        </is>
      </c>
      <c r="P303" t="inlineStr">
        <is>
          <t>X</t>
        </is>
      </c>
      <c r="Q303" t="inlineStr">
        <is>
          <t>1500,00 EUR</t>
        </is>
      </c>
      <c r="R303" t="inlineStr">
        <is>
          <t>Ledereinband, Schließen, erhabene Buchbeschläge</t>
        </is>
      </c>
      <c r="S303" t="inlineStr">
        <is>
          <t>bis 42 cm</t>
        </is>
      </c>
      <c r="T303" t="inlineStr">
        <is>
          <t>80° bis 110°, einseitig digitalisierbar?</t>
        </is>
      </c>
      <c r="U303" t="inlineStr">
        <is>
          <t>fester Rücken mit Schmuckprägung</t>
        </is>
      </c>
      <c r="V303" t="inlineStr"/>
      <c r="W303" t="inlineStr"/>
      <c r="X303" t="inlineStr">
        <is>
          <t>Signaturfahne austauschen</t>
        </is>
      </c>
      <c r="Y303" t="n">
        <v>1</v>
      </c>
      <c r="Z303" t="inlineStr"/>
      <c r="AA303" t="inlineStr"/>
      <c r="AB303" t="inlineStr"/>
      <c r="AC303" t="inlineStr"/>
      <c r="AD303" t="inlineStr"/>
      <c r="AE303" t="inlineStr"/>
      <c r="AF303" t="inlineStr"/>
      <c r="AG303" t="inlineStr"/>
      <c r="AH303" t="inlineStr"/>
      <c r="AI303" t="inlineStr">
        <is>
          <t>HD</t>
        </is>
      </c>
      <c r="AJ303" t="inlineStr"/>
      <c r="AK303" t="inlineStr">
        <is>
          <t>x</t>
        </is>
      </c>
      <c r="AL303" t="inlineStr"/>
      <c r="AM303" t="inlineStr">
        <is>
          <t>f</t>
        </is>
      </c>
      <c r="AN303" t="inlineStr"/>
      <c r="AO303" t="inlineStr"/>
      <c r="AP303" t="inlineStr"/>
      <c r="AQ303" t="inlineStr"/>
      <c r="AR303" t="inlineStr"/>
      <c r="AS303" t="inlineStr">
        <is>
          <t>Pa</t>
        </is>
      </c>
      <c r="AT303" t="inlineStr"/>
      <c r="AU303" t="inlineStr"/>
      <c r="AV303" t="inlineStr"/>
      <c r="AW303" t="inlineStr"/>
      <c r="AX303" t="inlineStr"/>
      <c r="AY303" t="inlineStr"/>
      <c r="AZ303" t="inlineStr"/>
      <c r="BA303" t="inlineStr"/>
      <c r="BB303" t="inlineStr"/>
      <c r="BC303" t="inlineStr"/>
      <c r="BD303" t="inlineStr"/>
      <c r="BE303" t="inlineStr"/>
      <c r="BF303" t="inlineStr"/>
      <c r="BG303" t="n">
        <v>45</v>
      </c>
      <c r="BH303" t="inlineStr"/>
      <c r="BI303" t="inlineStr"/>
      <c r="BJ303" t="inlineStr"/>
      <c r="BK303" t="inlineStr"/>
      <c r="BL303" t="inlineStr"/>
      <c r="BM303" t="inlineStr">
        <is>
          <t>ja vor</t>
        </is>
      </c>
      <c r="BN303" t="n">
        <v>1</v>
      </c>
      <c r="BO303" t="inlineStr"/>
      <c r="BP303" t="inlineStr">
        <is>
          <t>Wellpappe</t>
        </is>
      </c>
      <c r="BQ303" t="inlineStr"/>
      <c r="BR303" t="inlineStr"/>
      <c r="BS303" t="inlineStr"/>
      <c r="BT303" t="inlineStr"/>
      <c r="BU303" t="inlineStr"/>
      <c r="BV303" t="inlineStr"/>
      <c r="BW303" t="inlineStr"/>
      <c r="BX303" t="inlineStr"/>
      <c r="BY303" t="inlineStr"/>
      <c r="BZ303" t="inlineStr">
        <is>
          <t>x</t>
        </is>
      </c>
      <c r="CA303" t="inlineStr">
        <is>
          <t>x</t>
        </is>
      </c>
      <c r="CB303" t="inlineStr">
        <is>
          <t>x</t>
        </is>
      </c>
      <c r="CC303" t="inlineStr"/>
      <c r="CD303" t="inlineStr"/>
      <c r="CE303" t="inlineStr"/>
      <c r="CF303" t="inlineStr"/>
      <c r="CG303" t="inlineStr"/>
      <c r="CH303" t="inlineStr"/>
      <c r="CI303" t="inlineStr"/>
      <c r="CJ303" t="inlineStr"/>
      <c r="CK303" t="inlineStr"/>
      <c r="CL303" t="inlineStr"/>
      <c r="CM303" t="n">
        <v>0.5</v>
      </c>
      <c r="CN303" t="inlineStr"/>
      <c r="CO303" t="inlineStr">
        <is>
          <t>x</t>
        </is>
      </c>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n">
        <v>0.5</v>
      </c>
      <c r="DG303" t="inlineStr">
        <is>
          <t>v.a. letzten Seiten (am Kopf)</t>
        </is>
      </c>
    </row>
    <row r="304">
      <c r="A304" t="inlineStr">
        <is>
          <t>II</t>
        </is>
      </c>
      <c r="B304" t="b">
        <v>1</v>
      </c>
      <c r="C304" t="inlineStr"/>
      <c r="D304" t="inlineStr"/>
      <c r="E304" t="n">
        <v>303</v>
      </c>
      <c r="F304">
        <f>HYPERLINK("https://portal.dnb.de/opac.htm?method=simpleSearch&amp;cqlMode=true&amp;query=idn%3D1066966028", "Portal")</f>
        <v/>
      </c>
      <c r="G304" t="inlineStr">
        <is>
          <t>Aaf</t>
        </is>
      </c>
      <c r="H304" t="inlineStr">
        <is>
          <t>L-1492-315496320</t>
        </is>
      </c>
      <c r="I304" t="inlineStr">
        <is>
          <t>1066966028</t>
        </is>
      </c>
      <c r="J304" t="inlineStr">
        <is>
          <t>II 24,3ta</t>
        </is>
      </c>
      <c r="K304" t="inlineStr">
        <is>
          <t>II 24,3ta</t>
        </is>
      </c>
      <c r="L304" t="inlineStr">
        <is>
          <t>II 24,3ta</t>
        </is>
      </c>
      <c r="M304" t="inlineStr"/>
      <c r="N304" t="inlineStr">
        <is>
          <t xml:space="preserve">De proprietatibus rerum : </t>
        </is>
      </c>
      <c r="O304" t="inlineStr">
        <is>
          <t xml:space="preserve"> : </t>
        </is>
      </c>
      <c r="P304" t="inlineStr"/>
      <c r="Q304" t="inlineStr"/>
      <c r="R304" t="inlineStr">
        <is>
          <t>Ledereinband, Schließen, erhabene Buchbeschläge</t>
        </is>
      </c>
      <c r="S304" t="inlineStr">
        <is>
          <t>bis 35 cm</t>
        </is>
      </c>
      <c r="T304" t="inlineStr">
        <is>
          <t>80° bis 110°, einseitig digitalisierbar?</t>
        </is>
      </c>
      <c r="U304" t="inlineStr">
        <is>
          <t>erhabene Illuminationen, Schrift bis in den Falz</t>
        </is>
      </c>
      <c r="V304" t="inlineStr">
        <is>
          <t>nicht auflegen</t>
        </is>
      </c>
      <c r="W304" t="inlineStr">
        <is>
          <t>Kassette</t>
        </is>
      </c>
      <c r="X304" t="inlineStr">
        <is>
          <t>Nein</t>
        </is>
      </c>
      <c r="Y304" t="n">
        <v>0</v>
      </c>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t>
        </is>
      </c>
      <c r="B305" t="b">
        <v>1</v>
      </c>
      <c r="C305" t="inlineStr"/>
      <c r="D305" t="inlineStr"/>
      <c r="E305" t="n">
        <v>304</v>
      </c>
      <c r="F305">
        <f>HYPERLINK("https://portal.dnb.de/opac.htm?method=simpleSearch&amp;cqlMode=true&amp;query=idn%3D1066966028", "Portal")</f>
        <v/>
      </c>
      <c r="G305" t="inlineStr">
        <is>
          <t>Aaf</t>
        </is>
      </c>
      <c r="H305" t="inlineStr">
        <is>
          <t>L-1492-315496339</t>
        </is>
      </c>
      <c r="I305" t="inlineStr">
        <is>
          <t>1066966028</t>
        </is>
      </c>
      <c r="J305" t="inlineStr">
        <is>
          <t>II 24,3tab</t>
        </is>
      </c>
      <c r="K305" t="inlineStr">
        <is>
          <t>II 24,3tab</t>
        </is>
      </c>
      <c r="L305" t="inlineStr">
        <is>
          <t>II 24,3tab</t>
        </is>
      </c>
      <c r="M305" t="inlineStr"/>
      <c r="N305" t="inlineStr">
        <is>
          <t xml:space="preserve">De proprietatibus rerum : </t>
        </is>
      </c>
      <c r="O305" t="inlineStr">
        <is>
          <t xml:space="preserve"> : </t>
        </is>
      </c>
      <c r="P305" t="inlineStr"/>
      <c r="Q305" t="inlineStr"/>
      <c r="R305" t="inlineStr">
        <is>
          <t>Ledereinband, Schließen, erhabene Buchbeschläge</t>
        </is>
      </c>
      <c r="S305" t="inlineStr">
        <is>
          <t>bis 35 cm</t>
        </is>
      </c>
      <c r="T305" t="inlineStr">
        <is>
          <t>80° bis 110°, einseitig digitalisierbar?</t>
        </is>
      </c>
      <c r="U305" t="inlineStr">
        <is>
          <t>erhabene Illuminationen</t>
        </is>
      </c>
      <c r="V305" t="inlineStr">
        <is>
          <t>nicht auflegen</t>
        </is>
      </c>
      <c r="W305" t="inlineStr">
        <is>
          <t>Kassette</t>
        </is>
      </c>
      <c r="X305" t="inlineStr">
        <is>
          <t>Nein</t>
        </is>
      </c>
      <c r="Y305" t="n">
        <v>0</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t>
        </is>
      </c>
      <c r="B306" t="b">
        <v>1</v>
      </c>
      <c r="C306" t="inlineStr">
        <is>
          <t>x</t>
        </is>
      </c>
      <c r="D306" t="inlineStr"/>
      <c r="E306" t="n">
        <v>305</v>
      </c>
      <c r="F306">
        <f>HYPERLINK("https://portal.dnb.de/opac.htm?method=simpleSearch&amp;cqlMode=true&amp;query=idn%3D1066973016", "Portal")</f>
        <v/>
      </c>
      <c r="G306" t="inlineStr">
        <is>
          <t>Aaf</t>
        </is>
      </c>
      <c r="H306" t="inlineStr">
        <is>
          <t>L-1492-315503386</t>
        </is>
      </c>
      <c r="I306" t="inlineStr">
        <is>
          <t>1066973016</t>
        </is>
      </c>
      <c r="J306" t="inlineStr">
        <is>
          <t>II 24,3u</t>
        </is>
      </c>
      <c r="K306" t="inlineStr">
        <is>
          <t>II 24,3u</t>
        </is>
      </c>
      <c r="L306" t="inlineStr">
        <is>
          <t>II 24,3u</t>
        </is>
      </c>
      <c r="M306" t="inlineStr"/>
      <c r="N306" t="inlineStr">
        <is>
          <t xml:space="preserve">Opera : </t>
        </is>
      </c>
      <c r="O306" t="inlineStr">
        <is>
          <t xml:space="preserve"> : </t>
        </is>
      </c>
      <c r="P306" t="inlineStr">
        <is>
          <t>X</t>
        </is>
      </c>
      <c r="Q306" t="inlineStr">
        <is>
          <t>900,00 EUR</t>
        </is>
      </c>
      <c r="R306" t="inlineStr">
        <is>
          <t>Ledereinband, Schließen, erhabene Buchbeschläge</t>
        </is>
      </c>
      <c r="S306" t="inlineStr">
        <is>
          <t>bis 35 cm</t>
        </is>
      </c>
      <c r="T306" t="inlineStr">
        <is>
          <t>80° bis 110°, einseitig digitalisierbar?</t>
        </is>
      </c>
      <c r="U306" t="inlineStr">
        <is>
          <t>hohler Rücken, welliger Buchblock, stark brüchiges Einbandmaterial, Schrift bis in den Falz</t>
        </is>
      </c>
      <c r="V306" t="inlineStr"/>
      <c r="W306" t="inlineStr">
        <is>
          <t>Kassette</t>
        </is>
      </c>
      <c r="X306" t="inlineStr">
        <is>
          <t>Nein</t>
        </is>
      </c>
      <c r="Y306" t="n">
        <v>3</v>
      </c>
      <c r="Z306" t="inlineStr"/>
      <c r="AA306" t="inlineStr"/>
      <c r="AB306" t="inlineStr"/>
      <c r="AC306" t="inlineStr"/>
      <c r="AD306" t="inlineStr"/>
      <c r="AE306" t="inlineStr"/>
      <c r="AF306" t="inlineStr"/>
      <c r="AG306" t="inlineStr"/>
      <c r="AH306" t="inlineStr"/>
      <c r="AI306" t="inlineStr">
        <is>
          <t>L</t>
        </is>
      </c>
      <c r="AJ306" t="inlineStr"/>
      <c r="AK306" t="inlineStr">
        <is>
          <t>x</t>
        </is>
      </c>
      <c r="AL306" t="inlineStr"/>
      <c r="AM306" t="inlineStr">
        <is>
          <t>h/E</t>
        </is>
      </c>
      <c r="AN306" t="inlineStr"/>
      <c r="AO306" t="inlineStr"/>
      <c r="AP306" t="inlineStr"/>
      <c r="AQ306" t="inlineStr"/>
      <c r="AR306" t="inlineStr"/>
      <c r="AS306" t="inlineStr">
        <is>
          <t>Pa</t>
        </is>
      </c>
      <c r="AT306" t="inlineStr"/>
      <c r="AU306" t="inlineStr"/>
      <c r="AV306" t="inlineStr"/>
      <c r="AW306" t="inlineStr"/>
      <c r="AX306" t="inlineStr"/>
      <c r="AY306" t="inlineStr"/>
      <c r="AZ306" t="inlineStr"/>
      <c r="BA306" t="inlineStr"/>
      <c r="BB306" t="inlineStr"/>
      <c r="BC306" t="inlineStr"/>
      <c r="BD306" t="inlineStr"/>
      <c r="BE306" t="n">
        <v>2</v>
      </c>
      <c r="BF306" t="inlineStr">
        <is>
          <t>x</t>
        </is>
      </c>
      <c r="BG306" t="inlineStr">
        <is>
          <t>nur 110</t>
        </is>
      </c>
      <c r="BH306" t="inlineStr"/>
      <c r="BI306" t="inlineStr">
        <is>
          <t>x</t>
        </is>
      </c>
      <c r="BJ306" t="inlineStr">
        <is>
          <t xml:space="preserve">
Deckel vorn ist nicht mit BB verbunden (wird erst nach der Digit. restauriert)</t>
        </is>
      </c>
      <c r="BK306" t="inlineStr"/>
      <c r="BL306" t="inlineStr"/>
      <c r="BM306" t="inlineStr">
        <is>
          <t>ja vor und nach</t>
        </is>
      </c>
      <c r="BN306" t="n">
        <v>3</v>
      </c>
      <c r="BO306" t="inlineStr"/>
      <c r="BP306" t="inlineStr">
        <is>
          <t>Wellpappe</t>
        </is>
      </c>
      <c r="BQ306" t="inlineStr"/>
      <c r="BR306" t="inlineStr"/>
      <c r="BS306" t="inlineStr"/>
      <c r="BT306" t="inlineStr"/>
      <c r="BU306" t="inlineStr"/>
      <c r="BV306" t="inlineStr"/>
      <c r="BW306" t="inlineStr"/>
      <c r="BX306" t="inlineStr"/>
      <c r="BY306" t="inlineStr"/>
      <c r="BZ306" t="inlineStr">
        <is>
          <t>x</t>
        </is>
      </c>
      <c r="CA306" t="inlineStr">
        <is>
          <t>x</t>
        </is>
      </c>
      <c r="CB306" t="inlineStr">
        <is>
          <t>x</t>
        </is>
      </c>
      <c r="CC306" t="inlineStr"/>
      <c r="CD306" t="inlineStr">
        <is>
          <t>v/h</t>
        </is>
      </c>
      <c r="CE306" t="n">
        <v>3</v>
      </c>
      <c r="CF306" t="inlineStr">
        <is>
          <t>x</t>
        </is>
      </c>
      <c r="CG306" t="inlineStr"/>
      <c r="CH306" t="inlineStr"/>
      <c r="CI306" t="inlineStr"/>
      <c r="CJ306" t="inlineStr"/>
      <c r="CK306" t="inlineStr"/>
      <c r="CL306" t="inlineStr"/>
      <c r="CM306" t="n">
        <v>3</v>
      </c>
      <c r="CN306" t="inlineStr">
        <is>
          <t>vor der Digit.: Rücken am Kopf und im Gelenk vorn stabilisieren; nach der Digit.: Hülse anbringen, Gelenke überfangen mit JP (v.a. hinten), inneres Gelenk vorn ggf. mit JP-Falz zusätzlich stabilisieren</t>
        </is>
      </c>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t>
        </is>
      </c>
      <c r="B307" t="b">
        <v>1</v>
      </c>
      <c r="C307" t="inlineStr">
        <is>
          <t>x</t>
        </is>
      </c>
      <c r="D307" t="inlineStr"/>
      <c r="E307" t="n">
        <v>306</v>
      </c>
      <c r="F307">
        <f>HYPERLINK("https://portal.dnb.de/opac.htm?method=simpleSearch&amp;cqlMode=true&amp;query=idn%3D1066972141", "Portal")</f>
        <v/>
      </c>
      <c r="G307" t="inlineStr">
        <is>
          <t>Aa</t>
        </is>
      </c>
      <c r="H307" t="inlineStr">
        <is>
          <t>L-1493-315502568</t>
        </is>
      </c>
      <c r="I307" t="inlineStr">
        <is>
          <t>1066972141</t>
        </is>
      </c>
      <c r="J307" t="inlineStr">
        <is>
          <t>II 24,3v</t>
        </is>
      </c>
      <c r="K307" t="inlineStr">
        <is>
          <t>II 24,3v</t>
        </is>
      </c>
      <c r="L307" t="inlineStr">
        <is>
          <t>II 24,3v</t>
        </is>
      </c>
      <c r="M307" t="inlineStr"/>
      <c r="N307" t="inlineStr">
        <is>
          <t xml:space="preserve">Das @Buch der Croniken und Geschichten : </t>
        </is>
      </c>
      <c r="O307" t="inlineStr">
        <is>
          <t xml:space="preserve"> : </t>
        </is>
      </c>
      <c r="P307" t="inlineStr">
        <is>
          <t>X</t>
        </is>
      </c>
      <c r="Q307" t="inlineStr">
        <is>
          <t>265000,00 EUR</t>
        </is>
      </c>
      <c r="R307" t="inlineStr">
        <is>
          <t>Ledereinband, Schließen, erhabene Buchbeschläge</t>
        </is>
      </c>
      <c r="S307" t="inlineStr">
        <is>
          <t>bis 42 cm</t>
        </is>
      </c>
      <c r="T307" t="inlineStr">
        <is>
          <t>80° bis 110°, einseitig digitalisierbar?</t>
        </is>
      </c>
      <c r="U307" t="inlineStr">
        <is>
          <t>fester Rücken mit Schmuckprägung, gefaltete Blätter, Schrift bis in den Falz</t>
        </is>
      </c>
      <c r="V307" t="inlineStr"/>
      <c r="W307" t="inlineStr"/>
      <c r="X307" t="inlineStr"/>
      <c r="Y307" t="n">
        <v>1</v>
      </c>
      <c r="Z307" t="inlineStr"/>
      <c r="AA307" t="inlineStr"/>
      <c r="AB307" t="inlineStr"/>
      <c r="AC307" t="inlineStr"/>
      <c r="AD307" t="inlineStr"/>
      <c r="AE307" t="inlineStr"/>
      <c r="AF307" t="inlineStr"/>
      <c r="AG307" t="inlineStr"/>
      <c r="AH307" t="inlineStr"/>
      <c r="AI307" t="inlineStr">
        <is>
          <t>HD</t>
        </is>
      </c>
      <c r="AJ307" t="inlineStr"/>
      <c r="AK307" t="inlineStr">
        <is>
          <t>x</t>
        </is>
      </c>
      <c r="AL307" t="inlineStr"/>
      <c r="AM307" t="inlineStr">
        <is>
          <t>f/V</t>
        </is>
      </c>
      <c r="AN307" t="inlineStr"/>
      <c r="AO307" t="inlineStr"/>
      <c r="AP307" t="inlineStr"/>
      <c r="AQ307" t="inlineStr"/>
      <c r="AR307" t="inlineStr"/>
      <c r="AS307" t="inlineStr">
        <is>
          <t>Pa</t>
        </is>
      </c>
      <c r="AT307" t="inlineStr"/>
      <c r="AU307" t="inlineStr"/>
      <c r="AV307" t="inlineStr"/>
      <c r="AW307" t="inlineStr"/>
      <c r="AX307" t="inlineStr"/>
      <c r="AY307" t="inlineStr"/>
      <c r="AZ307" t="inlineStr">
        <is>
          <t>x (durchgehend)</t>
        </is>
      </c>
      <c r="BA307" t="inlineStr"/>
      <c r="BB307" t="inlineStr"/>
      <c r="BC307" t="inlineStr"/>
      <c r="BD307" t="inlineStr"/>
      <c r="BE307" t="inlineStr"/>
      <c r="BF307" t="inlineStr"/>
      <c r="BG307" t="n">
        <v>110</v>
      </c>
      <c r="BH307" t="inlineStr"/>
      <c r="BI307" t="inlineStr"/>
      <c r="BJ307" t="inlineStr"/>
      <c r="BK307" t="inlineStr"/>
      <c r="BL307" t="inlineStr"/>
      <c r="BM307" t="inlineStr">
        <is>
          <t>ja vor</t>
        </is>
      </c>
      <c r="BN307" t="n">
        <v>3</v>
      </c>
      <c r="BO307" t="inlineStr"/>
      <c r="BP307" t="inlineStr"/>
      <c r="BQ307" t="inlineStr"/>
      <c r="BR307" t="inlineStr">
        <is>
          <t>x</t>
        </is>
      </c>
      <c r="BS307" t="inlineStr"/>
      <c r="BT307" t="inlineStr"/>
      <c r="BU307" t="inlineStr"/>
      <c r="BV307" t="inlineStr"/>
      <c r="BW307" t="inlineStr"/>
      <c r="BX307" t="inlineStr"/>
      <c r="BY307" t="inlineStr"/>
      <c r="BZ307" t="inlineStr">
        <is>
          <t>x</t>
        </is>
      </c>
      <c r="CA307" t="inlineStr"/>
      <c r="CB307" t="inlineStr">
        <is>
          <t>x</t>
        </is>
      </c>
      <c r="CC307" t="inlineStr"/>
      <c r="CD307" t="inlineStr"/>
      <c r="CE307" t="inlineStr"/>
      <c r="CF307" t="inlineStr"/>
      <c r="CG307" t="inlineStr"/>
      <c r="CH307" t="inlineStr"/>
      <c r="CI307" t="inlineStr"/>
      <c r="CJ307" t="inlineStr"/>
      <c r="CK307" t="inlineStr"/>
      <c r="CL307" t="inlineStr">
        <is>
          <t>o/u</t>
        </is>
      </c>
      <c r="CM307" t="n">
        <v>3</v>
      </c>
      <c r="CN307" t="inlineStr">
        <is>
          <t>Kapitale sichern, loses Leder zurückkleben, teilweise überfangen</t>
        </is>
      </c>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t>
        </is>
      </c>
      <c r="B308" t="b">
        <v>1</v>
      </c>
      <c r="C308" t="inlineStr"/>
      <c r="D308" t="inlineStr"/>
      <c r="E308" t="n">
        <v>307</v>
      </c>
      <c r="F308">
        <f>HYPERLINK("https://portal.dnb.de/opac.htm?method=simpleSearch&amp;cqlMode=true&amp;query=idn%3D1066969426", "Portal")</f>
        <v/>
      </c>
      <c r="G308" t="inlineStr">
        <is>
          <t>Aa</t>
        </is>
      </c>
      <c r="H308" t="inlineStr">
        <is>
          <t>L-1494-315499745</t>
        </is>
      </c>
      <c r="I308" t="inlineStr">
        <is>
          <t>1066969426</t>
        </is>
      </c>
      <c r="J308" t="inlineStr">
        <is>
          <t>II 24,3w</t>
        </is>
      </c>
      <c r="K308" t="inlineStr">
        <is>
          <t>II 24,3w</t>
        </is>
      </c>
      <c r="L308" t="inlineStr">
        <is>
          <t>II 24,3w</t>
        </is>
      </c>
      <c r="M308" t="inlineStr"/>
      <c r="N308" t="inlineStr">
        <is>
          <t xml:space="preserve">Malleus maleficarum : </t>
        </is>
      </c>
      <c r="O308" t="inlineStr">
        <is>
          <t xml:space="preserve"> : </t>
        </is>
      </c>
      <c r="P308" t="inlineStr">
        <is>
          <t>x</t>
        </is>
      </c>
      <c r="Q308" t="inlineStr"/>
      <c r="R308" t="inlineStr">
        <is>
          <t>Ledereinband, Schließen, erhabene Buchbeschläge</t>
        </is>
      </c>
      <c r="S308" t="inlineStr">
        <is>
          <t>bis 25 cm</t>
        </is>
      </c>
      <c r="T308" t="inlineStr">
        <is>
          <t>nur sehr geringer Öffnungswinkel</t>
        </is>
      </c>
      <c r="U308" t="inlineStr">
        <is>
          <t>fester Rücken mit Schmuckprägung, welliger Buchblock, erhabene Illuminationen</t>
        </is>
      </c>
      <c r="V308" t="inlineStr">
        <is>
          <t>nicht auflegen</t>
        </is>
      </c>
      <c r="W308" t="inlineStr">
        <is>
          <t>Kassette</t>
        </is>
      </c>
      <c r="X308" t="inlineStr">
        <is>
          <t>Nein</t>
        </is>
      </c>
      <c r="Y308" t="n">
        <v>1</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t>
        </is>
      </c>
      <c r="B309" t="b">
        <v>1</v>
      </c>
      <c r="C309" t="inlineStr"/>
      <c r="D309" t="inlineStr"/>
      <c r="E309" t="n">
        <v>308</v>
      </c>
      <c r="F309">
        <f>HYPERLINK("https://portal.dnb.de/opac.htm?method=simpleSearch&amp;cqlMode=true&amp;query=idn%3D1066971617", "Portal")</f>
        <v/>
      </c>
      <c r="G309" t="inlineStr">
        <is>
          <t>Aa</t>
        </is>
      </c>
      <c r="H309" t="inlineStr">
        <is>
          <t>L-1496-315501995</t>
        </is>
      </c>
      <c r="I309" t="inlineStr">
        <is>
          <t>1066971617</t>
        </is>
      </c>
      <c r="J309" t="inlineStr">
        <is>
          <t>II 24,3x</t>
        </is>
      </c>
      <c r="K309" t="inlineStr">
        <is>
          <t>II 24,3x</t>
        </is>
      </c>
      <c r="L309" t="inlineStr">
        <is>
          <t>II 24,3x</t>
        </is>
      </c>
      <c r="M309" t="inlineStr"/>
      <c r="N309" t="inlineStr">
        <is>
          <t xml:space="preserve">Epistolae familiares : </t>
        </is>
      </c>
      <c r="O309" t="inlineStr">
        <is>
          <t xml:space="preserve"> : </t>
        </is>
      </c>
      <c r="P309" t="inlineStr"/>
      <c r="Q309" t="inlineStr"/>
      <c r="R309" t="inlineStr">
        <is>
          <t>Ledereinband</t>
        </is>
      </c>
      <c r="S309" t="inlineStr">
        <is>
          <t>bis 25 cm</t>
        </is>
      </c>
      <c r="T309" t="inlineStr">
        <is>
          <t>80° bis 110°, einseitig digitalisierbar?</t>
        </is>
      </c>
      <c r="U309" t="inlineStr">
        <is>
          <t>erhabene Illuminationen</t>
        </is>
      </c>
      <c r="V309" t="inlineStr">
        <is>
          <t>nicht auflegen</t>
        </is>
      </c>
      <c r="W309" t="inlineStr">
        <is>
          <t>Kassette</t>
        </is>
      </c>
      <c r="X309" t="inlineStr"/>
      <c r="Y309" t="n">
        <v>0</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t>
        </is>
      </c>
      <c r="B310" t="b">
        <v>1</v>
      </c>
      <c r="C310" t="inlineStr"/>
      <c r="D310" t="inlineStr"/>
      <c r="E310" t="n">
        <v>309</v>
      </c>
      <c r="F310">
        <f>HYPERLINK("https://portal.dnb.de/opac.htm?method=simpleSearch&amp;cqlMode=true&amp;query=idn%3D1066965188", "Portal")</f>
        <v/>
      </c>
      <c r="G310" t="inlineStr">
        <is>
          <t>Aaf</t>
        </is>
      </c>
      <c r="H310" t="inlineStr">
        <is>
          <t>L-1496-315495332</t>
        </is>
      </c>
      <c r="I310" t="inlineStr">
        <is>
          <t>1066965188</t>
        </is>
      </c>
      <c r="J310" t="inlineStr">
        <is>
          <t>II 24,3y</t>
        </is>
      </c>
      <c r="K310" t="inlineStr">
        <is>
          <t>II 24,3y</t>
        </is>
      </c>
      <c r="L310" t="inlineStr">
        <is>
          <t>II 24,3y</t>
        </is>
      </c>
      <c r="M310" t="inlineStr"/>
      <c r="N310" t="inlineStr">
        <is>
          <t xml:space="preserve">Destructorium vitiorum : </t>
        </is>
      </c>
      <c r="O310" t="inlineStr">
        <is>
          <t xml:space="preserve"> : </t>
        </is>
      </c>
      <c r="P310" t="inlineStr"/>
      <c r="Q310" t="inlineStr"/>
      <c r="R310" t="inlineStr">
        <is>
          <t>Ledereinband, Schließen, erhabene Buchbeschläge</t>
        </is>
      </c>
      <c r="S310" t="inlineStr">
        <is>
          <t>bis 35 cm</t>
        </is>
      </c>
      <c r="T310" t="inlineStr">
        <is>
          <t>80° bis 110°, einseitig digitalisierbar?</t>
        </is>
      </c>
      <c r="U310" t="inlineStr">
        <is>
          <t>hohler Rücken, stark brüchiges Einbandmaterial</t>
        </is>
      </c>
      <c r="V310" t="inlineStr"/>
      <c r="W310" t="inlineStr">
        <is>
          <t>Kassette</t>
        </is>
      </c>
      <c r="X310" t="inlineStr">
        <is>
          <t>Nein</t>
        </is>
      </c>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t>
        </is>
      </c>
      <c r="B311" t="b">
        <v>1</v>
      </c>
      <c r="C311" t="inlineStr"/>
      <c r="D311" t="inlineStr"/>
      <c r="E311" t="n">
        <v>310</v>
      </c>
      <c r="F311">
        <f>HYPERLINK("https://portal.dnb.de/opac.htm?method=simpleSearch&amp;cqlMode=true&amp;query=idn%3D1066969612", "Portal")</f>
        <v/>
      </c>
      <c r="G311" t="inlineStr">
        <is>
          <t>Aaf</t>
        </is>
      </c>
      <c r="H311" t="inlineStr">
        <is>
          <t>L-1497-31549994X</t>
        </is>
      </c>
      <c r="I311" t="inlineStr">
        <is>
          <t>1066969612</t>
        </is>
      </c>
      <c r="J311" t="inlineStr">
        <is>
          <t>II 24,3z</t>
        </is>
      </c>
      <c r="K311" t="inlineStr">
        <is>
          <t>II 24,3z</t>
        </is>
      </c>
      <c r="L311" t="inlineStr">
        <is>
          <t>II 24,3z</t>
        </is>
      </c>
      <c r="M311" t="inlineStr"/>
      <c r="N311" t="inlineStr">
        <is>
          <t xml:space="preserve">Satyrae : </t>
        </is>
      </c>
      <c r="O311" t="inlineStr">
        <is>
          <t xml:space="preserve"> : </t>
        </is>
      </c>
      <c r="P311" t="inlineStr">
        <is>
          <t>X</t>
        </is>
      </c>
      <c r="Q311" t="inlineStr"/>
      <c r="R311" t="inlineStr">
        <is>
          <t>Halbledereinband, Schließen, erhabene Buchbeschläge</t>
        </is>
      </c>
      <c r="S311" t="inlineStr">
        <is>
          <t>bis 35 cm</t>
        </is>
      </c>
      <c r="T311" t="inlineStr">
        <is>
          <t>80° bis 110°, einseitig digitalisierbar?</t>
        </is>
      </c>
      <c r="U311" t="inlineStr">
        <is>
          <t>fester Rücken mit Schmuckprägung</t>
        </is>
      </c>
      <c r="V311" t="inlineStr"/>
      <c r="W311" t="inlineStr">
        <is>
          <t>Kassette</t>
        </is>
      </c>
      <c r="X311" t="inlineStr">
        <is>
          <t>Nein</t>
        </is>
      </c>
      <c r="Y311" t="n">
        <v>0</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t>
        </is>
      </c>
      <c r="B312" t="b">
        <v>1</v>
      </c>
      <c r="C312" t="inlineStr"/>
      <c r="D312" t="inlineStr"/>
      <c r="E312" t="n">
        <v>311</v>
      </c>
      <c r="F312">
        <f>HYPERLINK("https://portal.dnb.de/opac.htm?method=simpleSearch&amp;cqlMode=true&amp;query=idn%3D1060137496", "Portal")</f>
        <v/>
      </c>
      <c r="G312" t="inlineStr">
        <is>
          <t>Aa</t>
        </is>
      </c>
      <c r="H312" t="inlineStr">
        <is>
          <t>L-1482-302645780</t>
        </is>
      </c>
      <c r="I312" t="inlineStr">
        <is>
          <t>1060137496</t>
        </is>
      </c>
      <c r="J312" t="inlineStr">
        <is>
          <t>II 24,4 f</t>
        </is>
      </c>
      <c r="K312" t="inlineStr">
        <is>
          <t>II 24,4 f</t>
        </is>
      </c>
      <c r="L312" t="inlineStr">
        <is>
          <t>II 24,4 f</t>
        </is>
      </c>
      <c r="M312" t="inlineStr"/>
      <c r="N312" t="inlineStr">
        <is>
          <t xml:space="preserve">Forma confessionalis et absolutionis ad opus sanctae cruciatae : </t>
        </is>
      </c>
      <c r="O312" t="inlineStr">
        <is>
          <t xml:space="preserve"> : </t>
        </is>
      </c>
      <c r="P312" t="inlineStr"/>
      <c r="Q312" t="inlineStr"/>
      <c r="R312" t="inlineStr"/>
      <c r="S312" t="inlineStr"/>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t>
        </is>
      </c>
      <c r="B313" t="b">
        <v>1</v>
      </c>
      <c r="C313" t="inlineStr"/>
      <c r="D313" t="inlineStr"/>
      <c r="E313" t="n">
        <v>312</v>
      </c>
      <c r="F313">
        <f>HYPERLINK("https://portal.dnb.de/opac.htm?method=simpleSearch&amp;cqlMode=true&amp;query=idn%3D1060136910", "Portal")</f>
        <v/>
      </c>
      <c r="G313" t="inlineStr">
        <is>
          <t>Aa</t>
        </is>
      </c>
      <c r="H313" t="inlineStr">
        <is>
          <t>L-1485-302645535</t>
        </is>
      </c>
      <c r="I313" t="inlineStr">
        <is>
          <t>1060136910</t>
        </is>
      </c>
      <c r="J313" t="inlineStr">
        <is>
          <t>II 24,4 h</t>
        </is>
      </c>
      <c r="K313" t="inlineStr">
        <is>
          <t>II 24,4 h</t>
        </is>
      </c>
      <c r="L313" t="inlineStr">
        <is>
          <t>II 24,4 h</t>
        </is>
      </c>
      <c r="M313" t="inlineStr"/>
      <c r="N313" t="inlineStr">
        <is>
          <t xml:space="preserve">Indulgentiae et beneficia benefactoribus hospitalis ordinis S. Spiritus in Roma concessa : </t>
        </is>
      </c>
      <c r="O313" t="inlineStr">
        <is>
          <t xml:space="preserve"> : </t>
        </is>
      </c>
      <c r="P313" t="inlineStr"/>
      <c r="Q313" t="inlineStr"/>
      <c r="R313" t="inlineStr"/>
      <c r="S313" t="inlineStr"/>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t>
        </is>
      </c>
      <c r="B314" t="b">
        <v>1</v>
      </c>
      <c r="C314" t="inlineStr"/>
      <c r="D314" t="inlineStr"/>
      <c r="E314" t="n">
        <v>313</v>
      </c>
      <c r="F314">
        <f>HYPERLINK("https://portal.dnb.de/opac.htm?method=simpleSearch&amp;cqlMode=true&amp;query=idn%3D1066965056", "Portal")</f>
        <v/>
      </c>
      <c r="G314" t="inlineStr">
        <is>
          <t>Aaf</t>
        </is>
      </c>
      <c r="H314" t="inlineStr">
        <is>
          <t>L-1472-315495197</t>
        </is>
      </c>
      <c r="I314" t="inlineStr">
        <is>
          <t>1066965056</t>
        </is>
      </c>
      <c r="J314" t="inlineStr">
        <is>
          <t>II 24,4a</t>
        </is>
      </c>
      <c r="K314" t="inlineStr">
        <is>
          <t>II 24,4a</t>
        </is>
      </c>
      <c r="L314" t="inlineStr">
        <is>
          <t>II 24,4a</t>
        </is>
      </c>
      <c r="M314" t="inlineStr"/>
      <c r="N314" t="inlineStr">
        <is>
          <t xml:space="preserve">Ehebüchlein : </t>
        </is>
      </c>
      <c r="O314" t="inlineStr">
        <is>
          <t xml:space="preserve"> : </t>
        </is>
      </c>
      <c r="P314" t="inlineStr">
        <is>
          <t>x</t>
        </is>
      </c>
      <c r="Q314" t="inlineStr"/>
      <c r="R314" t="inlineStr">
        <is>
          <t>Halbledereinband, Schließen, erhabene Buchbeschläge</t>
        </is>
      </c>
      <c r="S314" t="inlineStr">
        <is>
          <t>bis 25 cm</t>
        </is>
      </c>
      <c r="T314" t="inlineStr">
        <is>
          <t>80° bis 110°, einseitig digitalisierbar?</t>
        </is>
      </c>
      <c r="U314" t="inlineStr">
        <is>
          <t>hohler Rücken, stark brüchiges Einbandmaterial, erhabene Illuminationen</t>
        </is>
      </c>
      <c r="V314" t="inlineStr">
        <is>
          <t>nicht auflegen</t>
        </is>
      </c>
      <c r="W314" t="inlineStr">
        <is>
          <t>Kassette</t>
        </is>
      </c>
      <c r="X314" t="inlineStr">
        <is>
          <t>Nein</t>
        </is>
      </c>
      <c r="Y314" t="n">
        <v>3</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t>
        </is>
      </c>
      <c r="B315" t="b">
        <v>1</v>
      </c>
      <c r="C315" t="inlineStr"/>
      <c r="D315" t="inlineStr"/>
      <c r="E315" t="n">
        <v>314</v>
      </c>
      <c r="F315">
        <f>HYPERLINK("https://portal.dnb.de/opac.htm?method=simpleSearch&amp;cqlMode=true&amp;query=idn%3D1066969094", "Portal")</f>
        <v/>
      </c>
      <c r="G315" t="inlineStr">
        <is>
          <t>Aaf</t>
        </is>
      </c>
      <c r="H315" t="inlineStr">
        <is>
          <t>L-1476-315499397</t>
        </is>
      </c>
      <c r="I315" t="inlineStr">
        <is>
          <t>1066969094</t>
        </is>
      </c>
      <c r="J315" t="inlineStr">
        <is>
          <t>II 24,4b</t>
        </is>
      </c>
      <c r="K315" t="inlineStr">
        <is>
          <t>II 24,4b</t>
        </is>
      </c>
      <c r="L315" t="inlineStr">
        <is>
          <t>II 24,4b</t>
        </is>
      </c>
      <c r="M315" t="inlineStr"/>
      <c r="N315" t="inlineStr">
        <is>
          <t xml:space="preserve">Elucidarius scripturarum : </t>
        </is>
      </c>
      <c r="O315" t="inlineStr">
        <is>
          <t xml:space="preserve"> : </t>
        </is>
      </c>
      <c r="P315" t="inlineStr">
        <is>
          <t>X</t>
        </is>
      </c>
      <c r="Q315" t="inlineStr"/>
      <c r="R315" t="inlineStr">
        <is>
          <t>Halbledereinband, Schließen, erhabene Buchbeschläge</t>
        </is>
      </c>
      <c r="S315" t="inlineStr">
        <is>
          <t>bis 42 cm</t>
        </is>
      </c>
      <c r="T315" t="inlineStr">
        <is>
          <t>80° bis 110°, einseitig digitalisierbar?</t>
        </is>
      </c>
      <c r="U315" t="inlineStr">
        <is>
          <t>hohler Rücken</t>
        </is>
      </c>
      <c r="V315" t="inlineStr"/>
      <c r="W315" t="inlineStr"/>
      <c r="X315" t="inlineStr">
        <is>
          <t>Signaturfahne austauschen</t>
        </is>
      </c>
      <c r="Y315" t="n">
        <v>1</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t>
        </is>
      </c>
      <c r="B316" t="b">
        <v>1</v>
      </c>
      <c r="C316" t="inlineStr"/>
      <c r="D316" t="inlineStr"/>
      <c r="E316" t="n">
        <v>315</v>
      </c>
      <c r="F316">
        <f>HYPERLINK("https://portal.dnb.de/opac.htm?method=simpleSearch&amp;cqlMode=true&amp;query=idn%3D1066969825", "Portal")</f>
        <v/>
      </c>
      <c r="G316" t="inlineStr">
        <is>
          <t>Aaf</t>
        </is>
      </c>
      <c r="H316" t="inlineStr">
        <is>
          <t>L-1478-315500166</t>
        </is>
      </c>
      <c r="I316" t="inlineStr">
        <is>
          <t>1066969825</t>
        </is>
      </c>
      <c r="J316" t="inlineStr">
        <is>
          <t>II 24,4c</t>
        </is>
      </c>
      <c r="K316" t="inlineStr">
        <is>
          <t>II 24,4c</t>
        </is>
      </c>
      <c r="L316" t="inlineStr">
        <is>
          <t>II 24,4c</t>
        </is>
      </c>
      <c r="M316" t="inlineStr"/>
      <c r="N316" t="inlineStr">
        <is>
          <t xml:space="preserve">Lectura super arboribus consanguinitatis et affinitatis : </t>
        </is>
      </c>
      <c r="O316" t="inlineStr">
        <is>
          <t xml:space="preserve"> : </t>
        </is>
      </c>
      <c r="P316" t="inlineStr">
        <is>
          <t>X</t>
        </is>
      </c>
      <c r="Q316" t="inlineStr"/>
      <c r="R316" t="inlineStr">
        <is>
          <t>Gewebeeinband, Schließen, erhabene Buchbeschläge</t>
        </is>
      </c>
      <c r="S316" t="inlineStr">
        <is>
          <t>bis 35 cm</t>
        </is>
      </c>
      <c r="T316" t="inlineStr">
        <is>
          <t>180°</t>
        </is>
      </c>
      <c r="U316" t="inlineStr">
        <is>
          <t>hohler Rücken, stark brüchiges Einbandmaterial</t>
        </is>
      </c>
      <c r="V316" t="inlineStr"/>
      <c r="W316" t="inlineStr">
        <is>
          <t>Kassette</t>
        </is>
      </c>
      <c r="X316" t="inlineStr">
        <is>
          <t>Nein</t>
        </is>
      </c>
      <c r="Y316" t="n">
        <v>2</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t>
        </is>
      </c>
      <c r="B317" t="b">
        <v>1</v>
      </c>
      <c r="C317" t="inlineStr"/>
      <c r="D317" t="inlineStr"/>
      <c r="E317" t="n">
        <v>316</v>
      </c>
      <c r="F317">
        <f>HYPERLINK("https://portal.dnb.de/opac.htm?method=simpleSearch&amp;cqlMode=true&amp;query=idn%3D1066971897", "Portal")</f>
        <v/>
      </c>
      <c r="G317" t="inlineStr">
        <is>
          <t>Aa</t>
        </is>
      </c>
      <c r="H317" t="inlineStr">
        <is>
          <t>L-1481-315502290</t>
        </is>
      </c>
      <c r="I317" t="inlineStr">
        <is>
          <t>1066971897</t>
        </is>
      </c>
      <c r="J317" t="inlineStr">
        <is>
          <t>II 24,4d</t>
        </is>
      </c>
      <c r="K317" t="inlineStr">
        <is>
          <t>II 24,4d</t>
        </is>
      </c>
      <c r="L317" t="inlineStr">
        <is>
          <t>II 24,4d</t>
        </is>
      </c>
      <c r="M317" t="inlineStr"/>
      <c r="N317" t="inlineStr">
        <is>
          <t xml:space="preserve">Aurea Biblia, sive Repertorium aureum Bibliorum : </t>
        </is>
      </c>
      <c r="O317" t="inlineStr">
        <is>
          <t xml:space="preserve"> : </t>
        </is>
      </c>
      <c r="P317" t="inlineStr">
        <is>
          <t>X</t>
        </is>
      </c>
      <c r="Q317" t="inlineStr"/>
      <c r="R317" t="inlineStr">
        <is>
          <t>Pergamentband</t>
        </is>
      </c>
      <c r="S317" t="inlineStr">
        <is>
          <t>bis 35 cm</t>
        </is>
      </c>
      <c r="T317" t="inlineStr">
        <is>
          <t>80° bis 110°, einseitig digitalisierbar?</t>
        </is>
      </c>
      <c r="U317" t="inlineStr">
        <is>
          <t>hohler Rücken, erhabene Illuminationen</t>
        </is>
      </c>
      <c r="V317" t="inlineStr">
        <is>
          <t>nicht auflegen</t>
        </is>
      </c>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t>
        </is>
      </c>
      <c r="B318" t="b">
        <v>1</v>
      </c>
      <c r="C318" t="inlineStr"/>
      <c r="D318" t="inlineStr"/>
      <c r="E318" t="n">
        <v>317</v>
      </c>
      <c r="F318">
        <f>HYPERLINK("https://portal.dnb.de/opac.htm?method=simpleSearch&amp;cqlMode=true&amp;query=idn%3D106697280X", "Portal")</f>
        <v/>
      </c>
      <c r="G318" t="inlineStr">
        <is>
          <t>Aaf</t>
        </is>
      </c>
      <c r="H318" t="inlineStr">
        <is>
          <t>L-1482-315503211</t>
        </is>
      </c>
      <c r="I318" t="inlineStr">
        <is>
          <t>106697280X</t>
        </is>
      </c>
      <c r="J318" t="inlineStr">
        <is>
          <t>II 24,4e</t>
        </is>
      </c>
      <c r="K318" t="inlineStr">
        <is>
          <t>II 24,4e</t>
        </is>
      </c>
      <c r="L318" t="inlineStr">
        <is>
          <t>II 24,4e</t>
        </is>
      </c>
      <c r="M318" t="inlineStr"/>
      <c r="N318" t="inlineStr">
        <is>
          <t xml:space="preserve">Modus legendi abbreviaturas in utroque iure : </t>
        </is>
      </c>
      <c r="O318" t="inlineStr">
        <is>
          <t xml:space="preserve"> : </t>
        </is>
      </c>
      <c r="P318" t="inlineStr"/>
      <c r="Q318" t="inlineStr"/>
      <c r="R318" t="inlineStr">
        <is>
          <t>Pergamentband</t>
        </is>
      </c>
      <c r="S318" t="inlineStr">
        <is>
          <t>bis 35 cm</t>
        </is>
      </c>
      <c r="T318" t="inlineStr">
        <is>
          <t>80° bis 110°, einseitig digitalisierbar?</t>
        </is>
      </c>
      <c r="U318" t="inlineStr">
        <is>
          <t>hohler Rücken, Einband mit Schutz- oder Stoßkanten, seitliche Klammerung oder Bindung, erhabene Illuminationen</t>
        </is>
      </c>
      <c r="V318" t="inlineStr">
        <is>
          <t>nicht auflegen</t>
        </is>
      </c>
      <c r="W318" t="inlineStr">
        <is>
          <t>Kassette</t>
        </is>
      </c>
      <c r="X318" t="inlineStr">
        <is>
          <t>Nein</t>
        </is>
      </c>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t>
        </is>
      </c>
      <c r="B319" t="b">
        <v>1</v>
      </c>
      <c r="C319" t="inlineStr"/>
      <c r="D319" t="inlineStr"/>
      <c r="E319" t="n">
        <v>318</v>
      </c>
      <c r="F319">
        <f>HYPERLINK("https://portal.dnb.de/opac.htm?method=simpleSearch&amp;cqlMode=true&amp;query=idn%3D1066971900", "Portal")</f>
        <v/>
      </c>
      <c r="G319" t="inlineStr">
        <is>
          <t>Aaf</t>
        </is>
      </c>
      <c r="H319" t="inlineStr">
        <is>
          <t>L-1474-315502304</t>
        </is>
      </c>
      <c r="I319" t="inlineStr">
        <is>
          <t>1066971900</t>
        </is>
      </c>
      <c r="J319" t="inlineStr">
        <is>
          <t>II 24,5a</t>
        </is>
      </c>
      <c r="K319" t="inlineStr">
        <is>
          <t>II 24,5a</t>
        </is>
      </c>
      <c r="L319" t="inlineStr">
        <is>
          <t>II 24,5a</t>
        </is>
      </c>
      <c r="M319" t="inlineStr"/>
      <c r="N319" t="inlineStr">
        <is>
          <t xml:space="preserve">Ephemerides, 1475-1506 : </t>
        </is>
      </c>
      <c r="O319" t="inlineStr">
        <is>
          <t xml:space="preserve"> : </t>
        </is>
      </c>
      <c r="P319" t="inlineStr">
        <is>
          <t>X</t>
        </is>
      </c>
      <c r="Q319" t="inlineStr"/>
      <c r="R319" t="inlineStr">
        <is>
          <t>Ledereinband, Buchblock aus Pergament</t>
        </is>
      </c>
      <c r="S319" t="inlineStr">
        <is>
          <t>bis 25 cm</t>
        </is>
      </c>
      <c r="T319" t="inlineStr">
        <is>
          <t>80° bis 110°, einseitig digitalisierbar?</t>
        </is>
      </c>
      <c r="U319" t="inlineStr">
        <is>
          <t>hohler Rücken, welliger Buchblock, erhabene Illuminationen</t>
        </is>
      </c>
      <c r="V319" t="inlineStr">
        <is>
          <t>nicht auflegen</t>
        </is>
      </c>
      <c r="W319" t="inlineStr">
        <is>
          <t>Kassette</t>
        </is>
      </c>
      <c r="X319" t="inlineStr">
        <is>
          <t>Nein</t>
        </is>
      </c>
      <c r="Y319" t="n">
        <v>0</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t>
        </is>
      </c>
      <c r="B320" t="b">
        <v>1</v>
      </c>
      <c r="C320" t="inlineStr"/>
      <c r="D320" t="inlineStr"/>
      <c r="E320" t="n">
        <v>319</v>
      </c>
      <c r="F320">
        <f>HYPERLINK("https://portal.dnb.de/opac.htm?method=simpleSearch&amp;cqlMode=true&amp;query=idn%3D1072060566", "Portal")</f>
        <v/>
      </c>
      <c r="G320" t="inlineStr">
        <is>
          <t>Aa</t>
        </is>
      </c>
      <c r="H320" t="inlineStr">
        <is>
          <t>L-1480-326856560</t>
        </is>
      </c>
      <c r="I320" t="inlineStr">
        <is>
          <t>1072060566</t>
        </is>
      </c>
      <c r="J320" t="inlineStr">
        <is>
          <t>II 24,6a</t>
        </is>
      </c>
      <c r="K320" t="inlineStr">
        <is>
          <t>II 24,6a</t>
        </is>
      </c>
      <c r="L320" t="inlineStr">
        <is>
          <t>II 24,6a</t>
        </is>
      </c>
      <c r="M320" t="inlineStr"/>
      <c r="N320" t="inlineStr">
        <is>
          <t xml:space="preserve">Speculum sacerdotum : </t>
        </is>
      </c>
      <c r="O320" t="inlineStr">
        <is>
          <t xml:space="preserve"> : </t>
        </is>
      </c>
      <c r="P320" t="inlineStr">
        <is>
          <t>X</t>
        </is>
      </c>
      <c r="Q320" t="inlineStr"/>
      <c r="R320" t="inlineStr">
        <is>
          <t>Halbledereinband, Schließen, erhabene Buchbeschläge</t>
        </is>
      </c>
      <c r="S320" t="inlineStr">
        <is>
          <t>bis 25 cm</t>
        </is>
      </c>
      <c r="T320" t="inlineStr">
        <is>
          <t>180°</t>
        </is>
      </c>
      <c r="U320" t="inlineStr">
        <is>
          <t>hohler Rücken, erhabene Illuminationen</t>
        </is>
      </c>
      <c r="V320" t="inlineStr">
        <is>
          <t>nicht auflegen</t>
        </is>
      </c>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t>
        </is>
      </c>
      <c r="B321" t="b">
        <v>1</v>
      </c>
      <c r="C321" t="inlineStr"/>
      <c r="D321" t="inlineStr"/>
      <c r="E321" t="n">
        <v>320</v>
      </c>
      <c r="F321">
        <f>HYPERLINK("https://portal.dnb.de/opac.htm?method=simpleSearch&amp;cqlMode=true&amp;query=idn%3D1066973105", "Portal")</f>
        <v/>
      </c>
      <c r="G321" t="inlineStr">
        <is>
          <t>Aa</t>
        </is>
      </c>
      <c r="H321" t="inlineStr">
        <is>
          <t>L-1483-315503483</t>
        </is>
      </c>
      <c r="I321" t="inlineStr">
        <is>
          <t>1066973105</t>
        </is>
      </c>
      <c r="J321" t="inlineStr">
        <is>
          <t>II 24,6b</t>
        </is>
      </c>
      <c r="K321" t="inlineStr">
        <is>
          <t>II 24,6b</t>
        </is>
      </c>
      <c r="L321" t="inlineStr">
        <is>
          <t>II 24,6b</t>
        </is>
      </c>
      <c r="M321" t="inlineStr"/>
      <c r="N321" t="inlineStr">
        <is>
          <t xml:space="preserve">De fine mundi : </t>
        </is>
      </c>
      <c r="O321" t="inlineStr">
        <is>
          <t xml:space="preserve"> : </t>
        </is>
      </c>
      <c r="P321" t="inlineStr">
        <is>
          <t>X</t>
        </is>
      </c>
      <c r="Q321" t="inlineStr"/>
      <c r="R321" t="inlineStr">
        <is>
          <t>Halbledereinband</t>
        </is>
      </c>
      <c r="S321" t="inlineStr">
        <is>
          <t>bis 25 cm</t>
        </is>
      </c>
      <c r="T321" t="inlineStr">
        <is>
          <t>180°</t>
        </is>
      </c>
      <c r="U321" t="inlineStr">
        <is>
          <t>fester Rücken mit Schmuckprägung</t>
        </is>
      </c>
      <c r="V321" t="inlineStr"/>
      <c r="W321" t="inlineStr">
        <is>
          <t>Kassette</t>
        </is>
      </c>
      <c r="X321" t="inlineStr">
        <is>
          <t>Nein</t>
        </is>
      </c>
      <c r="Y321" t="n">
        <v>0</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t>
        </is>
      </c>
      <c r="B322" t="b">
        <v>1</v>
      </c>
      <c r="C322" t="inlineStr"/>
      <c r="D322" t="inlineStr"/>
      <c r="E322" t="n">
        <v>321</v>
      </c>
      <c r="F322">
        <f>HYPERLINK("https://portal.dnb.de/opac.htm?method=simpleSearch&amp;cqlMode=true&amp;query=idn%3D1066972834", "Portal")</f>
        <v/>
      </c>
      <c r="G322" t="inlineStr">
        <is>
          <t>Aa</t>
        </is>
      </c>
      <c r="H322" t="inlineStr">
        <is>
          <t>L-1481-315503238</t>
        </is>
      </c>
      <c r="I322" t="inlineStr">
        <is>
          <t>1066972834</t>
        </is>
      </c>
      <c r="J322" t="inlineStr">
        <is>
          <t>II 24,7a</t>
        </is>
      </c>
      <c r="K322" t="inlineStr">
        <is>
          <t>II 24,7a</t>
        </is>
      </c>
      <c r="L322" t="inlineStr">
        <is>
          <t>II 24,7a</t>
        </is>
      </c>
      <c r="M322" t="inlineStr"/>
      <c r="N322" t="inlineStr">
        <is>
          <t xml:space="preserve">Tractatus quidam de Turcis : </t>
        </is>
      </c>
      <c r="O322" t="inlineStr">
        <is>
          <t xml:space="preserve"> : </t>
        </is>
      </c>
      <c r="P322" t="inlineStr">
        <is>
          <t>X</t>
        </is>
      </c>
      <c r="Q322" t="inlineStr"/>
      <c r="R322" t="inlineStr">
        <is>
          <t>Halbledereinband, Schließen, erhabene Buchbeschläge</t>
        </is>
      </c>
      <c r="S322" t="inlineStr">
        <is>
          <t>bis 25 cm</t>
        </is>
      </c>
      <c r="T322" t="inlineStr">
        <is>
          <t>80° bis 110°, einseitig digitalisierbar?</t>
        </is>
      </c>
      <c r="U322" t="inlineStr">
        <is>
          <t>hohler Rücken, erhabene Illuminationen</t>
        </is>
      </c>
      <c r="V322" t="inlineStr">
        <is>
          <t>nicht auflegen</t>
        </is>
      </c>
      <c r="W322" t="inlineStr">
        <is>
          <t>Kassette</t>
        </is>
      </c>
      <c r="X322" t="inlineStr">
        <is>
          <t>Nein</t>
        </is>
      </c>
      <c r="Y322" t="n">
        <v>0</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t>
        </is>
      </c>
      <c r="B323" t="b">
        <v>1</v>
      </c>
      <c r="C323" t="inlineStr"/>
      <c r="D323" t="inlineStr"/>
      <c r="E323" t="n">
        <v>322</v>
      </c>
      <c r="F323">
        <f>HYPERLINK("https://portal.dnb.de/opac.htm?method=simpleSearch&amp;cqlMode=true&amp;query=idn%3D1066973091", "Portal")</f>
        <v/>
      </c>
      <c r="G323" t="inlineStr">
        <is>
          <t>Aaf</t>
        </is>
      </c>
      <c r="H323" t="inlineStr">
        <is>
          <t>L-1481-315503475</t>
        </is>
      </c>
      <c r="I323" t="inlineStr">
        <is>
          <t>1066973091</t>
        </is>
      </c>
      <c r="J323" t="inlineStr">
        <is>
          <t>II 24,7b</t>
        </is>
      </c>
      <c r="K323" t="inlineStr">
        <is>
          <t>II 24,7b</t>
        </is>
      </c>
      <c r="L323" t="inlineStr">
        <is>
          <t>II 24,7b</t>
        </is>
      </c>
      <c r="M323" t="inlineStr"/>
      <c r="N323" t="inlineStr">
        <is>
          <t xml:space="preserve">De fine mundi : </t>
        </is>
      </c>
      <c r="O323" t="inlineStr">
        <is>
          <t xml:space="preserve"> : </t>
        </is>
      </c>
      <c r="P323" t="inlineStr">
        <is>
          <t>X</t>
        </is>
      </c>
      <c r="Q323" t="inlineStr"/>
      <c r="R323" t="inlineStr">
        <is>
          <t>Gewebeeinband, Schließen, erhabene Buchbeschläge</t>
        </is>
      </c>
      <c r="S323" t="inlineStr">
        <is>
          <t>bis 25 cm</t>
        </is>
      </c>
      <c r="T323" t="inlineStr">
        <is>
          <t>180°</t>
        </is>
      </c>
      <c r="U323" t="inlineStr">
        <is>
          <t>hohler Rücken, erhabene Illuminationen</t>
        </is>
      </c>
      <c r="V323" t="inlineStr">
        <is>
          <t>nicht auflegen</t>
        </is>
      </c>
      <c r="W323" t="inlineStr">
        <is>
          <t>Kassette</t>
        </is>
      </c>
      <c r="X323" t="inlineStr">
        <is>
          <t>Nein</t>
        </is>
      </c>
      <c r="Y323" t="n">
        <v>0</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t>
        </is>
      </c>
      <c r="B324" t="b">
        <v>1</v>
      </c>
      <c r="C324" t="inlineStr"/>
      <c r="D324" t="inlineStr"/>
      <c r="E324" t="n">
        <v>323</v>
      </c>
      <c r="F324">
        <f>HYPERLINK("https://portal.dnb.de/opac.htm?method=simpleSearch&amp;cqlMode=true&amp;query=idn%3D1066973113", "Portal")</f>
        <v/>
      </c>
      <c r="G324" t="inlineStr">
        <is>
          <t>Aaf</t>
        </is>
      </c>
      <c r="H324" t="inlineStr">
        <is>
          <t>L-1486-315503491</t>
        </is>
      </c>
      <c r="I324" t="inlineStr">
        <is>
          <t>1066973113</t>
        </is>
      </c>
      <c r="J324" t="inlineStr">
        <is>
          <t>II 24,7c</t>
        </is>
      </c>
      <c r="K324" t="inlineStr">
        <is>
          <t>II 24,7c</t>
        </is>
      </c>
      <c r="L324" t="inlineStr">
        <is>
          <t>II 24,7c</t>
        </is>
      </c>
      <c r="M324" t="inlineStr"/>
      <c r="N324" t="inlineStr">
        <is>
          <t xml:space="preserve">Viola sanctorum : </t>
        </is>
      </c>
      <c r="O324" t="inlineStr">
        <is>
          <t xml:space="preserve"> : </t>
        </is>
      </c>
      <c r="P324" t="inlineStr">
        <is>
          <t>X</t>
        </is>
      </c>
      <c r="Q324" t="inlineStr"/>
      <c r="R324" t="inlineStr">
        <is>
          <t>Halbledereinband, Schließen, erhabene Buchbeschläge</t>
        </is>
      </c>
      <c r="S324" t="inlineStr">
        <is>
          <t>bis 25 cm</t>
        </is>
      </c>
      <c r="T324" t="inlineStr">
        <is>
          <t>80° bis 110°, einseitig digitalisierbar?</t>
        </is>
      </c>
      <c r="U324" t="inlineStr">
        <is>
          <t>hohler Rücken, welliger Buchblock, erhabene Illuminationen</t>
        </is>
      </c>
      <c r="V324" t="inlineStr">
        <is>
          <t>nicht auflegen</t>
        </is>
      </c>
      <c r="W324" t="inlineStr">
        <is>
          <t>Kassette</t>
        </is>
      </c>
      <c r="X324" t="inlineStr">
        <is>
          <t>Nein</t>
        </is>
      </c>
      <c r="Y324" t="n">
        <v>0</v>
      </c>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t>
        </is>
      </c>
      <c r="B325" t="b">
        <v>1</v>
      </c>
      <c r="C325" t="inlineStr"/>
      <c r="D325" t="inlineStr"/>
      <c r="E325" t="n">
        <v>324</v>
      </c>
      <c r="F325">
        <f>HYPERLINK("https://portal.dnb.de/opac.htm?method=simpleSearch&amp;cqlMode=true&amp;query=idn%3D1066970874", "Portal")</f>
        <v/>
      </c>
      <c r="G325" t="inlineStr">
        <is>
          <t>Aaf</t>
        </is>
      </c>
      <c r="H325" t="inlineStr">
        <is>
          <t>L-1483-315501235</t>
        </is>
      </c>
      <c r="I325" t="inlineStr">
        <is>
          <t>1066970874</t>
        </is>
      </c>
      <c r="J325" t="inlineStr">
        <is>
          <t>II 24,8a</t>
        </is>
      </c>
      <c r="K325" t="inlineStr">
        <is>
          <t>II 24,8a</t>
        </is>
      </c>
      <c r="L325" t="inlineStr">
        <is>
          <t>II 24,8a</t>
        </is>
      </c>
      <c r="M325" t="inlineStr"/>
      <c r="N325" t="inlineStr">
        <is>
          <t xml:space="preserve">Vocabularius praedicantium sive Variloquus : </t>
        </is>
      </c>
      <c r="O325" t="inlineStr">
        <is>
          <t xml:space="preserve"> : </t>
        </is>
      </c>
      <c r="P325" t="inlineStr">
        <is>
          <t>X</t>
        </is>
      </c>
      <c r="Q325" t="inlineStr"/>
      <c r="R325" t="inlineStr">
        <is>
          <t>Ledereinband</t>
        </is>
      </c>
      <c r="S325" t="inlineStr">
        <is>
          <t>bis 25 cm</t>
        </is>
      </c>
      <c r="T325" t="inlineStr">
        <is>
          <t>80° bis 110°, einseitig digitalisierbar?</t>
        </is>
      </c>
      <c r="U325" t="inlineStr">
        <is>
          <t>hohler Rücken, welliger Buchblock, erhabene Illuminationen</t>
        </is>
      </c>
      <c r="V325" t="inlineStr">
        <is>
          <t>nicht auflegen</t>
        </is>
      </c>
      <c r="W325" t="inlineStr">
        <is>
          <t>Kassette</t>
        </is>
      </c>
      <c r="X325" t="inlineStr">
        <is>
          <t>Nein</t>
        </is>
      </c>
      <c r="Y325" t="n">
        <v>0</v>
      </c>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t>
        </is>
      </c>
      <c r="B326" t="b">
        <v>1</v>
      </c>
      <c r="C326" t="inlineStr"/>
      <c r="D326" t="inlineStr"/>
      <c r="E326" t="n">
        <v>325</v>
      </c>
      <c r="F326">
        <f>HYPERLINK("https://portal.dnb.de/opac.htm?method=simpleSearch&amp;cqlMode=true&amp;query=idn%3D1066967784", "Portal")</f>
        <v/>
      </c>
      <c r="G326" t="inlineStr">
        <is>
          <t>Aaf</t>
        </is>
      </c>
      <c r="H326" t="inlineStr">
        <is>
          <t>L-1495-315498056</t>
        </is>
      </c>
      <c r="I326" t="inlineStr">
        <is>
          <t>1066967784</t>
        </is>
      </c>
      <c r="J326" t="inlineStr">
        <is>
          <t>II 24,8 b</t>
        </is>
      </c>
      <c r="K326" t="inlineStr">
        <is>
          <t>II 24,8 b</t>
        </is>
      </c>
      <c r="L326" t="inlineStr">
        <is>
          <t>II 24,8b</t>
        </is>
      </c>
      <c r="M326" t="inlineStr"/>
      <c r="N326" t="inlineStr">
        <is>
          <t xml:space="preserve">Specula omnis status vitae humanae : </t>
        </is>
      </c>
      <c r="O326" t="inlineStr">
        <is>
          <t xml:space="preserve"> : </t>
        </is>
      </c>
      <c r="P326" t="inlineStr">
        <is>
          <t>X</t>
        </is>
      </c>
      <c r="Q326" t="inlineStr"/>
      <c r="R326" t="inlineStr">
        <is>
          <t>Ledereinband</t>
        </is>
      </c>
      <c r="S326" t="inlineStr">
        <is>
          <t>bis 25 cm</t>
        </is>
      </c>
      <c r="T326" t="inlineStr">
        <is>
          <t>80° bis 110°, einseitig digitalisierbar?</t>
        </is>
      </c>
      <c r="U326" t="inlineStr">
        <is>
          <t>hohler Rücken, welliger Buchblock, erhabene Illuminationen</t>
        </is>
      </c>
      <c r="V326" t="inlineStr">
        <is>
          <t>nicht auflegen</t>
        </is>
      </c>
      <c r="W326" t="inlineStr">
        <is>
          <t>Kassette</t>
        </is>
      </c>
      <c r="X326" t="inlineStr">
        <is>
          <t>Nein</t>
        </is>
      </c>
      <c r="Y326" t="n">
        <v>0</v>
      </c>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t>
        </is>
      </c>
      <c r="B327" t="b">
        <v>1</v>
      </c>
      <c r="C327" t="inlineStr"/>
      <c r="D327" t="inlineStr"/>
      <c r="E327" t="n">
        <v>326</v>
      </c>
      <c r="F327">
        <f>HYPERLINK("https://portal.dnb.de/opac.htm?method=simpleSearch&amp;cqlMode=true&amp;query=idn%3D1066973024", "Portal")</f>
        <v/>
      </c>
      <c r="G327" t="inlineStr">
        <is>
          <t>Aaf</t>
        </is>
      </c>
      <c r="H327" t="inlineStr">
        <is>
          <t>L-1489-315503394</t>
        </is>
      </c>
      <c r="I327" t="inlineStr">
        <is>
          <t>1066973024</t>
        </is>
      </c>
      <c r="J327" t="inlineStr">
        <is>
          <t>II 24,8c</t>
        </is>
      </c>
      <c r="K327" t="inlineStr">
        <is>
          <t>II 24,8c</t>
        </is>
      </c>
      <c r="L327" t="inlineStr">
        <is>
          <t>II 24,8c</t>
        </is>
      </c>
      <c r="M327" t="inlineStr"/>
      <c r="N327" t="inlineStr">
        <is>
          <t xml:space="preserve">Versehung von Leib, Seele, Ehre und Gut : </t>
        </is>
      </c>
      <c r="O327" t="inlineStr">
        <is>
          <t xml:space="preserve"> : </t>
        </is>
      </c>
      <c r="P327" t="inlineStr">
        <is>
          <t>X</t>
        </is>
      </c>
      <c r="Q327" t="inlineStr"/>
      <c r="R327" t="inlineStr">
        <is>
          <t>Ledereinband</t>
        </is>
      </c>
      <c r="S327" t="inlineStr">
        <is>
          <t>bis 25 cm</t>
        </is>
      </c>
      <c r="T327" t="inlineStr">
        <is>
          <t>180°</t>
        </is>
      </c>
      <c r="U327" t="inlineStr">
        <is>
          <t>hohler Rücken, welliger Buchblock, erhabene Illuminationen, stark brüchiges Einbandmaterial</t>
        </is>
      </c>
      <c r="V327" t="inlineStr">
        <is>
          <t>nicht auflegen</t>
        </is>
      </c>
      <c r="W327" t="inlineStr">
        <is>
          <t>Kassette</t>
        </is>
      </c>
      <c r="X327" t="inlineStr">
        <is>
          <t>Nein</t>
        </is>
      </c>
      <c r="Y327" t="n">
        <v>2</v>
      </c>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n">
        <v>0</v>
      </c>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t>
        </is>
      </c>
      <c r="B328" t="b">
        <v>1</v>
      </c>
      <c r="C328" t="inlineStr"/>
      <c r="D328" t="inlineStr"/>
      <c r="E328" t="n">
        <v>327</v>
      </c>
      <c r="F328">
        <f>HYPERLINK("https://portal.dnb.de/opac.htm?method=simpleSearch&amp;cqlMode=true&amp;query=idn%3D1048166694", "Portal")</f>
        <v/>
      </c>
      <c r="G328" t="inlineStr">
        <is>
          <t>Aa</t>
        </is>
      </c>
      <c r="H328" t="inlineStr">
        <is>
          <t>L-1484-286786508</t>
        </is>
      </c>
      <c r="I328" t="inlineStr">
        <is>
          <t>1048166694</t>
        </is>
      </c>
      <c r="J328" t="inlineStr">
        <is>
          <t>II 24,9a</t>
        </is>
      </c>
      <c r="K328" t="inlineStr">
        <is>
          <t>II 24,9a</t>
        </is>
      </c>
      <c r="L328" t="inlineStr">
        <is>
          <t>II 24,9a</t>
        </is>
      </c>
      <c r="M328" t="inlineStr"/>
      <c r="N328" t="inlineStr">
        <is>
          <t xml:space="preserve">Missale Romanum : </t>
        </is>
      </c>
      <c r="O328" t="inlineStr">
        <is>
          <t xml:space="preserve"> : </t>
        </is>
      </c>
      <c r="P328" t="inlineStr">
        <is>
          <t>X</t>
        </is>
      </c>
      <c r="Q328" t="inlineStr"/>
      <c r="R328" t="inlineStr">
        <is>
          <t>Ledereinband, Schließen, erhabene Buchbeschläge</t>
        </is>
      </c>
      <c r="S328" t="inlineStr">
        <is>
          <t>bis 25 cm</t>
        </is>
      </c>
      <c r="T328" t="inlineStr">
        <is>
          <t>80° bis 110°, einseitig digitalisierbar?</t>
        </is>
      </c>
      <c r="U328" t="inlineStr">
        <is>
          <t>hohler Rücken, welliger Buchblock, erhabene Illuminationen, stark brüchiges Einbandmaterial</t>
        </is>
      </c>
      <c r="V328" t="inlineStr">
        <is>
          <t>nicht auflegen</t>
        </is>
      </c>
      <c r="W328" t="inlineStr">
        <is>
          <t>Kassette</t>
        </is>
      </c>
      <c r="X328" t="inlineStr">
        <is>
          <t>Nein</t>
        </is>
      </c>
      <c r="Y328" t="n">
        <v>1</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t>
        </is>
      </c>
      <c r="B329" t="b">
        <v>1</v>
      </c>
      <c r="C329" t="inlineStr"/>
      <c r="D329" t="inlineStr"/>
      <c r="E329" t="n">
        <v>328</v>
      </c>
      <c r="F329">
        <f>HYPERLINK("https://portal.dnb.de/opac.htm?method=simpleSearch&amp;cqlMode=true&amp;query=idn%3D1066970289", "Portal")</f>
        <v/>
      </c>
      <c r="G329" t="inlineStr">
        <is>
          <t>Aaf</t>
        </is>
      </c>
      <c r="H329" t="inlineStr">
        <is>
          <t>L-1489-31550062X</t>
        </is>
      </c>
      <c r="I329" t="inlineStr">
        <is>
          <t>1066970289</t>
        </is>
      </c>
      <c r="J329" t="inlineStr">
        <is>
          <t>II 24,9b</t>
        </is>
      </c>
      <c r="K329" t="inlineStr">
        <is>
          <t>II 24,9b</t>
        </is>
      </c>
      <c r="L329" t="inlineStr">
        <is>
          <t>II 24,9b</t>
        </is>
      </c>
      <c r="M329" t="inlineStr"/>
      <c r="N329" t="inlineStr">
        <is>
          <t xml:space="preserve">Mammotrectus super Bibliam : </t>
        </is>
      </c>
      <c r="O329" t="inlineStr">
        <is>
          <t xml:space="preserve"> : </t>
        </is>
      </c>
      <c r="P329" t="inlineStr">
        <is>
          <t>X</t>
        </is>
      </c>
      <c r="Q329" t="inlineStr"/>
      <c r="R329" t="inlineStr">
        <is>
          <t>Halbledereinband</t>
        </is>
      </c>
      <c r="S329" t="inlineStr">
        <is>
          <t>bis 25 cm</t>
        </is>
      </c>
      <c r="T329" t="inlineStr">
        <is>
          <t>80° bis 110°, einseitig digitalisierbar?</t>
        </is>
      </c>
      <c r="U329" t="inlineStr">
        <is>
          <t>hohler Rücken, welliger Buchblock, erhabene Illuminationen</t>
        </is>
      </c>
      <c r="V329" t="inlineStr">
        <is>
          <t>nicht auflegen</t>
        </is>
      </c>
      <c r="W329" t="inlineStr">
        <is>
          <t>Kassette</t>
        </is>
      </c>
      <c r="X329" t="inlineStr">
        <is>
          <t>Nein</t>
        </is>
      </c>
      <c r="Y329" t="n">
        <v>2</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t>
        </is>
      </c>
      <c r="B330" t="b">
        <v>1</v>
      </c>
      <c r="C330" t="inlineStr"/>
      <c r="D330" t="inlineStr"/>
      <c r="E330" t="n">
        <v>329</v>
      </c>
      <c r="F330">
        <f>HYPERLINK("https://portal.dnb.de/opac.htm?method=simpleSearch&amp;cqlMode=true&amp;query=idn%3D1072060930", "Portal")</f>
        <v/>
      </c>
      <c r="G330" t="inlineStr">
        <is>
          <t>Aa</t>
        </is>
      </c>
      <c r="H330" t="inlineStr">
        <is>
          <t>L-1492-32685682X</t>
        </is>
      </c>
      <c r="I330" t="inlineStr">
        <is>
          <t>1072060930</t>
        </is>
      </c>
      <c r="J330" t="inlineStr">
        <is>
          <t>II 24,9c</t>
        </is>
      </c>
      <c r="K330" t="inlineStr">
        <is>
          <t>II 24,9c</t>
        </is>
      </c>
      <c r="L330" t="inlineStr">
        <is>
          <t>II 24,9c</t>
        </is>
      </c>
      <c r="M330" t="inlineStr"/>
      <c r="N330" t="inlineStr">
        <is>
          <t xml:space="preserve">Missale Salisburgense : </t>
        </is>
      </c>
      <c r="O330" t="inlineStr">
        <is>
          <t xml:space="preserve"> : </t>
        </is>
      </c>
      <c r="P330" t="inlineStr">
        <is>
          <t>X</t>
        </is>
      </c>
      <c r="Q330" t="inlineStr"/>
      <c r="R330" t="inlineStr">
        <is>
          <t>Ledereinband, Schließen, erhabene Buchbeschläge</t>
        </is>
      </c>
      <c r="S330" t="inlineStr">
        <is>
          <t>bis 42 cm</t>
        </is>
      </c>
      <c r="T330" t="inlineStr">
        <is>
          <t>nur sehr geringer Öffnungswinkel</t>
        </is>
      </c>
      <c r="U330" t="inlineStr">
        <is>
          <t>fester Rücken mit Schmuckprägung, erhabene Illuminationen</t>
        </is>
      </c>
      <c r="V330" t="inlineStr">
        <is>
          <t>nicht auflegen</t>
        </is>
      </c>
      <c r="W330" t="inlineStr"/>
      <c r="X330" t="inlineStr">
        <is>
          <t>Signaturfahne austauschen</t>
        </is>
      </c>
      <c r="Y330" t="n">
        <v>2</v>
      </c>
      <c r="Z330" t="inlineStr"/>
      <c r="AA330" t="inlineStr">
        <is>
          <t>Holzdeckel</t>
        </is>
      </c>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t>
        </is>
      </c>
      <c r="B331" t="b">
        <v>1</v>
      </c>
      <c r="C331" t="inlineStr"/>
      <c r="D331" t="inlineStr"/>
      <c r="E331" t="n">
        <v>330</v>
      </c>
      <c r="F331">
        <f>HYPERLINK("https://portal.dnb.de/opac.htm?method=simpleSearch&amp;cqlMode=true&amp;query=idn%3D1067439137", "Portal")</f>
        <v/>
      </c>
      <c r="G331" t="inlineStr">
        <is>
          <t>Aal</t>
        </is>
      </c>
      <c r="H331" t="inlineStr">
        <is>
          <t>L-1493-316402567</t>
        </is>
      </c>
      <c r="I331" t="inlineStr">
        <is>
          <t>1067439137</t>
        </is>
      </c>
      <c r="J331" t="inlineStr">
        <is>
          <t>II 24,9d - Fragm.</t>
        </is>
      </c>
      <c r="K331" t="inlineStr">
        <is>
          <t>II 24,9d - Fragm.</t>
        </is>
      </c>
      <c r="L331" t="inlineStr">
        <is>
          <t>II 24,9d - Fragm.</t>
        </is>
      </c>
      <c r="M331" t="inlineStr"/>
      <c r="N331" t="inlineStr">
        <is>
          <t xml:space="preserve">Breviarium Lincopense : </t>
        </is>
      </c>
      <c r="O331" t="inlineStr">
        <is>
          <t xml:space="preserve"> : </t>
        </is>
      </c>
      <c r="P331" t="inlineStr"/>
      <c r="Q331" t="inlineStr"/>
      <c r="R331" t="inlineStr"/>
      <c r="S331" t="inlineStr"/>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n">
        <v>0</v>
      </c>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t>
        </is>
      </c>
      <c r="B332" t="b">
        <v>1</v>
      </c>
      <c r="C332" t="inlineStr"/>
      <c r="D332" t="inlineStr"/>
      <c r="E332" t="n">
        <v>331</v>
      </c>
      <c r="F332">
        <f>HYPERLINK("https://portal.dnb.de/opac.htm?method=simpleSearch&amp;cqlMode=true&amp;query=idn%3D1067439188", "Portal")</f>
        <v/>
      </c>
      <c r="G332" t="inlineStr">
        <is>
          <t>Aal</t>
        </is>
      </c>
      <c r="H332" t="inlineStr">
        <is>
          <t>L-1498-316402575</t>
        </is>
      </c>
      <c r="I332" t="inlineStr">
        <is>
          <t>1067439188</t>
        </is>
      </c>
      <c r="J332" t="inlineStr">
        <is>
          <t>II 24,9e - Fragm.</t>
        </is>
      </c>
      <c r="K332" t="inlineStr">
        <is>
          <t>II 24,9e - Fragm.</t>
        </is>
      </c>
      <c r="L332" t="inlineStr">
        <is>
          <t>II 24,9e - Fragm.</t>
        </is>
      </c>
      <c r="M332" t="inlineStr"/>
      <c r="N332" t="inlineStr">
        <is>
          <t xml:space="preserve">Breviarium Scarense : </t>
        </is>
      </c>
      <c r="O332" t="inlineStr">
        <is>
          <t xml:space="preserve"> : </t>
        </is>
      </c>
      <c r="P332" t="inlineStr"/>
      <c r="Q332" t="inlineStr"/>
      <c r="R332" t="inlineStr"/>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t>
        </is>
      </c>
      <c r="B333" t="b">
        <v>1</v>
      </c>
      <c r="C333" t="inlineStr"/>
      <c r="D333" t="inlineStr"/>
      <c r="E333" t="inlineStr"/>
      <c r="F333">
        <f>HYPERLINK("https://portal.dnb.de/opac.htm?method=simpleSearch&amp;cqlMode=true&amp;query=idn%3D106760877X", "Portal")</f>
        <v/>
      </c>
      <c r="G333" t="inlineStr">
        <is>
          <t>Aa</t>
        </is>
      </c>
      <c r="H333" t="inlineStr">
        <is>
          <t>L-1513-316640387</t>
        </is>
      </c>
      <c r="I333" t="inlineStr">
        <is>
          <t>106760877X</t>
        </is>
      </c>
      <c r="J333" t="inlineStr">
        <is>
          <t>II 24,9e zu - Fragm.</t>
        </is>
      </c>
      <c r="K333" t="inlineStr">
        <is>
          <t>II 24,9e zu - Fragm.</t>
        </is>
      </c>
      <c r="L333" t="inlineStr">
        <is>
          <t>II 24,9e zu - Fragm.</t>
        </is>
      </c>
      <c r="M333" t="inlineStr"/>
      <c r="N333" t="inlineStr">
        <is>
          <t xml:space="preserve">BReuiariũ #[s]m|| ritum alme eccle=||sie Arosien=||sis.|| : </t>
        </is>
      </c>
      <c r="O333" t="inlineStr">
        <is>
          <t xml:space="preserve"> : </t>
        </is>
      </c>
      <c r="P333" t="inlineStr"/>
      <c r="Q333" t="inlineStr"/>
      <c r="R333" t="inlineStr"/>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t>
        </is>
      </c>
      <c r="B334" t="b">
        <v>1</v>
      </c>
      <c r="C334" t="inlineStr"/>
      <c r="D334" t="inlineStr"/>
      <c r="E334" t="n">
        <v>332</v>
      </c>
      <c r="F334">
        <f>HYPERLINK("https://portal.dnb.de/opac.htm?method=simpleSearch&amp;cqlMode=true&amp;query=idn%3D106696890X", "Portal")</f>
        <v/>
      </c>
      <c r="G334" t="inlineStr">
        <is>
          <t>Aa</t>
        </is>
      </c>
      <c r="H334" t="inlineStr">
        <is>
          <t>L-1496-315499184</t>
        </is>
      </c>
      <c r="I334" t="inlineStr">
        <is>
          <t>106696890X</t>
        </is>
      </c>
      <c r="J334" t="inlineStr">
        <is>
          <t>II 24,9f</t>
        </is>
      </c>
      <c r="K334" t="inlineStr">
        <is>
          <t>II 24,9f</t>
        </is>
      </c>
      <c r="L334" t="inlineStr">
        <is>
          <t>II 24,9f</t>
        </is>
      </c>
      <c r="M334" t="inlineStr"/>
      <c r="N334" t="inlineStr">
        <is>
          <t xml:space="preserve">Opera : </t>
        </is>
      </c>
      <c r="O334" t="inlineStr">
        <is>
          <t xml:space="preserve"> : </t>
        </is>
      </c>
      <c r="P334" t="inlineStr">
        <is>
          <t>X</t>
        </is>
      </c>
      <c r="Q334" t="inlineStr"/>
      <c r="R334" t="inlineStr">
        <is>
          <t>Ledereinband, Schließen, erhabene Buchbeschläge</t>
        </is>
      </c>
      <c r="S334" t="inlineStr">
        <is>
          <t>bis 35 cm</t>
        </is>
      </c>
      <c r="T334" t="inlineStr">
        <is>
          <t>80° bis 110°, einseitig digitalisierbar?</t>
        </is>
      </c>
      <c r="U334" t="inlineStr">
        <is>
          <t>fester Rücken mit Schmuckprägung, welliger Buchblock, erhabene Illuminationen</t>
        </is>
      </c>
      <c r="V334" t="inlineStr">
        <is>
          <t>nicht auflegen</t>
        </is>
      </c>
      <c r="W334" t="inlineStr">
        <is>
          <t>Kassette</t>
        </is>
      </c>
      <c r="X334" t="inlineStr">
        <is>
          <t>Nein</t>
        </is>
      </c>
      <c r="Y334" t="n">
        <v>0</v>
      </c>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n">
        <v>0</v>
      </c>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II</t>
        </is>
      </c>
      <c r="B335" t="b">
        <v>1</v>
      </c>
      <c r="C335" t="inlineStr"/>
      <c r="D335" t="inlineStr"/>
      <c r="E335" t="n">
        <v>333</v>
      </c>
      <c r="F335">
        <f>HYPERLINK("https://portal.dnb.de/opac.htm?method=simpleSearch&amp;cqlMode=true&amp;query=idn%3D106696484X", "Portal")</f>
        <v/>
      </c>
      <c r="G335" t="inlineStr">
        <is>
          <t>Aaf</t>
        </is>
      </c>
      <c r="H335" t="inlineStr">
        <is>
          <t>L-1498-315495014</t>
        </is>
      </c>
      <c r="I335" t="inlineStr">
        <is>
          <t>106696484X</t>
        </is>
      </c>
      <c r="J335" t="inlineStr">
        <is>
          <t>II 24,10a</t>
        </is>
      </c>
      <c r="K335" t="inlineStr">
        <is>
          <t>II 24,10a</t>
        </is>
      </c>
      <c r="L335" t="inlineStr">
        <is>
          <t>II 24,10a</t>
        </is>
      </c>
      <c r="M335" t="inlineStr"/>
      <c r="N335" t="inlineStr">
        <is>
          <t xml:space="preserve">Epistola ad Rabbi Isaac seu rationes ad reprobandos Iudaeorum errores : </t>
        </is>
      </c>
      <c r="O335" t="inlineStr">
        <is>
          <t xml:space="preserve"> : </t>
        </is>
      </c>
      <c r="P335" t="inlineStr">
        <is>
          <t>X</t>
        </is>
      </c>
      <c r="Q335" t="inlineStr"/>
      <c r="R335" t="inlineStr">
        <is>
          <t>Halbledereinband</t>
        </is>
      </c>
      <c r="S335" t="inlineStr">
        <is>
          <t>bis 25 cm</t>
        </is>
      </c>
      <c r="T335" t="inlineStr">
        <is>
          <t>180°</t>
        </is>
      </c>
      <c r="U335" t="inlineStr">
        <is>
          <t>fester Rücken mit Schmuckprägung, welliger Buchblock</t>
        </is>
      </c>
      <c r="V335" t="inlineStr"/>
      <c r="W335" t="inlineStr">
        <is>
          <t>Kassette</t>
        </is>
      </c>
      <c r="X335" t="inlineStr">
        <is>
          <t>Nein</t>
        </is>
      </c>
      <c r="Y335" t="n">
        <v>0</v>
      </c>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t>
        </is>
      </c>
      <c r="B336" t="b">
        <v>1</v>
      </c>
      <c r="C336" t="inlineStr"/>
      <c r="D336" t="inlineStr"/>
      <c r="E336" t="n">
        <v>334</v>
      </c>
      <c r="F336">
        <f>HYPERLINK("https://portal.dnb.de/opac.htm?method=simpleSearch&amp;cqlMode=true&amp;query=idn%3D1066969205", "Portal")</f>
        <v/>
      </c>
      <c r="G336" t="inlineStr">
        <is>
          <t>Aaf</t>
        </is>
      </c>
      <c r="H336" t="inlineStr">
        <is>
          <t>L-1497-315499516</t>
        </is>
      </c>
      <c r="I336" t="inlineStr">
        <is>
          <t>1066969205</t>
        </is>
      </c>
      <c r="J336" t="inlineStr">
        <is>
          <t>II 24,10b</t>
        </is>
      </c>
      <c r="K336" t="inlineStr">
        <is>
          <t>II 24,10b</t>
        </is>
      </c>
      <c r="L336" t="inlineStr">
        <is>
          <t>II 24,10b</t>
        </is>
      </c>
      <c r="M336" t="inlineStr"/>
      <c r="N336" t="inlineStr">
        <is>
          <t xml:space="preserve">Vita Sancti Dionysii : </t>
        </is>
      </c>
      <c r="O336" t="inlineStr">
        <is>
          <t xml:space="preserve"> : </t>
        </is>
      </c>
      <c r="P336" t="inlineStr">
        <is>
          <t>X</t>
        </is>
      </c>
      <c r="Q336" t="inlineStr"/>
      <c r="R336" t="inlineStr">
        <is>
          <t>Halbledereinband, Schließen, erhabene Buchbeschläge</t>
        </is>
      </c>
      <c r="S336" t="inlineStr">
        <is>
          <t>bis 25 cm</t>
        </is>
      </c>
      <c r="T336" t="inlineStr">
        <is>
          <t>80° bis 110°, einseitig digitalisierbar?</t>
        </is>
      </c>
      <c r="U336" t="inlineStr">
        <is>
          <t>hohler Rücken</t>
        </is>
      </c>
      <c r="V336" t="inlineStr"/>
      <c r="W336" t="inlineStr">
        <is>
          <t>Kassette</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t>
        </is>
      </c>
      <c r="B337" t="b">
        <v>1</v>
      </c>
      <c r="C337" t="inlineStr">
        <is>
          <t>x</t>
        </is>
      </c>
      <c r="D337" t="inlineStr"/>
      <c r="E337" t="n">
        <v>335</v>
      </c>
      <c r="F337">
        <f>HYPERLINK("https://portal.dnb.de/opac.htm?method=simpleSearch&amp;cqlMode=true&amp;query=idn%3D1066967377", "Portal")</f>
        <v/>
      </c>
      <c r="G337" t="inlineStr">
        <is>
          <t>Aaf</t>
        </is>
      </c>
      <c r="H337" t="inlineStr">
        <is>
          <t>L-1496-315497629</t>
        </is>
      </c>
      <c r="I337" t="inlineStr">
        <is>
          <t>1066967377</t>
        </is>
      </c>
      <c r="J337" t="inlineStr">
        <is>
          <t>II 25,1a</t>
        </is>
      </c>
      <c r="K337" t="inlineStr">
        <is>
          <t>II 25,1a</t>
        </is>
      </c>
      <c r="L337" t="inlineStr">
        <is>
          <t>II 25,1a</t>
        </is>
      </c>
      <c r="M337" t="inlineStr"/>
      <c r="N337" t="inlineStr">
        <is>
          <t xml:space="preserve">Sermones quadragesimales de peccatis : </t>
        </is>
      </c>
      <c r="O337" t="inlineStr">
        <is>
          <t xml:space="preserve"> : </t>
        </is>
      </c>
      <c r="P337" t="inlineStr">
        <is>
          <t>X</t>
        </is>
      </c>
      <c r="Q337" t="inlineStr">
        <is>
          <t>7000,00 EUR</t>
        </is>
      </c>
      <c r="R337" t="inlineStr">
        <is>
          <t>Ledereinband, Schließen, erhabene Buchbeschläge</t>
        </is>
      </c>
      <c r="S337" t="inlineStr">
        <is>
          <t>bis 25 cm</t>
        </is>
      </c>
      <c r="T337" t="inlineStr">
        <is>
          <t>80° bis 110°, einseitig digitalisierbar?</t>
        </is>
      </c>
      <c r="U337" t="inlineStr">
        <is>
          <t>hohler Rücken, erhabene Illuminationen</t>
        </is>
      </c>
      <c r="V337" t="inlineStr">
        <is>
          <t>nicht auflegen</t>
        </is>
      </c>
      <c r="W337" t="inlineStr">
        <is>
          <t>Kassette</t>
        </is>
      </c>
      <c r="X337" t="inlineStr">
        <is>
          <t>Nein</t>
        </is>
      </c>
      <c r="Y337" t="n">
        <v>1</v>
      </c>
      <c r="Z337" t="inlineStr"/>
      <c r="AA337" t="inlineStr"/>
      <c r="AB337" t="inlineStr"/>
      <c r="AC337" t="inlineStr"/>
      <c r="AD337" t="inlineStr"/>
      <c r="AE337" t="inlineStr"/>
      <c r="AF337" t="inlineStr"/>
      <c r="AG337" t="inlineStr"/>
      <c r="AH337" t="inlineStr"/>
      <c r="AI337" t="inlineStr">
        <is>
          <t>L</t>
        </is>
      </c>
      <c r="AJ337" t="inlineStr"/>
      <c r="AK337" t="inlineStr">
        <is>
          <t>x</t>
        </is>
      </c>
      <c r="AL337" t="inlineStr"/>
      <c r="AM337" t="inlineStr">
        <is>
          <t>h/E</t>
        </is>
      </c>
      <c r="AN337" t="inlineStr"/>
      <c r="AO337" t="inlineStr"/>
      <c r="AP337" t="inlineStr"/>
      <c r="AQ337" t="inlineStr"/>
      <c r="AR337" t="inlineStr"/>
      <c r="AS337" t="inlineStr">
        <is>
          <t>Pa</t>
        </is>
      </c>
      <c r="AT337" t="inlineStr"/>
      <c r="AU337" t="inlineStr"/>
      <c r="AV337" t="inlineStr"/>
      <c r="AW337" t="inlineStr"/>
      <c r="AX337" t="inlineStr"/>
      <c r="AY337" t="inlineStr"/>
      <c r="AZ337" t="inlineStr"/>
      <c r="BA337" t="inlineStr"/>
      <c r="BB337" t="inlineStr"/>
      <c r="BC337" t="inlineStr">
        <is>
          <t>I/R</t>
        </is>
      </c>
      <c r="BD337" t="inlineStr">
        <is>
          <t>x</t>
        </is>
      </c>
      <c r="BE337" t="inlineStr"/>
      <c r="BF337" t="inlineStr"/>
      <c r="BG337" t="n">
        <v>110</v>
      </c>
      <c r="BH337" t="inlineStr"/>
      <c r="BI337" t="inlineStr"/>
      <c r="BJ337" t="inlineStr"/>
      <c r="BK337" t="inlineStr"/>
      <c r="BL337" t="inlineStr"/>
      <c r="BM337" t="inlineStr">
        <is>
          <t>ja vor</t>
        </is>
      </c>
      <c r="BN337" t="n">
        <v>0.5</v>
      </c>
      <c r="BO337" t="inlineStr"/>
      <c r="BP337" t="inlineStr">
        <is>
          <t>Wellpappe</t>
        </is>
      </c>
      <c r="BQ337" t="inlineStr"/>
      <c r="BR337" t="inlineStr"/>
      <c r="BS337" t="inlineStr"/>
      <c r="BT337" t="inlineStr"/>
      <c r="BU337" t="inlineStr"/>
      <c r="BV337" t="inlineStr"/>
      <c r="BW337" t="inlineStr"/>
      <c r="BX337" t="inlineStr"/>
      <c r="BY337" t="inlineStr"/>
      <c r="BZ337" t="inlineStr">
        <is>
          <t>x</t>
        </is>
      </c>
      <c r="CA337" t="inlineStr">
        <is>
          <t>x</t>
        </is>
      </c>
      <c r="CB337" t="inlineStr">
        <is>
          <t>x</t>
        </is>
      </c>
      <c r="CC337" t="inlineStr"/>
      <c r="CD337" t="inlineStr"/>
      <c r="CE337" t="inlineStr"/>
      <c r="CF337" t="inlineStr"/>
      <c r="CG337" t="inlineStr"/>
      <c r="CH337" t="inlineStr"/>
      <c r="CI337" t="inlineStr"/>
      <c r="CJ337" t="inlineStr"/>
      <c r="CK337" t="inlineStr"/>
      <c r="CL337" t="inlineStr"/>
      <c r="CM337" t="n">
        <v>0.5</v>
      </c>
      <c r="CN337" t="inlineStr">
        <is>
          <t>Rücken am Kopf mit JP stabilisieren</t>
        </is>
      </c>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t>
        </is>
      </c>
      <c r="B338" t="b">
        <v>1</v>
      </c>
      <c r="C338" t="inlineStr"/>
      <c r="D338" t="inlineStr"/>
      <c r="E338" t="n">
        <v>336</v>
      </c>
      <c r="F338">
        <f>HYPERLINK("https://portal.dnb.de/opac.htm?method=simpleSearch&amp;cqlMode=true&amp;query=idn%3D1066968128", "Portal")</f>
        <v/>
      </c>
      <c r="G338" t="inlineStr">
        <is>
          <t>Aaf</t>
        </is>
      </c>
      <c r="H338" t="inlineStr">
        <is>
          <t>L-1482-315498390</t>
        </is>
      </c>
      <c r="I338" t="inlineStr">
        <is>
          <t>1066968128</t>
        </is>
      </c>
      <c r="J338" t="inlineStr">
        <is>
          <t>II 26,1a</t>
        </is>
      </c>
      <c r="K338" t="inlineStr">
        <is>
          <t>II 26,1a</t>
        </is>
      </c>
      <c r="L338" t="inlineStr">
        <is>
          <t>II 26,1a</t>
        </is>
      </c>
      <c r="M338" t="inlineStr"/>
      <c r="N338" t="inlineStr">
        <is>
          <t xml:space="preserve">Epistola de morte Hieronymi : </t>
        </is>
      </c>
      <c r="O338" t="inlineStr">
        <is>
          <t xml:space="preserve"> : </t>
        </is>
      </c>
      <c r="P338" t="inlineStr">
        <is>
          <t>X</t>
        </is>
      </c>
      <c r="Q338" t="inlineStr"/>
      <c r="R338" t="inlineStr">
        <is>
          <t>Halbledereinband, Schließen, erhabene Buchbeschläge</t>
        </is>
      </c>
      <c r="S338" t="inlineStr">
        <is>
          <t>bis 25 cm</t>
        </is>
      </c>
      <c r="T338" t="inlineStr">
        <is>
          <t>180°</t>
        </is>
      </c>
      <c r="U338" t="inlineStr">
        <is>
          <t>hohler Rücken, erhabene Illuminationen</t>
        </is>
      </c>
      <c r="V338" t="inlineStr">
        <is>
          <t>nicht auflegen</t>
        </is>
      </c>
      <c r="W338" t="inlineStr">
        <is>
          <t>Kassette</t>
        </is>
      </c>
      <c r="X338" t="inlineStr">
        <is>
          <t>Nein</t>
        </is>
      </c>
      <c r="Y338" t="n">
        <v>0</v>
      </c>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n">
        <v>0</v>
      </c>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t>
        </is>
      </c>
      <c r="B339" t="b">
        <v>1</v>
      </c>
      <c r="C339" t="inlineStr"/>
      <c r="D339" t="inlineStr"/>
      <c r="E339" t="n">
        <v>337</v>
      </c>
      <c r="F339">
        <f>HYPERLINK("https://portal.dnb.de/opac.htm?method=simpleSearch&amp;cqlMode=true&amp;query=idn%3D1072320673", "Portal")</f>
        <v/>
      </c>
      <c r="G339" t="inlineStr">
        <is>
          <t>Aa</t>
        </is>
      </c>
      <c r="H339" t="inlineStr">
        <is>
          <t>L-1482-327280239</t>
        </is>
      </c>
      <c r="I339" t="inlineStr">
        <is>
          <t>1072320673</t>
        </is>
      </c>
      <c r="J339" t="inlineStr">
        <is>
          <t>II 26,1b</t>
        </is>
      </c>
      <c r="K339" t="inlineStr">
        <is>
          <t>II 26,1b</t>
        </is>
      </c>
      <c r="L339" t="inlineStr">
        <is>
          <t>II 26,1b</t>
        </is>
      </c>
      <c r="M339" t="inlineStr"/>
      <c r="N339" t="inlineStr">
        <is>
          <t xml:space="preserve">Infirmorum visitatio : </t>
        </is>
      </c>
      <c r="O339" t="inlineStr">
        <is>
          <t xml:space="preserve"> : </t>
        </is>
      </c>
      <c r="P339" t="inlineStr">
        <is>
          <t>X</t>
        </is>
      </c>
      <c r="Q339" t="inlineStr"/>
      <c r="R339" t="inlineStr">
        <is>
          <t>Halbledereinband, Schließen, erhabene Buchbeschläge</t>
        </is>
      </c>
      <c r="S339" t="inlineStr">
        <is>
          <t>bis 25 cm</t>
        </is>
      </c>
      <c r="T339" t="inlineStr">
        <is>
          <t>180°</t>
        </is>
      </c>
      <c r="U339" t="inlineStr">
        <is>
          <t>erhabene Illuminationen, welliger Buchblock</t>
        </is>
      </c>
      <c r="V339" t="inlineStr">
        <is>
          <t>nicht auflegen</t>
        </is>
      </c>
      <c r="W339" t="inlineStr">
        <is>
          <t>Kassette</t>
        </is>
      </c>
      <c r="X339" t="inlineStr">
        <is>
          <t>Nein</t>
        </is>
      </c>
      <c r="Y339" t="n">
        <v>2</v>
      </c>
      <c r="Z339" t="inlineStr"/>
      <c r="AA339" t="inlineStr">
        <is>
          <t>Buchrücken fehlt bereits bei Erfassg.</t>
        </is>
      </c>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t>
        </is>
      </c>
      <c r="B340" t="b">
        <v>1</v>
      </c>
      <c r="C340" t="inlineStr">
        <is>
          <t>x</t>
        </is>
      </c>
      <c r="D340" t="inlineStr"/>
      <c r="E340" t="n">
        <v>338</v>
      </c>
      <c r="F340">
        <f>HYPERLINK("https://portal.dnb.de/opac.htm?method=simpleSearch&amp;cqlMode=true&amp;query=idn%3D1079531114", "Portal")</f>
        <v/>
      </c>
      <c r="G340" t="inlineStr">
        <is>
          <t>Aal</t>
        </is>
      </c>
      <c r="H340" t="inlineStr">
        <is>
          <t>L-9999-343686457</t>
        </is>
      </c>
      <c r="I340" t="inlineStr">
        <is>
          <t>1079531114</t>
        </is>
      </c>
      <c r="J340" t="inlineStr">
        <is>
          <t>II 26,2 a</t>
        </is>
      </c>
      <c r="K340" t="inlineStr">
        <is>
          <t>II 26,2 a</t>
        </is>
      </c>
      <c r="L340" t="inlineStr">
        <is>
          <t>II 26,2a</t>
        </is>
      </c>
      <c r="M340" t="inlineStr"/>
      <c r="N340" t="inlineStr">
        <is>
          <t xml:space="preserve">Missale Pataviense : </t>
        </is>
      </c>
      <c r="O340" t="inlineStr">
        <is>
          <t xml:space="preserve"> : </t>
        </is>
      </c>
      <c r="P340" t="inlineStr">
        <is>
          <t>X</t>
        </is>
      </c>
      <c r="Q340" t="inlineStr">
        <is>
          <t>3800,00 EUR</t>
        </is>
      </c>
      <c r="R340" t="inlineStr">
        <is>
          <t>Pergamentband, Schließen, erhabene Buchbeschläge</t>
        </is>
      </c>
      <c r="S340" t="inlineStr">
        <is>
          <t>bis 42 cm</t>
        </is>
      </c>
      <c r="T340" t="inlineStr">
        <is>
          <t>80° bis 110°, einseitig digitalisierbar?</t>
        </is>
      </c>
      <c r="U340" t="inlineStr">
        <is>
          <t>hohler Rücken, erhabene Illuminationen</t>
        </is>
      </c>
      <c r="V340" t="inlineStr">
        <is>
          <t>nicht auflegen</t>
        </is>
      </c>
      <c r="W340" t="inlineStr"/>
      <c r="X340" t="inlineStr">
        <is>
          <t>Signaturfahne austauschen</t>
        </is>
      </c>
      <c r="Y340" t="n">
        <v>2</v>
      </c>
      <c r="Z340" t="inlineStr"/>
      <c r="AA340" t="inlineStr"/>
      <c r="AB340" t="inlineStr"/>
      <c r="AC340" t="inlineStr"/>
      <c r="AD340" t="inlineStr"/>
      <c r="AE340" t="inlineStr"/>
      <c r="AF340" t="inlineStr"/>
      <c r="AG340" t="inlineStr"/>
      <c r="AH340" t="inlineStr"/>
      <c r="AI340" t="inlineStr">
        <is>
          <t>Pg</t>
        </is>
      </c>
      <c r="AJ340" t="inlineStr"/>
      <c r="AK340" t="inlineStr">
        <is>
          <t>x</t>
        </is>
      </c>
      <c r="AL340" t="inlineStr"/>
      <c r="AM340" t="inlineStr">
        <is>
          <t>h</t>
        </is>
      </c>
      <c r="AN340" t="inlineStr">
        <is>
          <t>x</t>
        </is>
      </c>
      <c r="AO340" t="inlineStr"/>
      <c r="AP340" t="inlineStr"/>
      <c r="AQ340" t="inlineStr"/>
      <c r="AR340" t="inlineStr"/>
      <c r="AS340" t="inlineStr">
        <is>
          <t>Pa</t>
        </is>
      </c>
      <c r="AT340" t="inlineStr"/>
      <c r="AU340" t="inlineStr"/>
      <c r="AV340" t="inlineStr"/>
      <c r="AW340" t="inlineStr"/>
      <c r="AX340" t="inlineStr"/>
      <c r="AY340" t="inlineStr"/>
      <c r="AZ340" t="inlineStr"/>
      <c r="BA340" t="inlineStr"/>
      <c r="BB340" t="inlineStr"/>
      <c r="BC340" t="inlineStr">
        <is>
          <t>B/I/R</t>
        </is>
      </c>
      <c r="BD340" t="inlineStr">
        <is>
          <t>x</t>
        </is>
      </c>
      <c r="BE340" t="inlineStr"/>
      <c r="BF340" t="inlineStr"/>
      <c r="BG340" t="inlineStr">
        <is>
          <t>nur 110</t>
        </is>
      </c>
      <c r="BH340" t="inlineStr"/>
      <c r="BI340" t="inlineStr">
        <is>
          <t>x</t>
        </is>
      </c>
      <c r="BJ340" t="inlineStr">
        <is>
          <t xml:space="preserve">
Rücken freischwebend!</t>
        </is>
      </c>
      <c r="BK340" t="inlineStr"/>
      <c r="BL340" t="inlineStr"/>
      <c r="BM340" t="inlineStr">
        <is>
          <t>ja vor</t>
        </is>
      </c>
      <c r="BN340" t="n">
        <v>3.5</v>
      </c>
      <c r="BO340" t="inlineStr"/>
      <c r="BP340" t="inlineStr">
        <is>
          <t>Wellpappe</t>
        </is>
      </c>
      <c r="BQ340" t="inlineStr"/>
      <c r="BR340" t="inlineStr"/>
      <c r="BS340" t="inlineStr"/>
      <c r="BT340" t="inlineStr"/>
      <c r="BU340" t="inlineStr"/>
      <c r="BV340" t="inlineStr"/>
      <c r="BW340" t="inlineStr"/>
      <c r="BX340" t="inlineStr"/>
      <c r="BY340" t="inlineStr"/>
      <c r="BZ340" t="inlineStr">
        <is>
          <t>x</t>
        </is>
      </c>
      <c r="CA340" t="inlineStr"/>
      <c r="CB340" t="inlineStr">
        <is>
          <t>x</t>
        </is>
      </c>
      <c r="CC340" t="inlineStr"/>
      <c r="CD340" t="inlineStr"/>
      <c r="CE340" t="inlineStr"/>
      <c r="CF340" t="inlineStr"/>
      <c r="CG340" t="inlineStr"/>
      <c r="CH340" t="inlineStr"/>
      <c r="CI340" t="inlineStr"/>
      <c r="CJ340" t="inlineStr"/>
      <c r="CK340" t="inlineStr"/>
      <c r="CL340" t="inlineStr">
        <is>
          <t>u</t>
        </is>
      </c>
      <c r="CM340" t="n">
        <v>1.5</v>
      </c>
      <c r="CN340" t="inlineStr">
        <is>
          <t>Titelschild sichern (Fragmente inneliegend), Perg.-fragment einfügen (inneliegend), Kapital unten ankleben (inneliegend)</t>
        </is>
      </c>
      <c r="CO340" t="inlineStr"/>
      <c r="CP340" t="inlineStr">
        <is>
          <t>x</t>
        </is>
      </c>
      <c r="CQ340" t="inlineStr"/>
      <c r="CR340" t="inlineStr"/>
      <c r="CS340" t="inlineStr"/>
      <c r="CT340" t="inlineStr"/>
      <c r="CU340" t="inlineStr"/>
      <c r="CV340" t="inlineStr"/>
      <c r="CW340" t="inlineStr"/>
      <c r="CX340" t="inlineStr">
        <is>
          <t>x</t>
        </is>
      </c>
      <c r="CY340" t="inlineStr"/>
      <c r="CZ340" t="inlineStr"/>
      <c r="DA340" t="inlineStr"/>
      <c r="DB340" t="inlineStr"/>
      <c r="DC340" t="inlineStr"/>
      <c r="DD340" t="inlineStr"/>
      <c r="DE340" t="inlineStr"/>
      <c r="DF340" t="n">
        <v>2</v>
      </c>
      <c r="DG340" t="inlineStr">
        <is>
          <t>ca. 33 Seiten wattiert im Bereich des mikrobiellen Befalls --&gt; stabilisieren, vorher trockenreinigen, Desinfizieren nicht nötig</t>
        </is>
      </c>
    </row>
    <row r="341">
      <c r="A341" t="inlineStr">
        <is>
          <t>II</t>
        </is>
      </c>
      <c r="B341" t="b">
        <v>1</v>
      </c>
      <c r="C341" t="inlineStr"/>
      <c r="D341" t="inlineStr"/>
      <c r="E341" t="n">
        <v>339</v>
      </c>
      <c r="F341">
        <f>HYPERLINK("https://portal.dnb.de/opac.htm?method=simpleSearch&amp;cqlMode=true&amp;query=idn%3D106696775X", "Portal")</f>
        <v/>
      </c>
      <c r="G341" t="inlineStr">
        <is>
          <t>Aaf</t>
        </is>
      </c>
      <c r="H341" t="inlineStr">
        <is>
          <t>L-1477-315498013</t>
        </is>
      </c>
      <c r="I341" t="inlineStr">
        <is>
          <t>106696775X</t>
        </is>
      </c>
      <c r="J341" t="inlineStr">
        <is>
          <t>II 27,1a</t>
        </is>
      </c>
      <c r="K341" t="inlineStr">
        <is>
          <t>II 27,1a</t>
        </is>
      </c>
      <c r="L341" t="inlineStr">
        <is>
          <t>II 27,1a</t>
        </is>
      </c>
      <c r="M341" t="inlineStr"/>
      <c r="N341" t="inlineStr">
        <is>
          <t xml:space="preserve">Dialogus inter Hugonem, Catonem, et Oliverium super libertate ecclesiastica : </t>
        </is>
      </c>
      <c r="O341" t="inlineStr">
        <is>
          <t xml:space="preserve"> : </t>
        </is>
      </c>
      <c r="P341" t="inlineStr">
        <is>
          <t>X</t>
        </is>
      </c>
      <c r="Q341" t="inlineStr"/>
      <c r="R341" t="inlineStr">
        <is>
          <t>Halbledereinband, Schließen, erhabene Buchbeschläge</t>
        </is>
      </c>
      <c r="S341" t="inlineStr">
        <is>
          <t>bis 35 cm</t>
        </is>
      </c>
      <c r="T341" t="inlineStr">
        <is>
          <t>180°</t>
        </is>
      </c>
      <c r="U341" t="inlineStr">
        <is>
          <t>hohler Rücken</t>
        </is>
      </c>
      <c r="V341" t="inlineStr"/>
      <c r="W341" t="inlineStr">
        <is>
          <t>Kassette</t>
        </is>
      </c>
      <c r="X341" t="inlineStr">
        <is>
          <t>Nein</t>
        </is>
      </c>
      <c r="Y341" t="n">
        <v>0</v>
      </c>
      <c r="Z341" t="inlineStr"/>
      <c r="AA341" t="inlineStr">
        <is>
          <t>Holzdeckel, gereinigt</t>
        </is>
      </c>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t>
        </is>
      </c>
      <c r="B342" t="b">
        <v>1</v>
      </c>
      <c r="C342" t="inlineStr"/>
      <c r="D342" t="inlineStr"/>
      <c r="E342" t="n">
        <v>340</v>
      </c>
      <c r="F342">
        <f>HYPERLINK("https://portal.dnb.de/opac.htm?method=simpleSearch&amp;cqlMode=true&amp;query=idn%3D1066972753", "Portal")</f>
        <v/>
      </c>
      <c r="G342" t="inlineStr">
        <is>
          <t>Aaf</t>
        </is>
      </c>
      <c r="H342" t="inlineStr">
        <is>
          <t>L-1486-315503165</t>
        </is>
      </c>
      <c r="I342" t="inlineStr">
        <is>
          <t>1066972753</t>
        </is>
      </c>
      <c r="J342" t="inlineStr">
        <is>
          <t>II 28,1a</t>
        </is>
      </c>
      <c r="K342" t="inlineStr">
        <is>
          <t>II 28,1a</t>
        </is>
      </c>
      <c r="L342" t="inlineStr">
        <is>
          <t>II 28,1a</t>
        </is>
      </c>
      <c r="M342" t="inlineStr"/>
      <c r="N342" t="inlineStr">
        <is>
          <t xml:space="preserve">Dicta super Summulas Petri Hispani : </t>
        </is>
      </c>
      <c r="O342" t="inlineStr">
        <is>
          <t xml:space="preserve"> : </t>
        </is>
      </c>
      <c r="P342" t="inlineStr">
        <is>
          <t>X</t>
        </is>
      </c>
      <c r="Q342" t="inlineStr"/>
      <c r="R342" t="inlineStr">
        <is>
          <t>Ledereinband, Schließen, erhabene Buchbeschläge</t>
        </is>
      </c>
      <c r="S342" t="inlineStr">
        <is>
          <t>bis 35 cm</t>
        </is>
      </c>
      <c r="T342" t="inlineStr">
        <is>
          <t>80° bis 110°, einseitig digitalisierbar?</t>
        </is>
      </c>
      <c r="U342" t="inlineStr">
        <is>
          <t>hohler Rücken, welliger Buchblock, erhabene Illuminationen</t>
        </is>
      </c>
      <c r="V342" t="inlineStr">
        <is>
          <t>nicht auflegen</t>
        </is>
      </c>
      <c r="W342" t="inlineStr">
        <is>
          <t>Kassette</t>
        </is>
      </c>
      <c r="X342" t="inlineStr">
        <is>
          <t>Nein</t>
        </is>
      </c>
      <c r="Y342" t="n">
        <v>1</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t>
        </is>
      </c>
      <c r="B343" t="b">
        <v>1</v>
      </c>
      <c r="C343" t="inlineStr"/>
      <c r="D343" t="inlineStr"/>
      <c r="E343" t="n">
        <v>341</v>
      </c>
      <c r="F343">
        <f>HYPERLINK("https://portal.dnb.de/opac.htm?method=simpleSearch&amp;cqlMode=true&amp;query=idn%3D1066965129", "Portal")</f>
        <v/>
      </c>
      <c r="G343" t="inlineStr">
        <is>
          <t>Aa</t>
        </is>
      </c>
      <c r="H343" t="inlineStr">
        <is>
          <t>L-1478-31549526X</t>
        </is>
      </c>
      <c r="I343" t="inlineStr">
        <is>
          <t>1066965129</t>
        </is>
      </c>
      <c r="J343" t="inlineStr">
        <is>
          <t>II 28,1b</t>
        </is>
      </c>
      <c r="K343" t="inlineStr">
        <is>
          <t>II 28,1b</t>
        </is>
      </c>
      <c r="L343" t="inlineStr">
        <is>
          <t>II 28,1b</t>
        </is>
      </c>
      <c r="M343" t="inlineStr"/>
      <c r="N343" t="inlineStr">
        <is>
          <t xml:space="preserve">Sermones de tempore et de sanctis : </t>
        </is>
      </c>
      <c r="O343" t="inlineStr">
        <is>
          <t xml:space="preserve"> : </t>
        </is>
      </c>
      <c r="P343" t="inlineStr">
        <is>
          <t>X</t>
        </is>
      </c>
      <c r="Q343" t="inlineStr"/>
      <c r="R343" t="inlineStr">
        <is>
          <t>Halbledereinband, Schließen, erhabene Buchbeschläge</t>
        </is>
      </c>
      <c r="S343" t="inlineStr">
        <is>
          <t>bis 35 cm</t>
        </is>
      </c>
      <c r="T343" t="inlineStr">
        <is>
          <t>80° bis 110°, einseitig digitalisierbar?</t>
        </is>
      </c>
      <c r="U343" t="inlineStr">
        <is>
          <t>hohler Rücken, welliger Buchblock, erhabene Illuminationen</t>
        </is>
      </c>
      <c r="V343" t="inlineStr">
        <is>
          <t>nicht auflegen</t>
        </is>
      </c>
      <c r="W343" t="inlineStr">
        <is>
          <t>Kassette</t>
        </is>
      </c>
      <c r="X343" t="inlineStr">
        <is>
          <t>Nein</t>
        </is>
      </c>
      <c r="Y343" t="n">
        <v>1</v>
      </c>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n">
        <v>0</v>
      </c>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t>
        </is>
      </c>
      <c r="B344" t="b">
        <v>1</v>
      </c>
      <c r="C344" t="inlineStr">
        <is>
          <t>x</t>
        </is>
      </c>
      <c r="D344" t="inlineStr"/>
      <c r="E344" t="n">
        <v>342</v>
      </c>
      <c r="F344">
        <f>HYPERLINK("https://portal.dnb.de/opac.htm?method=simpleSearch&amp;cqlMode=true&amp;query=idn%3D1072061481", "Portal")</f>
        <v/>
      </c>
      <c r="G344" t="inlineStr">
        <is>
          <t>Aa</t>
        </is>
      </c>
      <c r="H344" t="inlineStr">
        <is>
          <t>L-1476-32685729X</t>
        </is>
      </c>
      <c r="I344" t="inlineStr">
        <is>
          <t>1072061481</t>
        </is>
      </c>
      <c r="J344" t="inlineStr">
        <is>
          <t>II 28,1c</t>
        </is>
      </c>
      <c r="K344" t="inlineStr">
        <is>
          <t>II 28,1c</t>
        </is>
      </c>
      <c r="L344" t="inlineStr">
        <is>
          <t>II 28,1c</t>
        </is>
      </c>
      <c r="M344" t="inlineStr"/>
      <c r="N344" t="inlineStr">
        <is>
          <t xml:space="preserve">Brief an Herzog Sigmund von Österreich betr. die Herrschaft Hohenberg : </t>
        </is>
      </c>
      <c r="O344" t="inlineStr">
        <is>
          <t xml:space="preserve"> : </t>
        </is>
      </c>
      <c r="P344" t="inlineStr">
        <is>
          <t>X</t>
        </is>
      </c>
      <c r="Q344" t="inlineStr">
        <is>
          <t>5000,00 EUR</t>
        </is>
      </c>
      <c r="R344" t="inlineStr">
        <is>
          <t>Gewebeeinband, Schließen, erhabene Buchbeschläge</t>
        </is>
      </c>
      <c r="S344" t="inlineStr">
        <is>
          <t>bis 35 cm</t>
        </is>
      </c>
      <c r="T344" t="inlineStr">
        <is>
          <t>180°</t>
        </is>
      </c>
      <c r="U344" t="inlineStr">
        <is>
          <t>hohler Rücken</t>
        </is>
      </c>
      <c r="V344" t="inlineStr"/>
      <c r="W344" t="inlineStr">
        <is>
          <t>Kassette</t>
        </is>
      </c>
      <c r="X344" t="inlineStr">
        <is>
          <t>Nein</t>
        </is>
      </c>
      <c r="Y344" t="n">
        <v>1</v>
      </c>
      <c r="Z344" t="inlineStr"/>
      <c r="AA344" t="inlineStr"/>
      <c r="AB344" t="inlineStr"/>
      <c r="AC344" t="inlineStr"/>
      <c r="AD344" t="inlineStr"/>
      <c r="AE344" t="inlineStr"/>
      <c r="AF344" t="inlineStr"/>
      <c r="AG344" t="inlineStr"/>
      <c r="AH344" t="inlineStr"/>
      <c r="AI344" t="inlineStr">
        <is>
          <t>G</t>
        </is>
      </c>
      <c r="AJ344" t="inlineStr"/>
      <c r="AK344" t="inlineStr">
        <is>
          <t>x</t>
        </is>
      </c>
      <c r="AL344" t="inlineStr"/>
      <c r="AM344" t="inlineStr">
        <is>
          <t>h/E</t>
        </is>
      </c>
      <c r="AN344" t="inlineStr"/>
      <c r="AO344" t="inlineStr"/>
      <c r="AP344" t="inlineStr"/>
      <c r="AQ344" t="inlineStr"/>
      <c r="AR344" t="inlineStr"/>
      <c r="AS344" t="inlineStr">
        <is>
          <t>Pa</t>
        </is>
      </c>
      <c r="AT344" t="inlineStr"/>
      <c r="AU344" t="inlineStr"/>
      <c r="AV344" t="inlineStr"/>
      <c r="AW344" t="inlineStr"/>
      <c r="AX344" t="inlineStr"/>
      <c r="AY344" t="inlineStr"/>
      <c r="AZ344" t="inlineStr"/>
      <c r="BA344" t="inlineStr"/>
      <c r="BB344" t="inlineStr"/>
      <c r="BC344" t="inlineStr"/>
      <c r="BD344" t="inlineStr"/>
      <c r="BE344" t="inlineStr"/>
      <c r="BF344" t="inlineStr"/>
      <c r="BG344" t="n">
        <v>110</v>
      </c>
      <c r="BH344" t="inlineStr"/>
      <c r="BI344" t="inlineStr"/>
      <c r="BJ344" t="inlineStr"/>
      <c r="BK344" t="inlineStr"/>
      <c r="BL344" t="inlineStr"/>
      <c r="BM344" t="inlineStr">
        <is>
          <t>ja vor</t>
        </is>
      </c>
      <c r="BN344" t="n">
        <v>1</v>
      </c>
      <c r="BO344" t="inlineStr"/>
      <c r="BP344" t="inlineStr">
        <is>
          <t>Wellpappe</t>
        </is>
      </c>
      <c r="BQ344" t="inlineStr"/>
      <c r="BR344" t="inlineStr"/>
      <c r="BS344" t="inlineStr"/>
      <c r="BT344" t="inlineStr"/>
      <c r="BU344" t="inlineStr"/>
      <c r="BV344" t="inlineStr"/>
      <c r="BW344" t="inlineStr"/>
      <c r="BX344" t="inlineStr"/>
      <c r="BY344" t="inlineStr"/>
      <c r="BZ344" t="inlineStr">
        <is>
          <t>x</t>
        </is>
      </c>
      <c r="CA344" t="inlineStr"/>
      <c r="CB344" t="inlineStr">
        <is>
          <t>x</t>
        </is>
      </c>
      <c r="CC344" t="inlineStr"/>
      <c r="CD344" t="inlineStr"/>
      <c r="CE344" t="inlineStr"/>
      <c r="CF344" t="inlineStr"/>
      <c r="CG344" t="inlineStr"/>
      <c r="CH344" t="inlineStr"/>
      <c r="CI344" t="inlineStr"/>
      <c r="CJ344" t="inlineStr"/>
      <c r="CK344" t="inlineStr"/>
      <c r="CL344" t="inlineStr"/>
      <c r="CM344" t="n">
        <v>1</v>
      </c>
      <c r="CN344" t="inlineStr">
        <is>
          <t>Rücken an Kopf und Fuß mit JP sichern</t>
        </is>
      </c>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t>
        </is>
      </c>
      <c r="B345" t="b">
        <v>1</v>
      </c>
      <c r="C345" t="inlineStr"/>
      <c r="D345" t="inlineStr"/>
      <c r="E345" t="n">
        <v>343</v>
      </c>
      <c r="F345">
        <f>HYPERLINK("https://portal.dnb.de/opac.htm?method=simpleSearch&amp;cqlMode=true&amp;query=idn%3D1066968918", "Portal")</f>
        <v/>
      </c>
      <c r="G345" t="inlineStr">
        <is>
          <t>Aaf</t>
        </is>
      </c>
      <c r="H345" t="inlineStr">
        <is>
          <t>L-1478-315499192</t>
        </is>
      </c>
      <c r="I345" t="inlineStr">
        <is>
          <t>1066968918</t>
        </is>
      </c>
      <c r="J345" t="inlineStr">
        <is>
          <t>II 28,1d</t>
        </is>
      </c>
      <c r="K345" t="inlineStr">
        <is>
          <t>II 28,1d</t>
        </is>
      </c>
      <c r="L345" t="inlineStr">
        <is>
          <t>II 28,1d</t>
        </is>
      </c>
      <c r="M345" t="inlineStr"/>
      <c r="N345" t="inlineStr">
        <is>
          <t xml:space="preserve">Postilla super epistolas et evangelia : </t>
        </is>
      </c>
      <c r="O345" t="inlineStr">
        <is>
          <t xml:space="preserve"> : </t>
        </is>
      </c>
      <c r="P345" t="inlineStr">
        <is>
          <t>X</t>
        </is>
      </c>
      <c r="Q345" t="inlineStr"/>
      <c r="R345" t="inlineStr">
        <is>
          <t>Ledereinband, Schließen, erhabene Buchbeschläge</t>
        </is>
      </c>
      <c r="S345" t="inlineStr">
        <is>
          <t>bis 35 cm</t>
        </is>
      </c>
      <c r="T345" t="inlineStr">
        <is>
          <t>80° bis 110°, einseitig digitalisierbar?</t>
        </is>
      </c>
      <c r="U345" t="inlineStr">
        <is>
          <t>fester Rücken mit Schmuckprägung, welliger Buchblock, erhabene Illuminationen</t>
        </is>
      </c>
      <c r="V345" t="inlineStr">
        <is>
          <t>nicht auflegen</t>
        </is>
      </c>
      <c r="W345" t="inlineStr">
        <is>
          <t>Kassette</t>
        </is>
      </c>
      <c r="X345" t="inlineStr">
        <is>
          <t>Nein</t>
        </is>
      </c>
      <c r="Y345" t="n">
        <v>0</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t>
        </is>
      </c>
      <c r="B346" t="b">
        <v>1</v>
      </c>
      <c r="C346" t="inlineStr"/>
      <c r="D346" t="inlineStr"/>
      <c r="E346" t="n">
        <v>344</v>
      </c>
      <c r="F346">
        <f>HYPERLINK("https://portal.dnb.de/opac.htm?method=simpleSearch&amp;cqlMode=true&amp;query=idn%3D1066967555", "Portal")</f>
        <v/>
      </c>
      <c r="G346" t="inlineStr">
        <is>
          <t>Aa</t>
        </is>
      </c>
      <c r="H346" t="inlineStr">
        <is>
          <t>L-1478-315497815</t>
        </is>
      </c>
      <c r="I346" t="inlineStr">
        <is>
          <t>1066967555</t>
        </is>
      </c>
      <c r="J346" t="inlineStr">
        <is>
          <t>II 28,1e</t>
        </is>
      </c>
      <c r="K346" t="inlineStr">
        <is>
          <t>II 28,1e</t>
        </is>
      </c>
      <c r="L346" t="inlineStr">
        <is>
          <t>II 28,1e</t>
        </is>
      </c>
      <c r="M346" t="inlineStr"/>
      <c r="N346" t="inlineStr">
        <is>
          <t xml:space="preserve">Sermones de sanctis : </t>
        </is>
      </c>
      <c r="O346" t="inlineStr">
        <is>
          <t xml:space="preserve"> : </t>
        </is>
      </c>
      <c r="P346" t="inlineStr">
        <is>
          <t>X</t>
        </is>
      </c>
      <c r="Q346" t="inlineStr"/>
      <c r="R346" t="inlineStr">
        <is>
          <t>Ledereinband, Schließen, erhabene Buchbeschläge</t>
        </is>
      </c>
      <c r="S346" t="inlineStr">
        <is>
          <t>bis 35 cm</t>
        </is>
      </c>
      <c r="T346" t="inlineStr">
        <is>
          <t>80° bis 110°, einseitig digitalisierbar?</t>
        </is>
      </c>
      <c r="U346" t="inlineStr">
        <is>
          <t>hohler Rücken, welliger Buchblock, erhabene Illuminationen</t>
        </is>
      </c>
      <c r="V346" t="inlineStr">
        <is>
          <t>nicht auflegen</t>
        </is>
      </c>
      <c r="W346" t="inlineStr">
        <is>
          <t>Kassette</t>
        </is>
      </c>
      <c r="X346" t="inlineStr">
        <is>
          <t>Nein</t>
        </is>
      </c>
      <c r="Y346" t="n">
        <v>0</v>
      </c>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t>
        </is>
      </c>
      <c r="B347" t="b">
        <v>1</v>
      </c>
      <c r="C347" t="inlineStr"/>
      <c r="D347" t="inlineStr"/>
      <c r="E347" t="n">
        <v>345</v>
      </c>
      <c r="F347">
        <f>HYPERLINK("https://portal.dnb.de/opac.htm?method=simpleSearch&amp;cqlMode=true&amp;query=idn%3D1066972265", "Portal")</f>
        <v/>
      </c>
      <c r="G347" t="inlineStr">
        <is>
          <t>Aaf</t>
        </is>
      </c>
      <c r="H347" t="inlineStr">
        <is>
          <t>L-1496-315502681</t>
        </is>
      </c>
      <c r="I347" t="inlineStr">
        <is>
          <t>1066972265</t>
        </is>
      </c>
      <c r="J347" t="inlineStr">
        <is>
          <t>II 28,1f</t>
        </is>
      </c>
      <c r="K347" t="inlineStr">
        <is>
          <t>II 28,1f</t>
        </is>
      </c>
      <c r="L347" t="inlineStr">
        <is>
          <t>II 28,1f</t>
        </is>
      </c>
      <c r="M347" t="inlineStr"/>
      <c r="N347" t="inlineStr">
        <is>
          <t xml:space="preserve">Statuta synodalia Eystettensia cum statutis provincialibus Moguntinis : </t>
        </is>
      </c>
      <c r="O347" t="inlineStr">
        <is>
          <t xml:space="preserve"> : </t>
        </is>
      </c>
      <c r="P347" t="inlineStr"/>
      <c r="Q347" t="inlineStr"/>
      <c r="R347" t="inlineStr"/>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n">
        <v>0</v>
      </c>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t>
        </is>
      </c>
      <c r="B348" t="b">
        <v>1</v>
      </c>
      <c r="C348" t="inlineStr"/>
      <c r="D348" t="inlineStr"/>
      <c r="E348" t="n">
        <v>346</v>
      </c>
      <c r="F348">
        <f>HYPERLINK("https://portal.dnb.de/opac.htm?method=simpleSearch&amp;cqlMode=true&amp;query=idn%3D106697103X", "Portal")</f>
        <v/>
      </c>
      <c r="G348" t="inlineStr">
        <is>
          <t>Aaf</t>
        </is>
      </c>
      <c r="H348" t="inlineStr">
        <is>
          <t>L-1482-315501391</t>
        </is>
      </c>
      <c r="I348" t="inlineStr">
        <is>
          <t>106697103X</t>
        </is>
      </c>
      <c r="J348" t="inlineStr">
        <is>
          <t>II 28,2a</t>
        </is>
      </c>
      <c r="K348" t="inlineStr">
        <is>
          <t>II 28,2a</t>
        </is>
      </c>
      <c r="L348" t="inlineStr">
        <is>
          <t>II 28,2a</t>
        </is>
      </c>
      <c r="M348" t="inlineStr"/>
      <c r="N348" t="inlineStr">
        <is>
          <t xml:space="preserve">Supplementum Summae Pisanellae : </t>
        </is>
      </c>
      <c r="O348" t="inlineStr">
        <is>
          <t xml:space="preserve"> : </t>
        </is>
      </c>
      <c r="P348" t="inlineStr">
        <is>
          <t>X</t>
        </is>
      </c>
      <c r="Q348" t="inlineStr"/>
      <c r="R348" t="inlineStr">
        <is>
          <t>Schließen, erhabene Buchbeschläge</t>
        </is>
      </c>
      <c r="S348" t="inlineStr">
        <is>
          <t>bis 35 cm</t>
        </is>
      </c>
      <c r="T348" t="inlineStr">
        <is>
          <t>nur sehr geringer Öffnungswinkel</t>
        </is>
      </c>
      <c r="U348" t="inlineStr">
        <is>
          <t>hohler Rücken, welliger Buchblock, erhabene Illuminationen</t>
        </is>
      </c>
      <c r="V348" t="inlineStr">
        <is>
          <t>nicht auflegen</t>
        </is>
      </c>
      <c r="W348" t="inlineStr">
        <is>
          <t>Kassette</t>
        </is>
      </c>
      <c r="X348" t="inlineStr">
        <is>
          <t>Nein</t>
        </is>
      </c>
      <c r="Y348" t="n">
        <v>0</v>
      </c>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t>
        </is>
      </c>
      <c r="B349" t="b">
        <v>1</v>
      </c>
      <c r="C349" t="inlineStr">
        <is>
          <t>x</t>
        </is>
      </c>
      <c r="D349" t="inlineStr"/>
      <c r="E349" t="n">
        <v>347</v>
      </c>
      <c r="F349">
        <f>HYPERLINK("https://portal.dnb.de/opac.htm?method=simpleSearch&amp;cqlMode=true&amp;query=idn%3D1066966737", "Portal")</f>
        <v/>
      </c>
      <c r="G349" t="inlineStr">
        <is>
          <t>Aa</t>
        </is>
      </c>
      <c r="H349" t="inlineStr">
        <is>
          <t>L-1488-315497033</t>
        </is>
      </c>
      <c r="I349" t="inlineStr">
        <is>
          <t>1066966737</t>
        </is>
      </c>
      <c r="J349" t="inlineStr">
        <is>
          <t>II 28,2b</t>
        </is>
      </c>
      <c r="K349" t="inlineStr">
        <is>
          <t>II 28,2b</t>
        </is>
      </c>
      <c r="L349" t="inlineStr">
        <is>
          <t>II 28,2b</t>
        </is>
      </c>
      <c r="M349" t="inlineStr"/>
      <c r="N349" t="inlineStr">
        <is>
          <t xml:space="preserve">Sacri canonis missae expositio : </t>
        </is>
      </c>
      <c r="O349" t="inlineStr">
        <is>
          <t xml:space="preserve"> : </t>
        </is>
      </c>
      <c r="P349" t="inlineStr">
        <is>
          <t>X</t>
        </is>
      </c>
      <c r="Q349" t="inlineStr">
        <is>
          <t>3800,00 EUR</t>
        </is>
      </c>
      <c r="R349" t="inlineStr">
        <is>
          <t>Halbledereinband, Schließen, erhabene Buchbeschläge</t>
        </is>
      </c>
      <c r="S349" t="inlineStr">
        <is>
          <t>bis 35 cm</t>
        </is>
      </c>
      <c r="T349" t="inlineStr">
        <is>
          <t>nur sehr geringer Öffnungswinkel</t>
        </is>
      </c>
      <c r="U349" t="inlineStr">
        <is>
          <t>fester Rücken mit Schmuckprägung</t>
        </is>
      </c>
      <c r="V349" t="inlineStr"/>
      <c r="W349" t="inlineStr">
        <is>
          <t>Kassette</t>
        </is>
      </c>
      <c r="X349" t="inlineStr">
        <is>
          <t>Nein</t>
        </is>
      </c>
      <c r="Y349" t="n">
        <v>0</v>
      </c>
      <c r="Z349" t="inlineStr"/>
      <c r="AA349" t="inlineStr"/>
      <c r="AB349" t="inlineStr"/>
      <c r="AC349" t="inlineStr"/>
      <c r="AD349" t="inlineStr"/>
      <c r="AE349" t="inlineStr"/>
      <c r="AF349" t="inlineStr"/>
      <c r="AG349" t="inlineStr"/>
      <c r="AH349" t="inlineStr"/>
      <c r="AI349" t="inlineStr">
        <is>
          <t>HD</t>
        </is>
      </c>
      <c r="AJ349" t="inlineStr"/>
      <c r="AK349" t="inlineStr">
        <is>
          <t>x</t>
        </is>
      </c>
      <c r="AL349" t="inlineStr"/>
      <c r="AM349" t="inlineStr">
        <is>
          <t>f/V</t>
        </is>
      </c>
      <c r="AN349" t="inlineStr"/>
      <c r="AO349" t="inlineStr"/>
      <c r="AP349" t="inlineStr"/>
      <c r="AQ349" t="inlineStr"/>
      <c r="AR349" t="inlineStr"/>
      <c r="AS349" t="inlineStr">
        <is>
          <t>Pa</t>
        </is>
      </c>
      <c r="AT349" t="inlineStr"/>
      <c r="AU349" t="inlineStr">
        <is>
          <t>x</t>
        </is>
      </c>
      <c r="AV349" t="inlineStr"/>
      <c r="AW349" t="inlineStr"/>
      <c r="AX349" t="inlineStr"/>
      <c r="AY349" t="inlineStr"/>
      <c r="AZ349" t="inlineStr"/>
      <c r="BA349" t="inlineStr"/>
      <c r="BB349" t="inlineStr"/>
      <c r="BC349" t="inlineStr"/>
      <c r="BD349" t="inlineStr"/>
      <c r="BE349" t="inlineStr"/>
      <c r="BF349" t="inlineStr"/>
      <c r="BG349" t="n">
        <v>45</v>
      </c>
      <c r="BH349" t="inlineStr"/>
      <c r="BI349" t="inlineStr"/>
      <c r="BJ349" t="inlineStr"/>
      <c r="BK349" t="inlineStr"/>
      <c r="BL349" t="inlineStr"/>
      <c r="BM349" t="inlineStr">
        <is>
          <t>ja vor</t>
        </is>
      </c>
      <c r="BN349" t="n">
        <v>0.5</v>
      </c>
      <c r="BO349" t="inlineStr"/>
      <c r="BP349" t="inlineStr">
        <is>
          <t>Wellpappe</t>
        </is>
      </c>
      <c r="BQ349" t="inlineStr"/>
      <c r="BR349" t="inlineStr"/>
      <c r="BS349" t="inlineStr"/>
      <c r="BT349" t="inlineStr"/>
      <c r="BU349" t="inlineStr"/>
      <c r="BV349" t="inlineStr"/>
      <c r="BW349" t="inlineStr"/>
      <c r="BX349" t="inlineStr"/>
      <c r="BY349" t="inlineStr"/>
      <c r="BZ349" t="inlineStr">
        <is>
          <t>x TS sichern</t>
        </is>
      </c>
      <c r="CA349" t="inlineStr">
        <is>
          <t>x</t>
        </is>
      </c>
      <c r="CB349" t="inlineStr">
        <is>
          <t>x</t>
        </is>
      </c>
      <c r="CC349" t="inlineStr"/>
      <c r="CD349" t="inlineStr"/>
      <c r="CE349" t="inlineStr"/>
      <c r="CF349" t="inlineStr"/>
      <c r="CG349" t="inlineStr"/>
      <c r="CH349" t="inlineStr"/>
      <c r="CI349" t="inlineStr"/>
      <c r="CJ349" t="inlineStr"/>
      <c r="CK349" t="inlineStr"/>
      <c r="CL349" t="inlineStr"/>
      <c r="CM349" t="n">
        <v>0.5</v>
      </c>
      <c r="CN349" t="inlineStr">
        <is>
          <t>Titelschild sichern</t>
        </is>
      </c>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t>
        </is>
      </c>
      <c r="B350" t="b">
        <v>1</v>
      </c>
      <c r="C350" t="inlineStr"/>
      <c r="D350" t="inlineStr"/>
      <c r="E350" t="n">
        <v>348</v>
      </c>
      <c r="F350">
        <f>HYPERLINK("https://portal.dnb.de/opac.htm?method=simpleSearch&amp;cqlMode=true&amp;query=idn%3D106696761X", "Portal")</f>
        <v/>
      </c>
      <c r="G350" t="inlineStr">
        <is>
          <t>Aal</t>
        </is>
      </c>
      <c r="H350" t="inlineStr">
        <is>
          <t>L-1481-315497866</t>
        </is>
      </c>
      <c r="I350" t="inlineStr">
        <is>
          <t>106696761X</t>
        </is>
      </c>
      <c r="J350" t="inlineStr">
        <is>
          <t>II 28,2c</t>
        </is>
      </c>
      <c r="K350" t="inlineStr">
        <is>
          <t>II 28,2c</t>
        </is>
      </c>
      <c r="L350" t="inlineStr">
        <is>
          <t>II 28,2c</t>
        </is>
      </c>
      <c r="M350" t="inlineStr"/>
      <c r="N350" t="inlineStr">
        <is>
          <t xml:space="preserve">Concordantiae bibliorum : </t>
        </is>
      </c>
      <c r="O350" t="inlineStr">
        <is>
          <t xml:space="preserve"> : </t>
        </is>
      </c>
      <c r="P350" t="inlineStr">
        <is>
          <t>X</t>
        </is>
      </c>
      <c r="Q350" t="inlineStr"/>
      <c r="R350" t="inlineStr">
        <is>
          <t>Ledereinband, Schließen, erhabene Buchbeschläge</t>
        </is>
      </c>
      <c r="S350" t="inlineStr">
        <is>
          <t>bis 42 cm</t>
        </is>
      </c>
      <c r="T350" t="inlineStr">
        <is>
          <t>nur sehr geringer Öffnungswinkel</t>
        </is>
      </c>
      <c r="U350" t="inlineStr">
        <is>
          <t>erhabene Illuminationen</t>
        </is>
      </c>
      <c r="V350" t="inlineStr">
        <is>
          <t>nicht auflegen</t>
        </is>
      </c>
      <c r="W350" t="inlineStr"/>
      <c r="X350" t="inlineStr">
        <is>
          <t>Signaturfahne austauschen</t>
        </is>
      </c>
      <c r="Y350" t="n">
        <v>0</v>
      </c>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n">
        <v>0</v>
      </c>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t>
        </is>
      </c>
      <c r="B351" t="b">
        <v>1</v>
      </c>
      <c r="C351" t="inlineStr"/>
      <c r="D351" t="inlineStr"/>
      <c r="E351" t="n">
        <v>349</v>
      </c>
      <c r="F351">
        <f>HYPERLINK("https://portal.dnb.de/opac.htm?method=simpleSearch&amp;cqlMode=true&amp;query=idn%3D1066971250", "Portal")</f>
        <v/>
      </c>
      <c r="G351" t="inlineStr">
        <is>
          <t>Aa</t>
        </is>
      </c>
      <c r="H351" t="inlineStr">
        <is>
          <t>L-1479-315501626</t>
        </is>
      </c>
      <c r="I351" t="inlineStr">
        <is>
          <t>1066971250</t>
        </is>
      </c>
      <c r="J351" t="inlineStr">
        <is>
          <t>II 28,2d</t>
        </is>
      </c>
      <c r="K351" t="inlineStr">
        <is>
          <t>II 28,2d</t>
        </is>
      </c>
      <c r="L351" t="inlineStr">
        <is>
          <t>II 28,2d</t>
        </is>
      </c>
      <c r="M351" t="inlineStr"/>
      <c r="N351" t="inlineStr">
        <is>
          <t xml:space="preserve">Praeceptorium divinae legis sive Expositio decalogi : </t>
        </is>
      </c>
      <c r="O351" t="inlineStr">
        <is>
          <t xml:space="preserve"> : </t>
        </is>
      </c>
      <c r="P351" t="inlineStr">
        <is>
          <t>X</t>
        </is>
      </c>
      <c r="Q351" t="inlineStr"/>
      <c r="R351" t="inlineStr">
        <is>
          <t>Halbledereinband, Schließen, erhabene Buchbeschläge</t>
        </is>
      </c>
      <c r="S351" t="inlineStr">
        <is>
          <t>bis 35 cm</t>
        </is>
      </c>
      <c r="T351" t="inlineStr">
        <is>
          <t>nur sehr geringer Öffnungswinkel</t>
        </is>
      </c>
      <c r="U351" t="inlineStr">
        <is>
          <t>fester Rücken mit Schmuckprägung</t>
        </is>
      </c>
      <c r="V351" t="inlineStr"/>
      <c r="W351" t="inlineStr">
        <is>
          <t>Kassette</t>
        </is>
      </c>
      <c r="X351" t="inlineStr">
        <is>
          <t>Nein</t>
        </is>
      </c>
      <c r="Y351" t="n">
        <v>1</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t>
        </is>
      </c>
      <c r="B352" t="b">
        <v>1</v>
      </c>
      <c r="C352" t="inlineStr"/>
      <c r="D352" t="inlineStr"/>
      <c r="E352" t="n">
        <v>350</v>
      </c>
      <c r="F352">
        <f>HYPERLINK("https://portal.dnb.de/opac.htm?method=simpleSearch&amp;cqlMode=true&amp;query=idn%3D1066972222", "Portal")</f>
        <v/>
      </c>
      <c r="G352" t="inlineStr">
        <is>
          <t>Aaf</t>
        </is>
      </c>
      <c r="H352" t="inlineStr">
        <is>
          <t>L-1482-315502649</t>
        </is>
      </c>
      <c r="I352" t="inlineStr">
        <is>
          <t>1066972222</t>
        </is>
      </c>
      <c r="J352" t="inlineStr">
        <is>
          <t>II 28,2e</t>
        </is>
      </c>
      <c r="K352" t="inlineStr">
        <is>
          <t>II 28,2e</t>
        </is>
      </c>
      <c r="L352" t="inlineStr">
        <is>
          <t>II 28,2e</t>
        </is>
      </c>
      <c r="M352" t="inlineStr"/>
      <c r="N352" t="inlineStr">
        <is>
          <t xml:space="preserve">Statuta provincialia Moguntinensia : </t>
        </is>
      </c>
      <c r="O352" t="inlineStr">
        <is>
          <t xml:space="preserve"> : </t>
        </is>
      </c>
      <c r="P352" t="inlineStr">
        <is>
          <t>x</t>
        </is>
      </c>
      <c r="Q352" t="inlineStr"/>
      <c r="R352" t="inlineStr">
        <is>
          <t>Ledereinband, Schließen, erhabene Buchbeschläge</t>
        </is>
      </c>
      <c r="S352" t="inlineStr">
        <is>
          <t>bis 35 cm</t>
        </is>
      </c>
      <c r="T352" t="inlineStr">
        <is>
          <t>80° bis 110°, einseitig digitalisierbar?</t>
        </is>
      </c>
      <c r="U352" t="inlineStr">
        <is>
          <t>erhabene Illuminationen, hohler Rücken</t>
        </is>
      </c>
      <c r="V352" t="inlineStr">
        <is>
          <t>nicht auflegen</t>
        </is>
      </c>
      <c r="W352" t="inlineStr">
        <is>
          <t>Kassette</t>
        </is>
      </c>
      <c r="X352" t="inlineStr">
        <is>
          <t>Nein</t>
        </is>
      </c>
      <c r="Y352" t="n">
        <v>0</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t>
        </is>
      </c>
      <c r="B353" t="b">
        <v>1</v>
      </c>
      <c r="C353" t="inlineStr">
        <is>
          <t>x</t>
        </is>
      </c>
      <c r="D353" t="inlineStr"/>
      <c r="E353" t="n">
        <v>351</v>
      </c>
      <c r="F353">
        <f>HYPERLINK("https://portal.dnb.de/opac.htm?method=simpleSearch&amp;cqlMode=true&amp;query=idn%3D1066973172", "Portal")</f>
        <v/>
      </c>
      <c r="G353" t="inlineStr">
        <is>
          <t>Aaf</t>
        </is>
      </c>
      <c r="H353" t="inlineStr">
        <is>
          <t>L-1489-315503564</t>
        </is>
      </c>
      <c r="I353" t="inlineStr">
        <is>
          <t>1066973172</t>
        </is>
      </c>
      <c r="J353" t="inlineStr">
        <is>
          <t>II 28,2f</t>
        </is>
      </c>
      <c r="K353" t="inlineStr">
        <is>
          <t>II 28,2f</t>
        </is>
      </c>
      <c r="L353" t="inlineStr">
        <is>
          <t>II 28,2f</t>
        </is>
      </c>
      <c r="M353" t="inlineStr"/>
      <c r="N353" t="inlineStr">
        <is>
          <t xml:space="preserve">Vocabularius ex quo : </t>
        </is>
      </c>
      <c r="O353" t="inlineStr">
        <is>
          <t xml:space="preserve"> : </t>
        </is>
      </c>
      <c r="P353" t="inlineStr">
        <is>
          <t>X</t>
        </is>
      </c>
      <c r="Q353" t="inlineStr">
        <is>
          <t>10000,00 EUR</t>
        </is>
      </c>
      <c r="R353" t="inlineStr">
        <is>
          <t>Halbledereinband, Schließen, erhabene Buchbeschläge</t>
        </is>
      </c>
      <c r="S353" t="inlineStr">
        <is>
          <t>bis 25 cm</t>
        </is>
      </c>
      <c r="T353" t="inlineStr">
        <is>
          <t>80° bis 110°, einseitig digitalisierbar?</t>
        </is>
      </c>
      <c r="U353" t="inlineStr">
        <is>
          <t>fester Rücken mit Schmuckprägung, welliger Buchblock, erhabene Illuminationen</t>
        </is>
      </c>
      <c r="V353" t="inlineStr">
        <is>
          <t>nicht auflegen</t>
        </is>
      </c>
      <c r="W353" t="inlineStr">
        <is>
          <t>Kassette</t>
        </is>
      </c>
      <c r="X353" t="inlineStr">
        <is>
          <t>Nein</t>
        </is>
      </c>
      <c r="Y353" t="n">
        <v>3</v>
      </c>
      <c r="Z353" t="inlineStr"/>
      <c r="AA353" t="inlineStr"/>
      <c r="AB353" t="inlineStr"/>
      <c r="AC353" t="inlineStr"/>
      <c r="AD353" t="inlineStr"/>
      <c r="AE353" t="inlineStr"/>
      <c r="AF353" t="inlineStr"/>
      <c r="AG353" t="inlineStr"/>
      <c r="AH353" t="inlineStr"/>
      <c r="AI353" t="inlineStr">
        <is>
          <t>HD</t>
        </is>
      </c>
      <c r="AJ353" t="inlineStr"/>
      <c r="AK353" t="inlineStr">
        <is>
          <t>x</t>
        </is>
      </c>
      <c r="AL353" t="inlineStr"/>
      <c r="AM353" t="inlineStr">
        <is>
          <t>f/V</t>
        </is>
      </c>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is>
          <t>I/R</t>
        </is>
      </c>
      <c r="BD353" t="inlineStr">
        <is>
          <t>x</t>
        </is>
      </c>
      <c r="BE353" t="inlineStr"/>
      <c r="BF353" t="inlineStr"/>
      <c r="BG353" t="n">
        <v>60</v>
      </c>
      <c r="BH353" t="inlineStr"/>
      <c r="BI353" t="inlineStr"/>
      <c r="BJ353" t="inlineStr"/>
      <c r="BK353" t="inlineStr"/>
      <c r="BL353" t="inlineStr"/>
      <c r="BM353" t="inlineStr">
        <is>
          <t>ja vor</t>
        </is>
      </c>
      <c r="BN353" t="n">
        <v>0.5</v>
      </c>
      <c r="BO353" t="inlineStr"/>
      <c r="BP353" t="inlineStr">
        <is>
          <t>Wellpappe</t>
        </is>
      </c>
      <c r="BQ353" t="inlineStr"/>
      <c r="BR353" t="inlineStr"/>
      <c r="BS353" t="inlineStr"/>
      <c r="BT353" t="inlineStr"/>
      <c r="BU353" t="inlineStr"/>
      <c r="BV353" t="inlineStr"/>
      <c r="BW353" t="inlineStr"/>
      <c r="BX353" t="inlineStr"/>
      <c r="BY353" t="inlineStr"/>
      <c r="BZ353" t="inlineStr">
        <is>
          <t>x TS sichern</t>
        </is>
      </c>
      <c r="CA353" t="inlineStr">
        <is>
          <t>x</t>
        </is>
      </c>
      <c r="CB353" t="inlineStr">
        <is>
          <t>x</t>
        </is>
      </c>
      <c r="CC353" t="inlineStr"/>
      <c r="CD353" t="inlineStr"/>
      <c r="CE353" t="inlineStr"/>
      <c r="CF353" t="inlineStr"/>
      <c r="CG353" t="inlineStr"/>
      <c r="CH353" t="inlineStr"/>
      <c r="CI353" t="inlineStr"/>
      <c r="CJ353" t="inlineStr"/>
      <c r="CK353" t="inlineStr"/>
      <c r="CL353" t="inlineStr"/>
      <c r="CM353" t="n">
        <v>0.5</v>
      </c>
      <c r="CN353" t="inlineStr">
        <is>
          <t>Titelschild sichern</t>
        </is>
      </c>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t>
        </is>
      </c>
      <c r="B354" t="b">
        <v>1</v>
      </c>
      <c r="C354" t="inlineStr"/>
      <c r="D354" t="inlineStr"/>
      <c r="E354" t="n">
        <v>352</v>
      </c>
      <c r="F354">
        <f>HYPERLINK("https://portal.dnb.de/opac.htm?method=simpleSearch&amp;cqlMode=true&amp;query=idn%3D1066973350", "Portal")</f>
        <v/>
      </c>
      <c r="G354" t="inlineStr">
        <is>
          <t>Aaf</t>
        </is>
      </c>
      <c r="H354" t="inlineStr">
        <is>
          <t>L-1473-315503726</t>
        </is>
      </c>
      <c r="I354" t="inlineStr">
        <is>
          <t>1066973350</t>
        </is>
      </c>
      <c r="J354" t="inlineStr">
        <is>
          <t>II 29,1a</t>
        </is>
      </c>
      <c r="K354" t="inlineStr">
        <is>
          <t>II 29,1a</t>
        </is>
      </c>
      <c r="L354" t="inlineStr">
        <is>
          <t>II 29,1a</t>
        </is>
      </c>
      <c r="M354" t="inlineStr"/>
      <c r="N354" t="inlineStr">
        <is>
          <t xml:space="preserve">Compendium theologicae veritatis : </t>
        </is>
      </c>
      <c r="O354" t="inlineStr">
        <is>
          <t xml:space="preserve"> : </t>
        </is>
      </c>
      <c r="P354" t="inlineStr">
        <is>
          <t>x</t>
        </is>
      </c>
      <c r="Q354" t="inlineStr"/>
      <c r="R354" t="inlineStr">
        <is>
          <t>Halbledereinband</t>
        </is>
      </c>
      <c r="S354" t="inlineStr">
        <is>
          <t>bis 35 cm</t>
        </is>
      </c>
      <c r="T354" t="inlineStr">
        <is>
          <t>nur sehr geringer Öffnungswinkel</t>
        </is>
      </c>
      <c r="U354" t="inlineStr">
        <is>
          <t>welliger Buchblock, fester Rücken mit Schmuckprägung, erhabene Illuminationen</t>
        </is>
      </c>
      <c r="V354" t="inlineStr">
        <is>
          <t>nicht auflegen</t>
        </is>
      </c>
      <c r="W354" t="inlineStr">
        <is>
          <t>Kassette</t>
        </is>
      </c>
      <c r="X354" t="inlineStr">
        <is>
          <t>Nein</t>
        </is>
      </c>
      <c r="Y354" t="n">
        <v>0</v>
      </c>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t>
        </is>
      </c>
      <c r="B355" t="b">
        <v>1</v>
      </c>
      <c r="C355" t="inlineStr">
        <is>
          <t>x</t>
        </is>
      </c>
      <c r="D355" t="inlineStr"/>
      <c r="E355" t="n">
        <v>353</v>
      </c>
      <c r="F355">
        <f>HYPERLINK("https://portal.dnb.de/opac.htm?method=simpleSearch&amp;cqlMode=true&amp;query=idn%3D1066964696", "Portal")</f>
        <v/>
      </c>
      <c r="G355" t="inlineStr">
        <is>
          <t>Aaf</t>
        </is>
      </c>
      <c r="H355" t="inlineStr">
        <is>
          <t>L-1472-315494913</t>
        </is>
      </c>
      <c r="I355" t="inlineStr">
        <is>
          <t>1066964696</t>
        </is>
      </c>
      <c r="J355" t="inlineStr">
        <is>
          <t>II 29,1b</t>
        </is>
      </c>
      <c r="K355" t="inlineStr">
        <is>
          <t>II 29,1b</t>
        </is>
      </c>
      <c r="L355" t="inlineStr">
        <is>
          <t>II 29,1b</t>
        </is>
      </c>
      <c r="M355" t="inlineStr"/>
      <c r="N355" t="inlineStr">
        <is>
          <t xml:space="preserve">Sermones notabiles et formales de praecipuis festivitatibus : </t>
        </is>
      </c>
      <c r="O355" t="inlineStr">
        <is>
          <t xml:space="preserve"> : </t>
        </is>
      </c>
      <c r="P355" t="inlineStr">
        <is>
          <t>X</t>
        </is>
      </c>
      <c r="Q355" t="inlineStr">
        <is>
          <t>4000,00 EUR</t>
        </is>
      </c>
      <c r="R355" t="inlineStr">
        <is>
          <t>Ledereinband, Schließen, erhabene Buchbeschläge</t>
        </is>
      </c>
      <c r="S355" t="inlineStr">
        <is>
          <t>bis 35 cm</t>
        </is>
      </c>
      <c r="T355" t="inlineStr">
        <is>
          <t>80° bis 110°, einseitig digitalisierbar?</t>
        </is>
      </c>
      <c r="U355" t="inlineStr">
        <is>
          <t>fester Rücken mit Schmuckprägung, welliger Buchblock, stark brüchiges Einbandmaterial, erhabene Illuminationen</t>
        </is>
      </c>
      <c r="V355" t="inlineStr">
        <is>
          <t>nicht auflegen</t>
        </is>
      </c>
      <c r="W355" t="inlineStr">
        <is>
          <t>Kassette</t>
        </is>
      </c>
      <c r="X355" t="inlineStr">
        <is>
          <t>Nein</t>
        </is>
      </c>
      <c r="Y355" t="n">
        <v>3</v>
      </c>
      <c r="Z355" t="inlineStr"/>
      <c r="AA355" t="inlineStr"/>
      <c r="AB355" t="inlineStr"/>
      <c r="AC355" t="inlineStr"/>
      <c r="AD355" t="inlineStr"/>
      <c r="AE355" t="inlineStr"/>
      <c r="AF355" t="inlineStr"/>
      <c r="AG355" t="inlineStr"/>
      <c r="AH355" t="inlineStr"/>
      <c r="AI355" t="inlineStr">
        <is>
          <t>HD</t>
        </is>
      </c>
      <c r="AJ355" t="inlineStr"/>
      <c r="AK355" t="inlineStr">
        <is>
          <t>x</t>
        </is>
      </c>
      <c r="AL355" t="inlineStr"/>
      <c r="AM355" t="inlineStr">
        <is>
          <t>f/V</t>
        </is>
      </c>
      <c r="AN355" t="inlineStr"/>
      <c r="AO355" t="inlineStr"/>
      <c r="AP355" t="inlineStr"/>
      <c r="AQ355" t="inlineStr"/>
      <c r="AR355" t="inlineStr"/>
      <c r="AS355" t="inlineStr">
        <is>
          <t>Pa</t>
        </is>
      </c>
      <c r="AT355" t="inlineStr"/>
      <c r="AU355" t="inlineStr"/>
      <c r="AV355" t="inlineStr"/>
      <c r="AW355" t="inlineStr">
        <is>
          <t>x</t>
        </is>
      </c>
      <c r="AX355" t="inlineStr"/>
      <c r="AY355" t="inlineStr"/>
      <c r="AZ355" t="inlineStr"/>
      <c r="BA355" t="inlineStr"/>
      <c r="BB355" t="inlineStr"/>
      <c r="BC355" t="inlineStr">
        <is>
          <t>I/R</t>
        </is>
      </c>
      <c r="BD355" t="inlineStr"/>
      <c r="BE355" t="inlineStr"/>
      <c r="BF355" t="inlineStr"/>
      <c r="BG355" t="n">
        <v>45</v>
      </c>
      <c r="BH355" t="inlineStr"/>
      <c r="BI355" t="inlineStr"/>
      <c r="BJ355" t="inlineStr"/>
      <c r="BK355" t="inlineStr"/>
      <c r="BL355" t="inlineStr"/>
      <c r="BM355" t="inlineStr">
        <is>
          <t>ja vor</t>
        </is>
      </c>
      <c r="BN355" t="n">
        <v>1</v>
      </c>
      <c r="BO355" t="inlineStr"/>
      <c r="BP355" t="inlineStr">
        <is>
          <t>Wellpappe</t>
        </is>
      </c>
      <c r="BQ355" t="inlineStr"/>
      <c r="BR355" t="inlineStr"/>
      <c r="BS355" t="inlineStr"/>
      <c r="BT355" t="inlineStr"/>
      <c r="BU355" t="inlineStr"/>
      <c r="BV355" t="inlineStr"/>
      <c r="BW355" t="inlineStr"/>
      <c r="BX355" t="inlineStr"/>
      <c r="BY355" t="inlineStr"/>
      <c r="BZ355" t="inlineStr">
        <is>
          <t>x</t>
        </is>
      </c>
      <c r="CA355" t="inlineStr">
        <is>
          <t>x</t>
        </is>
      </c>
      <c r="CB355" t="inlineStr">
        <is>
          <t>x</t>
        </is>
      </c>
      <c r="CC355" t="inlineStr"/>
      <c r="CD355" t="inlineStr"/>
      <c r="CE355" t="inlineStr"/>
      <c r="CF355" t="inlineStr"/>
      <c r="CG355" t="inlineStr"/>
      <c r="CH355" t="inlineStr"/>
      <c r="CI355" t="inlineStr"/>
      <c r="CJ355" t="inlineStr"/>
      <c r="CK355" t="inlineStr"/>
      <c r="CL355" t="inlineStr"/>
      <c r="CM355" t="n">
        <v>1</v>
      </c>
      <c r="CN355" t="inlineStr">
        <is>
          <t>Titelschilder und Leder sichern, Kanten der Titelschilder ggf. mit JP überfangen</t>
        </is>
      </c>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t>
        </is>
      </c>
      <c r="B356" t="b">
        <v>1</v>
      </c>
      <c r="C356" t="inlineStr">
        <is>
          <t>x</t>
        </is>
      </c>
      <c r="D356" t="inlineStr"/>
      <c r="E356" t="n">
        <v>354</v>
      </c>
      <c r="F356">
        <f>HYPERLINK("https://portal.dnb.de/opac.htm?method=simpleSearch&amp;cqlMode=true&amp;query=idn%3D1066969809", "Portal")</f>
        <v/>
      </c>
      <c r="G356" t="inlineStr">
        <is>
          <t>Aa</t>
        </is>
      </c>
      <c r="H356" t="inlineStr">
        <is>
          <t>L-1477-31550014X</t>
        </is>
      </c>
      <c r="I356" t="inlineStr">
        <is>
          <t>1066969809</t>
        </is>
      </c>
      <c r="J356" t="inlineStr">
        <is>
          <t>II 29,2a</t>
        </is>
      </c>
      <c r="K356" t="inlineStr">
        <is>
          <t>II 29,2a</t>
        </is>
      </c>
      <c r="L356" t="inlineStr">
        <is>
          <t>II 29,2a</t>
        </is>
      </c>
      <c r="M356" t="inlineStr"/>
      <c r="N356" t="inlineStr">
        <is>
          <t xml:space="preserve">Vocabularius iuris utriusque : </t>
        </is>
      </c>
      <c r="O356" t="inlineStr">
        <is>
          <t xml:space="preserve"> : </t>
        </is>
      </c>
      <c r="P356" t="inlineStr">
        <is>
          <t>x</t>
        </is>
      </c>
      <c r="Q356" t="inlineStr">
        <is>
          <t>3000,00 EUR</t>
        </is>
      </c>
      <c r="R356" t="inlineStr">
        <is>
          <t>Ledereinband, Schließen, erhabene Buchbeschläge</t>
        </is>
      </c>
      <c r="S356" t="inlineStr">
        <is>
          <t>bis 35 cm</t>
        </is>
      </c>
      <c r="T356" t="inlineStr">
        <is>
          <t>80° bis 110°, einseitig digitalisierbar?</t>
        </is>
      </c>
      <c r="U356" t="inlineStr">
        <is>
          <t>hohler Rücken, stark brüchiges Einbandmaterial, erhabene Illuminationen</t>
        </is>
      </c>
      <c r="V356" t="inlineStr">
        <is>
          <t>nicht auflegen</t>
        </is>
      </c>
      <c r="W356" t="inlineStr">
        <is>
          <t>Kassette</t>
        </is>
      </c>
      <c r="X356" t="inlineStr">
        <is>
          <t>Nein</t>
        </is>
      </c>
      <c r="Y356" t="n">
        <v>0</v>
      </c>
      <c r="Z356" t="inlineStr"/>
      <c r="AA356" t="inlineStr"/>
      <c r="AB356" t="inlineStr"/>
      <c r="AC356" t="inlineStr"/>
      <c r="AD356" t="inlineStr"/>
      <c r="AE356" t="inlineStr"/>
      <c r="AF356" t="inlineStr"/>
      <c r="AG356" t="inlineStr"/>
      <c r="AH356" t="inlineStr"/>
      <c r="AI356" t="inlineStr">
        <is>
          <t>HD</t>
        </is>
      </c>
      <c r="AJ356" t="inlineStr"/>
      <c r="AK356" t="inlineStr">
        <is>
          <t>x</t>
        </is>
      </c>
      <c r="AL356" t="inlineStr"/>
      <c r="AM356" t="inlineStr">
        <is>
          <t>f/V</t>
        </is>
      </c>
      <c r="AN356" t="inlineStr"/>
      <c r="AO356" t="inlineStr"/>
      <c r="AP356" t="inlineStr"/>
      <c r="AQ356" t="inlineStr"/>
      <c r="AR356" t="inlineStr"/>
      <c r="AS356" t="inlineStr">
        <is>
          <t>Pa</t>
        </is>
      </c>
      <c r="AT356" t="inlineStr"/>
      <c r="AU356" t="inlineStr"/>
      <c r="AV356" t="inlineStr"/>
      <c r="AW356" t="inlineStr"/>
      <c r="AX356" t="inlineStr"/>
      <c r="AY356" t="inlineStr"/>
      <c r="AZ356" t="inlineStr"/>
      <c r="BA356" t="inlineStr"/>
      <c r="BB356" t="inlineStr"/>
      <c r="BC356" t="inlineStr">
        <is>
          <t>I/R</t>
        </is>
      </c>
      <c r="BD356" t="inlineStr">
        <is>
          <t>x</t>
        </is>
      </c>
      <c r="BE356" t="inlineStr"/>
      <c r="BF356" t="inlineStr"/>
      <c r="BG356" t="n">
        <v>80</v>
      </c>
      <c r="BH356" t="inlineStr"/>
      <c r="BI356" t="inlineStr"/>
      <c r="BJ356" t="inlineStr"/>
      <c r="BK356" t="inlineStr"/>
      <c r="BL356" t="inlineStr"/>
      <c r="BM356" t="inlineStr">
        <is>
          <t>ja vor</t>
        </is>
      </c>
      <c r="BN356" t="n">
        <v>2</v>
      </c>
      <c r="BO356" t="inlineStr"/>
      <c r="BP356" t="inlineStr">
        <is>
          <t>Wellpappe</t>
        </is>
      </c>
      <c r="BQ356" t="inlineStr"/>
      <c r="BR356" t="inlineStr"/>
      <c r="BS356" t="inlineStr"/>
      <c r="BT356" t="inlineStr"/>
      <c r="BU356" t="inlineStr"/>
      <c r="BV356" t="inlineStr"/>
      <c r="BW356" t="inlineStr"/>
      <c r="BX356" t="inlineStr"/>
      <c r="BY356" t="inlineStr"/>
      <c r="BZ356" t="inlineStr">
        <is>
          <t>x</t>
        </is>
      </c>
      <c r="CA356" t="inlineStr">
        <is>
          <t>x</t>
        </is>
      </c>
      <c r="CB356" t="inlineStr">
        <is>
          <t>x</t>
        </is>
      </c>
      <c r="CC356" t="inlineStr"/>
      <c r="CD356" t="inlineStr">
        <is>
          <t>v</t>
        </is>
      </c>
      <c r="CE356" t="inlineStr"/>
      <c r="CF356" t="inlineStr"/>
      <c r="CG356" t="inlineStr"/>
      <c r="CH356" t="inlineStr"/>
      <c r="CI356" t="inlineStr"/>
      <c r="CJ356" t="inlineStr"/>
      <c r="CK356" t="inlineStr"/>
      <c r="CL356" t="inlineStr"/>
      <c r="CM356" t="n">
        <v>2</v>
      </c>
      <c r="CN356" t="inlineStr">
        <is>
          <t>Rücken und Gelenk mit JP sichern, Gelenk hinten mit JP überfangen</t>
        </is>
      </c>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t>
        </is>
      </c>
      <c r="B357" t="b">
        <v>1</v>
      </c>
      <c r="C357" t="inlineStr"/>
      <c r="D357" t="inlineStr"/>
      <c r="E357" t="n">
        <v>355</v>
      </c>
      <c r="F357">
        <f>HYPERLINK("https://portal.dnb.de/opac.htm?method=simpleSearch&amp;cqlMode=true&amp;query=idn%3D1066965404", "Portal")</f>
        <v/>
      </c>
      <c r="G357" t="inlineStr">
        <is>
          <t>Aaf</t>
        </is>
      </c>
      <c r="H357" t="inlineStr">
        <is>
          <t>L-1477-315495618</t>
        </is>
      </c>
      <c r="I357" t="inlineStr">
        <is>
          <t>1066965404</t>
        </is>
      </c>
      <c r="J357" t="inlineStr">
        <is>
          <t>II 29,2b</t>
        </is>
      </c>
      <c r="K357" t="inlineStr">
        <is>
          <t>II 29,2b</t>
        </is>
      </c>
      <c r="L357" t="inlineStr">
        <is>
          <t>II 29,2b</t>
        </is>
      </c>
      <c r="M357" t="inlineStr"/>
      <c r="N357" t="inlineStr">
        <is>
          <t xml:space="preserve">Summa theologica, P. 2 : </t>
        </is>
      </c>
      <c r="O357" t="inlineStr">
        <is>
          <t xml:space="preserve"> : </t>
        </is>
      </c>
      <c r="P357" t="inlineStr">
        <is>
          <t>X</t>
        </is>
      </c>
      <c r="Q357" t="inlineStr"/>
      <c r="R357" t="inlineStr">
        <is>
          <t>Ledereinband, Schließen, erhabene Buchbeschläge</t>
        </is>
      </c>
      <c r="S357" t="inlineStr">
        <is>
          <t>bis 42 cm</t>
        </is>
      </c>
      <c r="T357" t="inlineStr">
        <is>
          <t>80° bis 110°, einseitig digitalisierbar?</t>
        </is>
      </c>
      <c r="U357" t="inlineStr">
        <is>
          <t>erhabene Illuminationen</t>
        </is>
      </c>
      <c r="V357" t="inlineStr">
        <is>
          <t>nicht auflegen</t>
        </is>
      </c>
      <c r="W357" t="inlineStr"/>
      <c r="X357" t="inlineStr">
        <is>
          <t>Signaturfahne austauschen</t>
        </is>
      </c>
      <c r="Y357" t="n">
        <v>0</v>
      </c>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n">
        <v>0</v>
      </c>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t>
        </is>
      </c>
      <c r="B358" t="b">
        <v>1</v>
      </c>
      <c r="C358" t="inlineStr"/>
      <c r="D358" t="inlineStr"/>
      <c r="E358" t="n">
        <v>356</v>
      </c>
      <c r="F358">
        <f>HYPERLINK("https://portal.dnb.de/opac.htm?method=simpleSearch&amp;cqlMode=true&amp;query=idn%3D1066972044", "Portal")</f>
        <v/>
      </c>
      <c r="G358" t="inlineStr">
        <is>
          <t>Aa</t>
        </is>
      </c>
      <c r="H358" t="inlineStr">
        <is>
          <t>L-1477-315502460</t>
        </is>
      </c>
      <c r="I358" t="inlineStr">
        <is>
          <t>1066972044</t>
        </is>
      </c>
      <c r="J358" t="inlineStr">
        <is>
          <t>II 29,2c</t>
        </is>
      </c>
      <c r="K358" t="inlineStr">
        <is>
          <t>II 29,2c</t>
        </is>
      </c>
      <c r="L358" t="inlineStr">
        <is>
          <t>II 29,2c</t>
        </is>
      </c>
      <c r="M358" t="inlineStr"/>
      <c r="N358" t="inlineStr">
        <is>
          <t xml:space="preserve">Fasciculus temporum : </t>
        </is>
      </c>
      <c r="O358" t="inlineStr">
        <is>
          <t xml:space="preserve"> : </t>
        </is>
      </c>
      <c r="P358" t="inlineStr">
        <is>
          <t>X</t>
        </is>
      </c>
      <c r="Q358" t="inlineStr"/>
      <c r="R358" t="inlineStr">
        <is>
          <t>Ledereinband, Schließen, erhabene Buchbeschläge</t>
        </is>
      </c>
      <c r="S358" t="inlineStr">
        <is>
          <t>bis 35 cm</t>
        </is>
      </c>
      <c r="T358" t="inlineStr">
        <is>
          <t>80° bis 110°, einseitig digitalisierbar?</t>
        </is>
      </c>
      <c r="U358" t="inlineStr">
        <is>
          <t>fester Rücken mit Schmuckprägung, welliger Buchblock, erhabene Illuminationen, stark brüchiges Einbandmaterial</t>
        </is>
      </c>
      <c r="V358" t="inlineStr">
        <is>
          <t>nicht auflegen</t>
        </is>
      </c>
      <c r="W358" t="inlineStr">
        <is>
          <t>Kassette</t>
        </is>
      </c>
      <c r="X358" t="inlineStr">
        <is>
          <t>Nein</t>
        </is>
      </c>
      <c r="Y358" t="n">
        <v>3</v>
      </c>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n">
        <v>0</v>
      </c>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t>
        </is>
      </c>
      <c r="B359" t="b">
        <v>1</v>
      </c>
      <c r="C359" t="inlineStr"/>
      <c r="D359" t="inlineStr"/>
      <c r="E359" t="n">
        <v>357</v>
      </c>
      <c r="F359">
        <f>HYPERLINK("https://portal.dnb.de/opac.htm?method=simpleSearch&amp;cqlMode=true&amp;query=idn%3D1066970602", "Portal")</f>
        <v/>
      </c>
      <c r="G359" t="inlineStr">
        <is>
          <t>Aaf</t>
        </is>
      </c>
      <c r="H359" t="inlineStr">
        <is>
          <t>L-1479-315500964</t>
        </is>
      </c>
      <c r="I359" t="inlineStr">
        <is>
          <t>1066970602</t>
        </is>
      </c>
      <c r="J359" t="inlineStr">
        <is>
          <t>II 29,2d</t>
        </is>
      </c>
      <c r="K359" t="inlineStr">
        <is>
          <t>II 29,2d</t>
        </is>
      </c>
      <c r="L359" t="inlineStr">
        <is>
          <t>II 29,2d</t>
        </is>
      </c>
      <c r="M359" t="inlineStr"/>
      <c r="N359" t="inlineStr">
        <is>
          <t xml:space="preserve">Sermones quadragesimales de legibus dicti : </t>
        </is>
      </c>
      <c r="O359" t="inlineStr">
        <is>
          <t xml:space="preserve"> : </t>
        </is>
      </c>
      <c r="P359" t="inlineStr">
        <is>
          <t>X</t>
        </is>
      </c>
      <c r="Q359" t="inlineStr"/>
      <c r="R359" t="inlineStr">
        <is>
          <t>Halbledereinband, Schließen, erhabene Buchbeschläge</t>
        </is>
      </c>
      <c r="S359" t="inlineStr">
        <is>
          <t>bis 42 cm</t>
        </is>
      </c>
      <c r="T359" t="inlineStr">
        <is>
          <t>80° bis 110°, einseitig digitalisierbar?</t>
        </is>
      </c>
      <c r="U359" t="inlineStr">
        <is>
          <t>hohler Rücken, erhabene Illuminationen</t>
        </is>
      </c>
      <c r="V359" t="inlineStr">
        <is>
          <t>nicht auflegen</t>
        </is>
      </c>
      <c r="W359" t="inlineStr"/>
      <c r="X359" t="inlineStr">
        <is>
          <t>Signaturfahne austauschen</t>
        </is>
      </c>
      <c r="Y359" t="n">
        <v>0</v>
      </c>
      <c r="Z359" t="inlineStr"/>
      <c r="AA359" t="inlineStr">
        <is>
          <t>Holzdeckel</t>
        </is>
      </c>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n">
        <v>0</v>
      </c>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t>
        </is>
      </c>
      <c r="B360" t="b">
        <v>1</v>
      </c>
      <c r="C360" t="inlineStr"/>
      <c r="D360" t="inlineStr"/>
      <c r="E360" t="n">
        <v>358</v>
      </c>
      <c r="F360">
        <f>HYPERLINK("https://portal.dnb.de/opac.htm?method=simpleSearch&amp;cqlMode=true&amp;query=idn%3D1066971447", "Portal")</f>
        <v/>
      </c>
      <c r="G360" t="inlineStr">
        <is>
          <t>Aaf</t>
        </is>
      </c>
      <c r="H360" t="inlineStr">
        <is>
          <t>L-1480-315501812</t>
        </is>
      </c>
      <c r="I360" t="inlineStr">
        <is>
          <t>1066971447</t>
        </is>
      </c>
      <c r="J360" t="inlineStr">
        <is>
          <t>II 29,2e</t>
        </is>
      </c>
      <c r="K360" t="inlineStr">
        <is>
          <t>II 29,2e</t>
        </is>
      </c>
      <c r="L360" t="inlineStr">
        <is>
          <t>II 29,2e</t>
        </is>
      </c>
      <c r="M360" t="inlineStr"/>
      <c r="N360" t="inlineStr">
        <is>
          <t xml:space="preserve">Quaestiones super libros Sententiarum : </t>
        </is>
      </c>
      <c r="O360" t="inlineStr">
        <is>
          <t xml:space="preserve"> : </t>
        </is>
      </c>
      <c r="P360" t="inlineStr">
        <is>
          <t>X</t>
        </is>
      </c>
      <c r="Q360" t="inlineStr"/>
      <c r="R360" t="inlineStr">
        <is>
          <t>Halbledereinband, Schließen, erhabene Buchbeschläge</t>
        </is>
      </c>
      <c r="S360" t="inlineStr">
        <is>
          <t>bis 42 cm</t>
        </is>
      </c>
      <c r="T360" t="inlineStr">
        <is>
          <t>80° bis 110°, einseitig digitalisierbar?</t>
        </is>
      </c>
      <c r="U360" t="inlineStr">
        <is>
          <t>erhabene Illuminationen</t>
        </is>
      </c>
      <c r="V360" t="inlineStr">
        <is>
          <t>nicht auflegen</t>
        </is>
      </c>
      <c r="W360" t="inlineStr"/>
      <c r="X360" t="inlineStr">
        <is>
          <t>Signaturfahne austauschen</t>
        </is>
      </c>
      <c r="Y360" t="n">
        <v>0</v>
      </c>
      <c r="Z360" t="inlineStr"/>
      <c r="AA360" t="inlineStr">
        <is>
          <t>Holzdeckel</t>
        </is>
      </c>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t>
        </is>
      </c>
      <c r="B361" t="b">
        <v>1</v>
      </c>
      <c r="C361" t="inlineStr"/>
      <c r="D361" t="inlineStr"/>
      <c r="E361" t="n">
        <v>359</v>
      </c>
      <c r="F361">
        <f>HYPERLINK("https://portal.dnb.de/opac.htm?method=simpleSearch&amp;cqlMode=true&amp;query=idn%3D1066971447", "Portal")</f>
        <v/>
      </c>
      <c r="G361" t="inlineStr">
        <is>
          <t>Aaf</t>
        </is>
      </c>
      <c r="H361" t="inlineStr">
        <is>
          <t>L-1480-315501820</t>
        </is>
      </c>
      <c r="I361" t="inlineStr">
        <is>
          <t>1066971447</t>
        </is>
      </c>
      <c r="J361" t="inlineStr">
        <is>
          <t>II 29,2ea - Fragm.</t>
        </is>
      </c>
      <c r="K361" t="inlineStr">
        <is>
          <t>II 29,2ea - Fragm.</t>
        </is>
      </c>
      <c r="L361" t="inlineStr">
        <is>
          <t>II 29,2ea - Fragm.</t>
        </is>
      </c>
      <c r="M361" t="inlineStr"/>
      <c r="N361" t="inlineStr">
        <is>
          <t xml:space="preserve">Quaestiones super libros Sententiarum : </t>
        </is>
      </c>
      <c r="O361" t="inlineStr">
        <is>
          <t xml:space="preserve"> : </t>
        </is>
      </c>
      <c r="P361" t="inlineStr"/>
      <c r="Q361" t="inlineStr"/>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n">
        <v>0</v>
      </c>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t>
        </is>
      </c>
      <c r="B362" t="b">
        <v>1</v>
      </c>
      <c r="C362" t="inlineStr"/>
      <c r="D362" t="inlineStr"/>
      <c r="E362" t="n">
        <v>360</v>
      </c>
      <c r="F362">
        <f>HYPERLINK("https://portal.dnb.de/opac.htm?method=simpleSearch&amp;cqlMode=true&amp;query=idn%3D1066966508", "Portal")</f>
        <v/>
      </c>
      <c r="G362" t="inlineStr">
        <is>
          <t>Aa</t>
        </is>
      </c>
      <c r="H362" t="inlineStr">
        <is>
          <t>L-1489-315496797</t>
        </is>
      </c>
      <c r="I362" t="inlineStr">
        <is>
          <t>1066966508</t>
        </is>
      </c>
      <c r="J362" t="inlineStr">
        <is>
          <t>II 29,2f</t>
        </is>
      </c>
      <c r="K362" t="inlineStr">
        <is>
          <t>II 29,2f</t>
        </is>
      </c>
      <c r="L362" t="inlineStr">
        <is>
          <t>II 29,2f</t>
        </is>
      </c>
      <c r="M362" t="inlineStr"/>
      <c r="N362" t="inlineStr">
        <is>
          <t xml:space="preserve">Biblia, lat. : </t>
        </is>
      </c>
      <c r="O362" t="inlineStr">
        <is>
          <t xml:space="preserve"> : </t>
        </is>
      </c>
      <c r="P362" t="inlineStr">
        <is>
          <t>X</t>
        </is>
      </c>
      <c r="Q362" t="inlineStr"/>
      <c r="R362" t="inlineStr">
        <is>
          <t>Ledereinband, Schließen, erhabene Buchbeschläge</t>
        </is>
      </c>
      <c r="S362" t="inlineStr">
        <is>
          <t>bis 35 cm</t>
        </is>
      </c>
      <c r="T362" t="inlineStr">
        <is>
          <t>nur sehr geringer Öffnungswinkel</t>
        </is>
      </c>
      <c r="U362" t="inlineStr">
        <is>
          <t>fester Rücken mit Schmuckprägung, welliger Buchblock, Schrift bis in den Falz, erhabene Illuminationen, stark brüchiges Einbandmaterial</t>
        </is>
      </c>
      <c r="V362" t="inlineStr">
        <is>
          <t>nicht auflegen</t>
        </is>
      </c>
      <c r="W362" t="inlineStr">
        <is>
          <t>Kassette</t>
        </is>
      </c>
      <c r="X362" t="inlineStr">
        <is>
          <t>Nein</t>
        </is>
      </c>
      <c r="Y362" t="n">
        <v>3</v>
      </c>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t>
        </is>
      </c>
      <c r="B363" t="b">
        <v>1</v>
      </c>
      <c r="C363" t="inlineStr">
        <is>
          <t>x</t>
        </is>
      </c>
      <c r="D363" t="inlineStr"/>
      <c r="E363" t="n">
        <v>361</v>
      </c>
      <c r="F363">
        <f>HYPERLINK("https://portal.dnb.de/opac.htm?method=simpleSearch&amp;cqlMode=true&amp;query=idn%3D1066964645", "Portal")</f>
        <v/>
      </c>
      <c r="G363" t="inlineStr">
        <is>
          <t>Aaf</t>
        </is>
      </c>
      <c r="H363" t="inlineStr">
        <is>
          <t>L-1475-315494875</t>
        </is>
      </c>
      <c r="I363" t="inlineStr">
        <is>
          <t>1066964645</t>
        </is>
      </c>
      <c r="J363" t="inlineStr">
        <is>
          <t>II 29,2g</t>
        </is>
      </c>
      <c r="K363" t="inlineStr">
        <is>
          <t>II 29,2g</t>
        </is>
      </c>
      <c r="L363" t="inlineStr">
        <is>
          <t>II 29,2g</t>
        </is>
      </c>
      <c r="M363" t="inlineStr"/>
      <c r="N363" t="inlineStr">
        <is>
          <t xml:space="preserve">Sermones de tempore et de sanctis : </t>
        </is>
      </c>
      <c r="O363" t="inlineStr">
        <is>
          <t xml:space="preserve"> : </t>
        </is>
      </c>
      <c r="P363" t="inlineStr">
        <is>
          <t>x</t>
        </is>
      </c>
      <c r="Q363" t="inlineStr">
        <is>
          <t>6000,00 EUR</t>
        </is>
      </c>
      <c r="R363" t="inlineStr">
        <is>
          <t>Ledereinband, Schließen, erhabene Buchbeschläge</t>
        </is>
      </c>
      <c r="S363" t="inlineStr">
        <is>
          <t>bis 25 cm</t>
        </is>
      </c>
      <c r="T363" t="inlineStr">
        <is>
          <t>nur sehr geringer Öffnungswinkel</t>
        </is>
      </c>
      <c r="U363" t="inlineStr">
        <is>
          <t>fester Rücken mit Schmuckprägung, welliger Buchblock, stark brüchiges Einbandmaterial, fester Rücken mit Schmuckprägung, erhabene Illuminationen, welliger Buchblock</t>
        </is>
      </c>
      <c r="V363" t="inlineStr">
        <is>
          <t>nicht auflegen</t>
        </is>
      </c>
      <c r="W363" t="inlineStr">
        <is>
          <t>Kassette</t>
        </is>
      </c>
      <c r="X363" t="inlineStr">
        <is>
          <t>Nein</t>
        </is>
      </c>
      <c r="Y363" t="n">
        <v>3</v>
      </c>
      <c r="Z363" t="inlineStr"/>
      <c r="AA363" t="inlineStr"/>
      <c r="AB363" t="inlineStr"/>
      <c r="AC363" t="inlineStr"/>
      <c r="AD363" t="inlineStr"/>
      <c r="AE363" t="inlineStr"/>
      <c r="AF363" t="inlineStr"/>
      <c r="AG363" t="inlineStr"/>
      <c r="AH363" t="inlineStr"/>
      <c r="AI363" t="inlineStr">
        <is>
          <t>HD</t>
        </is>
      </c>
      <c r="AJ363" t="inlineStr"/>
      <c r="AK363" t="inlineStr">
        <is>
          <t>x</t>
        </is>
      </c>
      <c r="AL363" t="inlineStr"/>
      <c r="AM363" t="inlineStr">
        <is>
          <t>f/V</t>
        </is>
      </c>
      <c r="AN363" t="inlineStr"/>
      <c r="AO363" t="inlineStr"/>
      <c r="AP363" t="inlineStr"/>
      <c r="AQ363" t="inlineStr"/>
      <c r="AR363" t="inlineStr"/>
      <c r="AS363" t="inlineStr">
        <is>
          <t>Pa</t>
        </is>
      </c>
      <c r="AT363" t="inlineStr"/>
      <c r="AU363" t="inlineStr"/>
      <c r="AV363" t="inlineStr"/>
      <c r="AW363" t="inlineStr"/>
      <c r="AX363" t="inlineStr"/>
      <c r="AY363" t="inlineStr"/>
      <c r="AZ363" t="inlineStr"/>
      <c r="BA363" t="inlineStr"/>
      <c r="BB363" t="inlineStr"/>
      <c r="BC363" t="inlineStr">
        <is>
          <t>I/R</t>
        </is>
      </c>
      <c r="BD363" t="inlineStr">
        <is>
          <t>x</t>
        </is>
      </c>
      <c r="BE363" t="inlineStr"/>
      <c r="BF363" t="inlineStr"/>
      <c r="BG363" t="n">
        <v>45</v>
      </c>
      <c r="BH363" t="inlineStr"/>
      <c r="BI363" t="inlineStr"/>
      <c r="BJ363" t="inlineStr"/>
      <c r="BK363" t="inlineStr"/>
      <c r="BL363" t="inlineStr"/>
      <c r="BM363" t="inlineStr">
        <is>
          <t>ja vor</t>
        </is>
      </c>
      <c r="BN363" t="n">
        <v>2</v>
      </c>
      <c r="BO363" t="inlineStr"/>
      <c r="BP363" t="inlineStr">
        <is>
          <t>Wellpappe</t>
        </is>
      </c>
      <c r="BQ363" t="inlineStr"/>
      <c r="BR363" t="inlineStr"/>
      <c r="BS363" t="inlineStr"/>
      <c r="BT363" t="inlineStr"/>
      <c r="BU363" t="inlineStr"/>
      <c r="BV363" t="inlineStr"/>
      <c r="BW363" t="inlineStr"/>
      <c r="BX363" t="inlineStr"/>
      <c r="BY363" t="inlineStr"/>
      <c r="BZ363" t="inlineStr">
        <is>
          <t>x</t>
        </is>
      </c>
      <c r="CA363" t="inlineStr">
        <is>
          <t>x</t>
        </is>
      </c>
      <c r="CB363" t="inlineStr">
        <is>
          <t>x</t>
        </is>
      </c>
      <c r="CC363" t="inlineStr"/>
      <c r="CD363" t="inlineStr">
        <is>
          <t>v</t>
        </is>
      </c>
      <c r="CE363" t="inlineStr"/>
      <c r="CF363" t="inlineStr"/>
      <c r="CG363" t="inlineStr"/>
      <c r="CH363" t="inlineStr"/>
      <c r="CI363" t="inlineStr"/>
      <c r="CJ363" t="inlineStr"/>
      <c r="CK363" t="inlineStr"/>
      <c r="CL363" t="inlineStr"/>
      <c r="CM363" t="n">
        <v>2</v>
      </c>
      <c r="CN363" t="inlineStr">
        <is>
          <t>Rücken und Gelenk mit JP sichern, lose Bereiche/Narben zurückkleben</t>
        </is>
      </c>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t>
        </is>
      </c>
      <c r="B364" t="b">
        <v>1</v>
      </c>
      <c r="C364" t="inlineStr">
        <is>
          <t>x</t>
        </is>
      </c>
      <c r="D364" t="inlineStr"/>
      <c r="E364" t="n">
        <v>362</v>
      </c>
      <c r="F364">
        <f>HYPERLINK("https://portal.dnb.de/opac.htm?method=simpleSearch&amp;cqlMode=true&amp;query=idn%3D1066967938", "Portal")</f>
        <v/>
      </c>
      <c r="G364" t="inlineStr">
        <is>
          <t>Aaf</t>
        </is>
      </c>
      <c r="H364" t="inlineStr">
        <is>
          <t>L-1476-31549820X</t>
        </is>
      </c>
      <c r="I364" t="inlineStr">
        <is>
          <t>1066967938</t>
        </is>
      </c>
      <c r="J364" t="inlineStr">
        <is>
          <t>II 29,2h</t>
        </is>
      </c>
      <c r="K364" t="inlineStr">
        <is>
          <t>II 29,2h</t>
        </is>
      </c>
      <c r="L364" t="inlineStr">
        <is>
          <t>II 29,2h</t>
        </is>
      </c>
      <c r="M364" t="inlineStr"/>
      <c r="N364" t="inlineStr">
        <is>
          <t xml:space="preserve">Rationale divinorum officiorum : </t>
        </is>
      </c>
      <c r="O364" t="inlineStr">
        <is>
          <t xml:space="preserve"> : </t>
        </is>
      </c>
      <c r="P364" t="inlineStr">
        <is>
          <t>x</t>
        </is>
      </c>
      <c r="Q364" t="inlineStr">
        <is>
          <t>6000,00 EUR</t>
        </is>
      </c>
      <c r="R364" t="inlineStr">
        <is>
          <t>Ledereinband, Schließen, erhabene Buchbeschläge</t>
        </is>
      </c>
      <c r="S364" t="inlineStr">
        <is>
          <t>bis 35 cm</t>
        </is>
      </c>
      <c r="T364" t="inlineStr">
        <is>
          <t>nur sehr geringer Öffnungswinkel</t>
        </is>
      </c>
      <c r="U364" t="inlineStr">
        <is>
          <t>fester Rücken mit Schmuckprägung, welliger Buchblock, Schrift bis in den Falz, erhabene Illuminationen</t>
        </is>
      </c>
      <c r="V364" t="inlineStr">
        <is>
          <t>nicht auflegen</t>
        </is>
      </c>
      <c r="W364" t="inlineStr">
        <is>
          <t>Buchschuh</t>
        </is>
      </c>
      <c r="X364" t="inlineStr">
        <is>
          <t>Nein</t>
        </is>
      </c>
      <c r="Y364" t="n">
        <v>3</v>
      </c>
      <c r="Z364" t="inlineStr"/>
      <c r="AA364" t="inlineStr"/>
      <c r="AB364" t="inlineStr"/>
      <c r="AC364" t="inlineStr"/>
      <c r="AD364" t="inlineStr"/>
      <c r="AE364" t="inlineStr"/>
      <c r="AF364" t="inlineStr"/>
      <c r="AG364" t="inlineStr"/>
      <c r="AH364" t="inlineStr"/>
      <c r="AI364" t="inlineStr">
        <is>
          <t>HD</t>
        </is>
      </c>
      <c r="AJ364" t="inlineStr"/>
      <c r="AK364" t="inlineStr">
        <is>
          <t>x</t>
        </is>
      </c>
      <c r="AL364" t="inlineStr"/>
      <c r="AM364" t="inlineStr">
        <is>
          <t>f/V</t>
        </is>
      </c>
      <c r="AN364" t="inlineStr"/>
      <c r="AO364" t="inlineStr"/>
      <c r="AP364" t="inlineStr"/>
      <c r="AQ364" t="inlineStr"/>
      <c r="AR364" t="inlineStr"/>
      <c r="AS364" t="inlineStr">
        <is>
          <t>Pa</t>
        </is>
      </c>
      <c r="AT364" t="inlineStr"/>
      <c r="AU364" t="inlineStr"/>
      <c r="AV364" t="inlineStr"/>
      <c r="AW364" t="inlineStr"/>
      <c r="AX364" t="inlineStr"/>
      <c r="AY364" t="inlineStr"/>
      <c r="AZ364" t="inlineStr"/>
      <c r="BA364" t="inlineStr"/>
      <c r="BB364" t="inlineStr"/>
      <c r="BC364" t="inlineStr">
        <is>
          <t>I/R</t>
        </is>
      </c>
      <c r="BD364" t="inlineStr">
        <is>
          <t>x</t>
        </is>
      </c>
      <c r="BE364" t="inlineStr"/>
      <c r="BF364" t="inlineStr"/>
      <c r="BG364" t="n">
        <v>45</v>
      </c>
      <c r="BH364" t="inlineStr"/>
      <c r="BI364" t="inlineStr"/>
      <c r="BJ364" t="inlineStr"/>
      <c r="BK364" t="inlineStr"/>
      <c r="BL364" t="inlineStr"/>
      <c r="BM364" t="inlineStr">
        <is>
          <t>ja vor</t>
        </is>
      </c>
      <c r="BN364" t="n">
        <v>1</v>
      </c>
      <c r="BO364" t="inlineStr"/>
      <c r="BP364" t="inlineStr">
        <is>
          <t>Wellpappe</t>
        </is>
      </c>
      <c r="BQ364" t="inlineStr"/>
      <c r="BR364" t="inlineStr"/>
      <c r="BS364" t="inlineStr"/>
      <c r="BT364" t="inlineStr"/>
      <c r="BU364" t="inlineStr"/>
      <c r="BV364" t="inlineStr"/>
      <c r="BW364" t="inlineStr"/>
      <c r="BX364" t="inlineStr"/>
      <c r="BY364" t="inlineStr"/>
      <c r="BZ364" t="inlineStr">
        <is>
          <t>x</t>
        </is>
      </c>
      <c r="CA364" t="inlineStr">
        <is>
          <t>x</t>
        </is>
      </c>
      <c r="CB364" t="inlineStr">
        <is>
          <t>x</t>
        </is>
      </c>
      <c r="CC364" t="inlineStr"/>
      <c r="CD364" t="inlineStr"/>
      <c r="CE364" t="inlineStr"/>
      <c r="CF364" t="inlineStr"/>
      <c r="CG364" t="inlineStr"/>
      <c r="CH364" t="inlineStr"/>
      <c r="CI364" t="inlineStr"/>
      <c r="CJ364" t="inlineStr"/>
      <c r="CK364" t="inlineStr"/>
      <c r="CL364" t="inlineStr"/>
      <c r="CM364" t="n">
        <v>1</v>
      </c>
      <c r="CN364" t="inlineStr">
        <is>
          <t>Rücken am Kopf mit JP stabilisieren</t>
        </is>
      </c>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t>
        </is>
      </c>
      <c r="B365" t="b">
        <v>0</v>
      </c>
      <c r="C365" t="inlineStr"/>
      <c r="D365" t="inlineStr"/>
      <c r="E365" t="inlineStr"/>
      <c r="F365">
        <f>HYPERLINK("https://portal.dnb.de/opac.htm?method=simpleSearch&amp;cqlMode=true&amp;query=idn%3D", "Portal")</f>
        <v/>
      </c>
      <c r="G365" t="inlineStr"/>
      <c r="H365" t="inlineStr"/>
      <c r="I365" t="inlineStr"/>
      <c r="J365" t="inlineStr"/>
      <c r="K365" t="inlineStr"/>
      <c r="L365" t="inlineStr">
        <is>
          <t>II 29,2i - Einband</t>
        </is>
      </c>
      <c r="M365" t="inlineStr"/>
      <c r="N365" t="inlineStr"/>
      <c r="O365" t="inlineStr"/>
      <c r="P365" t="inlineStr"/>
      <c r="Q365" t="inlineStr"/>
      <c r="R365" t="inlineStr">
        <is>
          <t>Halbledereinband</t>
        </is>
      </c>
      <c r="S365" t="inlineStr">
        <is>
          <t>bis 35 cm</t>
        </is>
      </c>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n">
        <v>0</v>
      </c>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t>
        </is>
      </c>
      <c r="B366" t="b">
        <v>1</v>
      </c>
      <c r="C366" t="inlineStr"/>
      <c r="D366" t="inlineStr"/>
      <c r="E366" t="n">
        <v>363</v>
      </c>
      <c r="F366">
        <f>HYPERLINK("https://portal.dnb.de/opac.htm?method=simpleSearch&amp;cqlMode=true&amp;query=idn%3D1066969418", "Portal")</f>
        <v/>
      </c>
      <c r="G366" t="inlineStr">
        <is>
          <t>Aaf</t>
        </is>
      </c>
      <c r="H366" t="inlineStr">
        <is>
          <t>L-1490-315499737</t>
        </is>
      </c>
      <c r="I366" t="inlineStr">
        <is>
          <t>1066969418</t>
        </is>
      </c>
      <c r="J366" t="inlineStr">
        <is>
          <t>II 29,2k</t>
        </is>
      </c>
      <c r="K366" t="inlineStr">
        <is>
          <t>II 29,2k</t>
        </is>
      </c>
      <c r="L366" t="inlineStr">
        <is>
          <t>II 29,2k</t>
        </is>
      </c>
      <c r="M366" t="inlineStr"/>
      <c r="N366" t="inlineStr">
        <is>
          <t xml:space="preserve">Malleus maleficarum : </t>
        </is>
      </c>
      <c r="O366" t="inlineStr">
        <is>
          <t xml:space="preserve"> : </t>
        </is>
      </c>
      <c r="P366" t="inlineStr">
        <is>
          <t>x</t>
        </is>
      </c>
      <c r="Q366" t="inlineStr"/>
      <c r="R366" t="inlineStr">
        <is>
          <t>Halbledereinband, Schließen, erhabene Buchbeschläge</t>
        </is>
      </c>
      <c r="S366" t="inlineStr">
        <is>
          <t>bis 35 cm</t>
        </is>
      </c>
      <c r="T366" t="inlineStr">
        <is>
          <t>80° bis 110°, einseitig digitalisierbar?</t>
        </is>
      </c>
      <c r="U366" t="inlineStr">
        <is>
          <t>fester Rücken mit Schmuckprägung, erhabene Illuminationen, erhabene Illuminationen, Schrift bis in den Falz</t>
        </is>
      </c>
      <c r="V366" t="inlineStr">
        <is>
          <t>nicht auflegen</t>
        </is>
      </c>
      <c r="W366" t="inlineStr">
        <is>
          <t>Kassette</t>
        </is>
      </c>
      <c r="X366" t="inlineStr">
        <is>
          <t>Nein</t>
        </is>
      </c>
      <c r="Y366" t="n">
        <v>2</v>
      </c>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n">
        <v>0</v>
      </c>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t>
        </is>
      </c>
      <c r="B367" t="b">
        <v>1</v>
      </c>
      <c r="C367" t="inlineStr"/>
      <c r="D367" t="inlineStr"/>
      <c r="E367" t="n">
        <v>364</v>
      </c>
      <c r="F367">
        <f>HYPERLINK("https://portal.dnb.de/opac.htm?method=simpleSearch&amp;cqlMode=true&amp;query=idn%3D1066967857", "Portal")</f>
        <v/>
      </c>
      <c r="G367" t="inlineStr">
        <is>
          <t>Aaf</t>
        </is>
      </c>
      <c r="H367" t="inlineStr">
        <is>
          <t>L-1498-315498110</t>
        </is>
      </c>
      <c r="I367" t="inlineStr">
        <is>
          <t>1066967857</t>
        </is>
      </c>
      <c r="J367" t="inlineStr">
        <is>
          <t>II 29,3a</t>
        </is>
      </c>
      <c r="K367" t="inlineStr">
        <is>
          <t>II 29,3a</t>
        </is>
      </c>
      <c r="L367" t="inlineStr">
        <is>
          <t>II 29,3a</t>
        </is>
      </c>
      <c r="M367" t="inlineStr"/>
      <c r="N367" t="inlineStr">
        <is>
          <t>Ars minor : mit deutscher Interlinearglosse</t>
        </is>
      </c>
      <c r="O367" t="inlineStr">
        <is>
          <t xml:space="preserve"> : </t>
        </is>
      </c>
      <c r="P367" t="inlineStr">
        <is>
          <t>X</t>
        </is>
      </c>
      <c r="Q367" t="inlineStr"/>
      <c r="R367" t="inlineStr">
        <is>
          <t>Pergamentband</t>
        </is>
      </c>
      <c r="S367" t="inlineStr">
        <is>
          <t>bis 25 cm</t>
        </is>
      </c>
      <c r="T367" t="inlineStr">
        <is>
          <t>80° bis 110°, einseitig digitalisierbar?</t>
        </is>
      </c>
      <c r="U367" t="inlineStr">
        <is>
          <t>hohler Rücken</t>
        </is>
      </c>
      <c r="V367" t="inlineStr"/>
      <c r="W367" t="inlineStr">
        <is>
          <t>Kassette</t>
        </is>
      </c>
      <c r="X367" t="inlineStr">
        <is>
          <t>Nein</t>
        </is>
      </c>
      <c r="Y367" t="n">
        <v>0</v>
      </c>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t>
        </is>
      </c>
      <c r="B368" t="b">
        <v>1</v>
      </c>
      <c r="C368" t="inlineStr"/>
      <c r="D368" t="inlineStr"/>
      <c r="E368" t="n">
        <v>365</v>
      </c>
      <c r="F368">
        <f>HYPERLINK("https://portal.dnb.de/opac.htm?method=simpleSearch&amp;cqlMode=true&amp;query=idn%3D1066970513", "Portal")</f>
        <v/>
      </c>
      <c r="G368" t="inlineStr">
        <is>
          <t>Aaf</t>
        </is>
      </c>
      <c r="H368" t="inlineStr">
        <is>
          <t>L-1496-315500875</t>
        </is>
      </c>
      <c r="I368" t="inlineStr">
        <is>
          <t>1066970513</t>
        </is>
      </c>
      <c r="J368" t="inlineStr">
        <is>
          <t>II 29,3b</t>
        </is>
      </c>
      <c r="K368" t="inlineStr">
        <is>
          <t>II 29,3b</t>
        </is>
      </c>
      <c r="L368" t="inlineStr">
        <is>
          <t>II 29,3b</t>
        </is>
      </c>
      <c r="M368" t="inlineStr"/>
      <c r="N368" t="inlineStr">
        <is>
          <t xml:space="preserve">Speculum conscientiae et novissimorum : </t>
        </is>
      </c>
      <c r="O368" t="inlineStr">
        <is>
          <t xml:space="preserve"> : </t>
        </is>
      </c>
      <c r="P368" t="inlineStr">
        <is>
          <t>X</t>
        </is>
      </c>
      <c r="Q368" t="inlineStr"/>
      <c r="R368" t="inlineStr">
        <is>
          <t>Halbledereinband</t>
        </is>
      </c>
      <c r="S368" t="inlineStr">
        <is>
          <t>bis 25 cm</t>
        </is>
      </c>
      <c r="T368" t="inlineStr">
        <is>
          <t>80° bis 110°, einseitig digitalisierbar?</t>
        </is>
      </c>
      <c r="U368" t="inlineStr">
        <is>
          <t>fester Rücken mit Schmuckprägung</t>
        </is>
      </c>
      <c r="V368" t="inlineStr"/>
      <c r="W368" t="inlineStr">
        <is>
          <t>Kassette</t>
        </is>
      </c>
      <c r="X368" t="inlineStr">
        <is>
          <t>Nein</t>
        </is>
      </c>
      <c r="Y368" t="n">
        <v>1</v>
      </c>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n">
        <v>0</v>
      </c>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II</t>
        </is>
      </c>
      <c r="B369" t="b">
        <v>1</v>
      </c>
      <c r="C369" t="inlineStr"/>
      <c r="D369" t="inlineStr"/>
      <c r="E369" t="n">
        <v>366</v>
      </c>
      <c r="F369">
        <f>HYPERLINK("https://portal.dnb.de/opac.htm?method=simpleSearch&amp;cqlMode=true&amp;query=idn%3D1066973156", "Portal")</f>
        <v/>
      </c>
      <c r="G369" t="inlineStr">
        <is>
          <t>Aaf</t>
        </is>
      </c>
      <c r="H369" t="inlineStr">
        <is>
          <t>L-1499-315503548</t>
        </is>
      </c>
      <c r="I369" t="inlineStr">
        <is>
          <t>1066973156</t>
        </is>
      </c>
      <c r="J369" t="inlineStr">
        <is>
          <t>II 29,3c</t>
        </is>
      </c>
      <c r="K369" t="inlineStr">
        <is>
          <t>II 29,3c</t>
        </is>
      </c>
      <c r="L369" t="inlineStr">
        <is>
          <t>II 29,3c</t>
        </is>
      </c>
      <c r="M369" t="inlineStr"/>
      <c r="N369" t="inlineStr">
        <is>
          <t xml:space="preserve">Vocabularius de partibus indeclinabilibus : </t>
        </is>
      </c>
      <c r="O369" t="inlineStr">
        <is>
          <t xml:space="preserve"> : </t>
        </is>
      </c>
      <c r="P369" t="inlineStr">
        <is>
          <t>x</t>
        </is>
      </c>
      <c r="Q369" t="inlineStr"/>
      <c r="R369" t="inlineStr">
        <is>
          <t>Gewebeeinband</t>
        </is>
      </c>
      <c r="S369" t="inlineStr">
        <is>
          <t>bis 25 cm</t>
        </is>
      </c>
      <c r="T369" t="inlineStr">
        <is>
          <t>80° bis 110°, einseitig digitalisierbar?</t>
        </is>
      </c>
      <c r="U369" t="inlineStr">
        <is>
          <t>hohler Rücken</t>
        </is>
      </c>
      <c r="V369" t="inlineStr"/>
      <c r="W369" t="inlineStr">
        <is>
          <t>Kassette</t>
        </is>
      </c>
      <c r="X369" t="inlineStr">
        <is>
          <t>Nein</t>
        </is>
      </c>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n">
        <v>0</v>
      </c>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t>
        </is>
      </c>
      <c r="B370" t="b">
        <v>1</v>
      </c>
      <c r="C370" t="inlineStr"/>
      <c r="D370" t="inlineStr"/>
      <c r="E370" t="n">
        <v>367</v>
      </c>
      <c r="F370">
        <f>HYPERLINK("https://portal.dnb.de/opac.htm?method=simpleSearch&amp;cqlMode=true&amp;query=idn%3D1072320762", "Portal")</f>
        <v/>
      </c>
      <c r="G370" t="inlineStr">
        <is>
          <t>Aa</t>
        </is>
      </c>
      <c r="H370" t="inlineStr">
        <is>
          <t>L-1496-327280298</t>
        </is>
      </c>
      <c r="I370" t="inlineStr">
        <is>
          <t>1072320762</t>
        </is>
      </c>
      <c r="J370" t="inlineStr">
        <is>
          <t>II 29,3d</t>
        </is>
      </c>
      <c r="K370" t="inlineStr">
        <is>
          <t>II 29,3d</t>
        </is>
      </c>
      <c r="L370" t="inlineStr">
        <is>
          <t>II 29,3d</t>
        </is>
      </c>
      <c r="M370" t="inlineStr"/>
      <c r="N370" t="inlineStr">
        <is>
          <t xml:space="preserve">Oratio querulosa contra invasores sacerdotum. Mit Widm. an Papst Alexander VI : </t>
        </is>
      </c>
      <c r="O370" t="inlineStr">
        <is>
          <t xml:space="preserve"> : </t>
        </is>
      </c>
      <c r="P370" t="inlineStr">
        <is>
          <t>X</t>
        </is>
      </c>
      <c r="Q370" t="inlineStr"/>
      <c r="R370" t="inlineStr">
        <is>
          <t>Halbledereinband</t>
        </is>
      </c>
      <c r="S370" t="inlineStr">
        <is>
          <t>bis 25 cm</t>
        </is>
      </c>
      <c r="T370" t="inlineStr">
        <is>
          <t>80° bis 110°, einseitig digitalisierbar?</t>
        </is>
      </c>
      <c r="U370" t="inlineStr">
        <is>
          <t>hohler Rücken, welliger Buchblock</t>
        </is>
      </c>
      <c r="V370" t="inlineStr"/>
      <c r="W370" t="inlineStr">
        <is>
          <t>Kassette</t>
        </is>
      </c>
      <c r="X370" t="inlineStr">
        <is>
          <t>Nein</t>
        </is>
      </c>
      <c r="Y370" t="n">
        <v>1</v>
      </c>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n">
        <v>0</v>
      </c>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II</t>
        </is>
      </c>
      <c r="B371" t="b">
        <v>1</v>
      </c>
      <c r="C371" t="inlineStr"/>
      <c r="D371" t="inlineStr"/>
      <c r="E371" t="n">
        <v>368</v>
      </c>
      <c r="F371">
        <f>HYPERLINK("https://portal.dnb.de/opac.htm?method=simpleSearch&amp;cqlMode=true&amp;query=idn%3D1066965595", "Portal")</f>
        <v/>
      </c>
      <c r="G371" t="inlineStr">
        <is>
          <t>Aaf</t>
        </is>
      </c>
      <c r="H371" t="inlineStr">
        <is>
          <t>L-1473-315495812</t>
        </is>
      </c>
      <c r="I371" t="inlineStr">
        <is>
          <t>1066965595</t>
        </is>
      </c>
      <c r="J371" t="inlineStr">
        <is>
          <t>II 30,1 f</t>
        </is>
      </c>
      <c r="K371" t="inlineStr">
        <is>
          <t>II 30,1 f</t>
        </is>
      </c>
      <c r="L371" t="inlineStr">
        <is>
          <t>II 30,1 f</t>
        </is>
      </c>
      <c r="M371" t="inlineStr"/>
      <c r="N371" t="inlineStr">
        <is>
          <t xml:space="preserve">Summa de casibus conscientiae : </t>
        </is>
      </c>
      <c r="O371" t="inlineStr">
        <is>
          <t xml:space="preserve"> : </t>
        </is>
      </c>
      <c r="P371" t="inlineStr">
        <is>
          <t>X</t>
        </is>
      </c>
      <c r="Q371" t="inlineStr"/>
      <c r="R371" t="inlineStr">
        <is>
          <t>Halbledereinband</t>
        </is>
      </c>
      <c r="S371" t="inlineStr">
        <is>
          <t>bis 42 cm</t>
        </is>
      </c>
      <c r="T371" t="inlineStr">
        <is>
          <t>80° bis 110°, einseitig digitalisierbar?</t>
        </is>
      </c>
      <c r="U371" t="inlineStr">
        <is>
          <t>hohler Rücken, welliger Buchblock, erhabene Illuminationen</t>
        </is>
      </c>
      <c r="V371" t="inlineStr">
        <is>
          <t>nicht auflegen</t>
        </is>
      </c>
      <c r="W371" t="inlineStr"/>
      <c r="X371" t="inlineStr">
        <is>
          <t>Signaturfahne austauschen</t>
        </is>
      </c>
      <c r="Y371" t="n">
        <v>0</v>
      </c>
      <c r="Z371" t="inlineStr"/>
      <c r="AA371" t="inlineStr">
        <is>
          <t>Holzdeckel</t>
        </is>
      </c>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t>
        </is>
      </c>
      <c r="B372" t="b">
        <v>1</v>
      </c>
      <c r="C372" t="inlineStr"/>
      <c r="D372" t="inlineStr"/>
      <c r="E372" t="inlineStr"/>
      <c r="F372">
        <f>HYPERLINK("https://portal.dnb.de/opac.htm?method=simpleSearch&amp;cqlMode=true&amp;query=idn%3D1066973040", "Portal")</f>
        <v/>
      </c>
      <c r="G372" t="inlineStr"/>
      <c r="H372" t="inlineStr">
        <is>
          <t>L-1473-315503416</t>
        </is>
      </c>
      <c r="I372" t="inlineStr">
        <is>
          <t>1066973040</t>
        </is>
      </c>
      <c r="J372" t="inlineStr"/>
      <c r="K372" t="inlineStr">
        <is>
          <t>II 30,1a</t>
        </is>
      </c>
      <c r="L372" t="inlineStr">
        <is>
          <t>II 30,1a</t>
        </is>
      </c>
      <c r="M372" t="inlineStr"/>
      <c r="N372" t="inlineStr">
        <is>
          <t xml:space="preserve">Speculum historiale : </t>
        </is>
      </c>
      <c r="O372" t="inlineStr">
        <is>
          <t xml:space="preserve"> : </t>
        </is>
      </c>
      <c r="P372" t="inlineStr"/>
      <c r="Q372" t="inlineStr">
        <is>
          <t>30000,00 EUR</t>
        </is>
      </c>
      <c r="R372" t="inlineStr"/>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t>
        </is>
      </c>
      <c r="B373" t="b">
        <v>1</v>
      </c>
      <c r="C373" t="inlineStr"/>
      <c r="D373" t="inlineStr"/>
      <c r="E373" t="inlineStr"/>
      <c r="F373">
        <f>HYPERLINK("https://portal.dnb.de/opac.htm?method=simpleSearch&amp;cqlMode=true&amp;query=idn%3D1272537471", "Portal")</f>
        <v/>
      </c>
      <c r="G373" t="inlineStr">
        <is>
          <t>Afl</t>
        </is>
      </c>
      <c r="H373" t="inlineStr">
        <is>
          <t>L-1473-848175786</t>
        </is>
      </c>
      <c r="I373" t="inlineStr">
        <is>
          <t>1272537471</t>
        </is>
      </c>
      <c r="J373" t="inlineStr">
        <is>
          <t>II 30,1a - 1/2</t>
        </is>
      </c>
      <c r="K373" t="inlineStr">
        <is>
          <t>II 30,1a - 1/2</t>
        </is>
      </c>
      <c r="L373" t="inlineStr">
        <is>
          <t>II 30,1a - 1/2</t>
        </is>
      </c>
      <c r="M373" t="inlineStr"/>
      <c r="N373" t="inlineStr">
        <is>
          <t>Speculum historiale</t>
        </is>
      </c>
      <c r="O373" t="inlineStr">
        <is>
          <t xml:space="preserve">1/2 : </t>
        </is>
      </c>
      <c r="P373" t="inlineStr">
        <is>
          <t>x</t>
        </is>
      </c>
      <c r="Q373" t="inlineStr"/>
      <c r="R373" t="inlineStr">
        <is>
          <t>Halbledereinband</t>
        </is>
      </c>
      <c r="S373" t="inlineStr">
        <is>
          <t>bis 42 cm</t>
        </is>
      </c>
      <c r="T373" t="inlineStr">
        <is>
          <t>80° bis 110°, einseitig digitalisierbar?</t>
        </is>
      </c>
      <c r="U373" t="inlineStr">
        <is>
          <t>hohler Rücken, erhabene Illuminationen</t>
        </is>
      </c>
      <c r="V373" t="inlineStr">
        <is>
          <t>nicht auflegen</t>
        </is>
      </c>
      <c r="W373" t="inlineStr"/>
      <c r="X373" t="inlineStr"/>
      <c r="Y373" t="n">
        <v>1</v>
      </c>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t>
        </is>
      </c>
      <c r="B374" t="b">
        <v>1</v>
      </c>
      <c r="C374" t="inlineStr">
        <is>
          <t>x</t>
        </is>
      </c>
      <c r="D374" t="inlineStr"/>
      <c r="E374" t="inlineStr"/>
      <c r="F374">
        <f>HYPERLINK("https://portal.dnb.de/opac.htm?method=simpleSearch&amp;cqlMode=true&amp;query=idn%3D1272537528", "Portal")</f>
        <v/>
      </c>
      <c r="G374" t="inlineStr">
        <is>
          <t>Afl</t>
        </is>
      </c>
      <c r="H374" t="inlineStr">
        <is>
          <t>L-1473-848175832</t>
        </is>
      </c>
      <c r="I374" t="inlineStr">
        <is>
          <t>1272537528</t>
        </is>
      </c>
      <c r="J374" t="inlineStr">
        <is>
          <t>II 30,1a - 3/4</t>
        </is>
      </c>
      <c r="K374" t="inlineStr">
        <is>
          <t>II 30,1a - 3/4</t>
        </is>
      </c>
      <c r="L374" t="inlineStr">
        <is>
          <t>II 30,1a - 3/4</t>
        </is>
      </c>
      <c r="M374" t="inlineStr"/>
      <c r="N374" t="inlineStr">
        <is>
          <t>Speculum historiale</t>
        </is>
      </c>
      <c r="O374" t="inlineStr">
        <is>
          <t xml:space="preserve">3/4 : </t>
        </is>
      </c>
      <c r="P374" t="inlineStr">
        <is>
          <t>X</t>
        </is>
      </c>
      <c r="Q374" t="inlineStr"/>
      <c r="R374" t="inlineStr">
        <is>
          <t>Halbledereinband</t>
        </is>
      </c>
      <c r="S374" t="inlineStr">
        <is>
          <t>bis 42 cm</t>
        </is>
      </c>
      <c r="T374" t="inlineStr">
        <is>
          <t>80° bis 110°, einseitig digitalisierbar?</t>
        </is>
      </c>
      <c r="U374" t="inlineStr">
        <is>
          <t>gefaltete Blätter, erhabene Illuminationen</t>
        </is>
      </c>
      <c r="V374" t="inlineStr">
        <is>
          <t>nicht auflegen</t>
        </is>
      </c>
      <c r="W374" t="inlineStr"/>
      <c r="X374" t="inlineStr"/>
      <c r="Y374" t="n">
        <v>1</v>
      </c>
      <c r="Z374" t="inlineStr"/>
      <c r="AA374" t="inlineStr"/>
      <c r="AB374" t="inlineStr"/>
      <c r="AC374" t="inlineStr"/>
      <c r="AD374" t="inlineStr"/>
      <c r="AE374" t="inlineStr"/>
      <c r="AF374" t="inlineStr"/>
      <c r="AG374" t="inlineStr"/>
      <c r="AH374" t="inlineStr"/>
      <c r="AI374" t="inlineStr">
        <is>
          <t>HL</t>
        </is>
      </c>
      <c r="AJ374" t="inlineStr"/>
      <c r="AK374" t="inlineStr">
        <is>
          <t>x</t>
        </is>
      </c>
      <c r="AL374" t="inlineStr"/>
      <c r="AM374" t="inlineStr">
        <is>
          <t>h/E</t>
        </is>
      </c>
      <c r="AN374" t="inlineStr"/>
      <c r="AO374" t="inlineStr"/>
      <c r="AP374" t="inlineStr"/>
      <c r="AQ374" t="inlineStr"/>
      <c r="AR374" t="inlineStr"/>
      <c r="AS374" t="inlineStr">
        <is>
          <t>Pa</t>
        </is>
      </c>
      <c r="AT374" t="inlineStr"/>
      <c r="AU374" t="inlineStr"/>
      <c r="AV374" t="inlineStr"/>
      <c r="AW374" t="inlineStr">
        <is>
          <t>x</t>
        </is>
      </c>
      <c r="AX374" t="inlineStr"/>
      <c r="AY374" t="inlineStr"/>
      <c r="AZ374" t="inlineStr"/>
      <c r="BA374" t="inlineStr"/>
      <c r="BB374" t="inlineStr"/>
      <c r="BC374" t="inlineStr">
        <is>
          <t>B/I/R</t>
        </is>
      </c>
      <c r="BD374" t="inlineStr">
        <is>
          <t>x</t>
        </is>
      </c>
      <c r="BE374" t="inlineStr"/>
      <c r="BF374" t="inlineStr"/>
      <c r="BG374" t="n">
        <v>110</v>
      </c>
      <c r="BH374" t="inlineStr"/>
      <c r="BI374" t="inlineStr"/>
      <c r="BJ374" t="inlineStr"/>
      <c r="BK374" t="inlineStr"/>
      <c r="BL374" t="inlineStr"/>
      <c r="BM374" t="inlineStr">
        <is>
          <t>ja vor</t>
        </is>
      </c>
      <c r="BN374" t="n">
        <v>41</v>
      </c>
      <c r="BO374" t="inlineStr"/>
      <c r="BP374" t="inlineStr">
        <is>
          <t>Wellpappe</t>
        </is>
      </c>
      <c r="BQ374" t="inlineStr"/>
      <c r="BR374" t="inlineStr"/>
      <c r="BS374" t="inlineStr"/>
      <c r="BT374" t="inlineStr"/>
      <c r="BU374" t="inlineStr"/>
      <c r="BV374" t="inlineStr">
        <is>
          <t>mit Stephanie besprechen!!, Ergänzungen im BB mit nachmalen des Druckes/der Initialen, Risse u.a. an Sollbruchstellen --&gt; was tun? (siehe auch Aufzeichnungen und Fotos)</t>
        </is>
      </c>
      <c r="BW374" t="inlineStr"/>
      <c r="BX374" t="inlineStr"/>
      <c r="BY374" t="inlineStr"/>
      <c r="BZ374" t="inlineStr">
        <is>
          <t>x</t>
        </is>
      </c>
      <c r="CA374" t="inlineStr"/>
      <c r="CB374" t="inlineStr">
        <is>
          <t>x</t>
        </is>
      </c>
      <c r="CC374" t="inlineStr">
        <is>
          <t>x</t>
        </is>
      </c>
      <c r="CD374" t="inlineStr"/>
      <c r="CE374" t="inlineStr"/>
      <c r="CF374" t="inlineStr"/>
      <c r="CG374" t="inlineStr"/>
      <c r="CH374" t="inlineStr"/>
      <c r="CI374" t="inlineStr"/>
      <c r="CJ374" t="inlineStr"/>
      <c r="CK374" t="inlineStr"/>
      <c r="CL374" t="inlineStr"/>
      <c r="CM374" t="n">
        <v>1</v>
      </c>
      <c r="CN374" t="inlineStr"/>
      <c r="CO374" t="inlineStr"/>
      <c r="CP374" t="inlineStr"/>
      <c r="CQ374" t="inlineStr"/>
      <c r="CR374" t="inlineStr"/>
      <c r="CS374" t="inlineStr"/>
      <c r="CT374" t="inlineStr"/>
      <c r="CU374" t="inlineStr"/>
      <c r="CV374" t="inlineStr"/>
      <c r="CW374" t="inlineStr">
        <is>
          <t>x</t>
        </is>
      </c>
      <c r="CX374" t="inlineStr"/>
      <c r="CY374" t="inlineStr"/>
      <c r="CZ374" t="inlineStr"/>
      <c r="DA374" t="inlineStr"/>
      <c r="DB374" t="inlineStr"/>
      <c r="DC374" t="inlineStr"/>
      <c r="DD374" t="inlineStr"/>
      <c r="DE374" t="inlineStr"/>
      <c r="DF374" t="n">
        <v>40</v>
      </c>
      <c r="DG374" t="inlineStr">
        <is>
          <t>genauer Kalkulieren</t>
        </is>
      </c>
    </row>
    <row r="375">
      <c r="A375" t="inlineStr">
        <is>
          <t>II</t>
        </is>
      </c>
      <c r="B375" t="b">
        <v>1</v>
      </c>
      <c r="C375" t="inlineStr">
        <is>
          <t>x</t>
        </is>
      </c>
      <c r="D375" t="inlineStr"/>
      <c r="E375" t="inlineStr"/>
      <c r="F375">
        <f>HYPERLINK("https://portal.dnb.de/opac.htm?method=simpleSearch&amp;cqlMode=true&amp;query=idn%3D1138380822", "Portal")</f>
        <v/>
      </c>
      <c r="G375" t="inlineStr">
        <is>
          <t>Qd</t>
        </is>
      </c>
      <c r="H375" t="inlineStr">
        <is>
          <t>L-9999-414987330</t>
        </is>
      </c>
      <c r="I375" t="inlineStr">
        <is>
          <t>1138380822</t>
        </is>
      </c>
      <c r="J375" t="inlineStr">
        <is>
          <t>II 30,1c-d</t>
        </is>
      </c>
      <c r="K375" t="inlineStr">
        <is>
          <t>II 30,1d; II 30,1c</t>
        </is>
      </c>
      <c r="L375" t="inlineStr">
        <is>
          <t>II 30,1d; II 30,1c</t>
        </is>
      </c>
      <c r="M375" t="inlineStr"/>
      <c r="N375" t="inlineStr">
        <is>
          <t xml:space="preserve">Sammelband mit zwei Inkunabeln, gedruckt in Strassburg von Johann Mentelin : </t>
        </is>
      </c>
      <c r="O375" t="inlineStr">
        <is>
          <t xml:space="preserve"> : </t>
        </is>
      </c>
      <c r="P375" t="inlineStr">
        <is>
          <t>X</t>
        </is>
      </c>
      <c r="Q375" t="inlineStr">
        <is>
          <t>11500,00 USD</t>
        </is>
      </c>
      <c r="R375" t="inlineStr">
        <is>
          <t>Halbledereinband</t>
        </is>
      </c>
      <c r="S375" t="inlineStr">
        <is>
          <t>bis 42 cm</t>
        </is>
      </c>
      <c r="T375" t="inlineStr">
        <is>
          <t>80° bis 110°, einseitig digitalisierbar?</t>
        </is>
      </c>
      <c r="U375" t="inlineStr">
        <is>
          <t>hohler Rücken, erhabene Illuminationen</t>
        </is>
      </c>
      <c r="V375" t="inlineStr">
        <is>
          <t>nicht auflegen</t>
        </is>
      </c>
      <c r="W375" t="inlineStr"/>
      <c r="X375" t="inlineStr">
        <is>
          <t>Signaturfahne austauschen</t>
        </is>
      </c>
      <c r="Y375" t="n">
        <v>1</v>
      </c>
      <c r="Z375" t="inlineStr"/>
      <c r="AA375" t="inlineStr"/>
      <c r="AB375" t="inlineStr"/>
      <c r="AC375" t="inlineStr"/>
      <c r="AD375" t="inlineStr"/>
      <c r="AE375" t="inlineStr"/>
      <c r="AF375" t="inlineStr"/>
      <c r="AG375" t="inlineStr"/>
      <c r="AH375" t="inlineStr"/>
      <c r="AI375" t="inlineStr">
        <is>
          <t>HL</t>
        </is>
      </c>
      <c r="AJ375" t="inlineStr"/>
      <c r="AK375" t="inlineStr">
        <is>
          <t>x</t>
        </is>
      </c>
      <c r="AL375" t="inlineStr"/>
      <c r="AM375" t="inlineStr">
        <is>
          <t>h/E</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is>
          <t>I/R</t>
        </is>
      </c>
      <c r="BD375" t="inlineStr">
        <is>
          <t>x</t>
        </is>
      </c>
      <c r="BE375" t="inlineStr"/>
      <c r="BF375" t="inlineStr"/>
      <c r="BG375" t="inlineStr">
        <is>
          <t>nur 110</t>
        </is>
      </c>
      <c r="BH375" t="inlineStr">
        <is>
          <t xml:space="preserve">
Rücken freischwebend</t>
        </is>
      </c>
      <c r="BI375" t="inlineStr">
        <is>
          <t>x</t>
        </is>
      </c>
      <c r="BJ375" t="inlineStr">
        <is>
          <t xml:space="preserve">
Rücken freischwebend</t>
        </is>
      </c>
      <c r="BK375" t="inlineStr"/>
      <c r="BL375" t="inlineStr"/>
      <c r="BM375" t="inlineStr">
        <is>
          <t>ja vor</t>
        </is>
      </c>
      <c r="BN375" t="n">
        <v>1</v>
      </c>
      <c r="BO375" t="inlineStr"/>
      <c r="BP375" t="inlineStr"/>
      <c r="BQ375" t="inlineStr"/>
      <c r="BR375" t="inlineStr">
        <is>
          <t>x</t>
        </is>
      </c>
      <c r="BS375" t="inlineStr"/>
      <c r="BT375" t="inlineStr"/>
      <c r="BU375" t="inlineStr"/>
      <c r="BV375" t="inlineStr"/>
      <c r="BW375" t="inlineStr"/>
      <c r="BX375" t="inlineStr"/>
      <c r="BY375" t="inlineStr"/>
      <c r="BZ375" t="inlineStr">
        <is>
          <t>x</t>
        </is>
      </c>
      <c r="CA375" t="inlineStr">
        <is>
          <t>x</t>
        </is>
      </c>
      <c r="CB375" t="inlineStr">
        <is>
          <t>x</t>
        </is>
      </c>
      <c r="CC375" t="inlineStr">
        <is>
          <t>x</t>
        </is>
      </c>
      <c r="CD375" t="inlineStr"/>
      <c r="CE375" t="inlineStr"/>
      <c r="CF375" t="inlineStr"/>
      <c r="CG375" t="inlineStr"/>
      <c r="CH375" t="inlineStr"/>
      <c r="CI375" t="inlineStr"/>
      <c r="CJ375" t="inlineStr"/>
      <c r="CK375" t="inlineStr"/>
      <c r="CL375" t="inlineStr"/>
      <c r="CM375" t="n">
        <v>1</v>
      </c>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t>
        </is>
      </c>
      <c r="B376" t="b">
        <v>1</v>
      </c>
      <c r="C376" t="inlineStr">
        <is>
          <t>x</t>
        </is>
      </c>
      <c r="D376" t="inlineStr"/>
      <c r="E376" t="n">
        <v>372</v>
      </c>
      <c r="F376">
        <f>HYPERLINK("https://portal.dnb.de/opac.htm?method=simpleSearch&amp;cqlMode=true&amp;query=idn%3D1066964920", "Portal")</f>
        <v/>
      </c>
      <c r="G376" t="inlineStr">
        <is>
          <t>Aaf</t>
        </is>
      </c>
      <c r="H376" t="inlineStr">
        <is>
          <t>L-1471-315495081</t>
        </is>
      </c>
      <c r="I376" t="inlineStr">
        <is>
          <t>1066964920</t>
        </is>
      </c>
      <c r="J376" t="inlineStr">
        <is>
          <t>II 30,1e</t>
        </is>
      </c>
      <c r="K376" t="inlineStr">
        <is>
          <t>II 30,1e</t>
        </is>
      </c>
      <c r="L376" t="inlineStr">
        <is>
          <t>II 30,1e</t>
        </is>
      </c>
      <c r="M376" t="inlineStr"/>
      <c r="N376" t="inlineStr">
        <is>
          <t xml:space="preserve">Fortalitium fidei : </t>
        </is>
      </c>
      <c r="O376" t="inlineStr">
        <is>
          <t xml:space="preserve"> : </t>
        </is>
      </c>
      <c r="P376" t="inlineStr"/>
      <c r="Q376" t="inlineStr">
        <is>
          <t>41825,00 GBP</t>
        </is>
      </c>
      <c r="R376" t="inlineStr">
        <is>
          <t>Ledereinband, Schließen, erhabene Buchbeschläge</t>
        </is>
      </c>
      <c r="S376" t="inlineStr">
        <is>
          <t>bis 42 cm</t>
        </is>
      </c>
      <c r="T376" t="inlineStr">
        <is>
          <t>80° bis 110°, einseitig digitalisierbar?</t>
        </is>
      </c>
      <c r="U376" t="inlineStr">
        <is>
          <t>erhabene Illuminationen, fester Rücken mit Schmuckprägung, welliger Buchblock</t>
        </is>
      </c>
      <c r="V376" t="inlineStr">
        <is>
          <t>nicht auflegen</t>
        </is>
      </c>
      <c r="W376" t="inlineStr"/>
      <c r="X376" t="inlineStr">
        <is>
          <t>Signaturfahne austauschen</t>
        </is>
      </c>
      <c r="Y376" t="n">
        <v>1</v>
      </c>
      <c r="Z376" t="inlineStr"/>
      <c r="AA376" t="inlineStr">
        <is>
          <t>Holzdeckel, seitliche Lesezeichen</t>
        </is>
      </c>
      <c r="AB376" t="inlineStr"/>
      <c r="AC376" t="inlineStr"/>
      <c r="AD376" t="inlineStr"/>
      <c r="AE376" t="inlineStr"/>
      <c r="AF376" t="inlineStr"/>
      <c r="AG376" t="inlineStr"/>
      <c r="AH376" t="inlineStr"/>
      <c r="AI376" t="inlineStr">
        <is>
          <t>HD</t>
        </is>
      </c>
      <c r="AJ376" t="inlineStr"/>
      <c r="AK376" t="inlineStr">
        <is>
          <t>x</t>
        </is>
      </c>
      <c r="AL376" t="inlineStr"/>
      <c r="AM376" t="inlineStr">
        <is>
          <t>f/V</t>
        </is>
      </c>
      <c r="AN376" t="inlineStr"/>
      <c r="AO376" t="inlineStr"/>
      <c r="AP376" t="inlineStr"/>
      <c r="AQ376" t="inlineStr"/>
      <c r="AR376" t="inlineStr"/>
      <c r="AS376" t="inlineStr">
        <is>
          <t>Pa</t>
        </is>
      </c>
      <c r="AT376" t="inlineStr"/>
      <c r="AU376" t="inlineStr">
        <is>
          <t>x</t>
        </is>
      </c>
      <c r="AV376" t="inlineStr"/>
      <c r="AW376" t="inlineStr"/>
      <c r="AX376" t="inlineStr"/>
      <c r="AY376" t="inlineStr"/>
      <c r="AZ376" t="inlineStr"/>
      <c r="BA376" t="inlineStr"/>
      <c r="BB376" t="inlineStr"/>
      <c r="BC376" t="inlineStr">
        <is>
          <t>I/R</t>
        </is>
      </c>
      <c r="BD376" t="inlineStr">
        <is>
          <t>x</t>
        </is>
      </c>
      <c r="BE376" t="inlineStr"/>
      <c r="BF376" t="inlineStr"/>
      <c r="BG376" t="n">
        <v>60</v>
      </c>
      <c r="BH376" t="inlineStr"/>
      <c r="BI376" t="inlineStr"/>
      <c r="BJ376" t="inlineStr"/>
      <c r="BK376" t="inlineStr"/>
      <c r="BL376" t="inlineStr"/>
      <c r="BM376" t="inlineStr">
        <is>
          <t>ja vor</t>
        </is>
      </c>
      <c r="BN376" t="n">
        <v>1.5</v>
      </c>
      <c r="BO376" t="inlineStr"/>
      <c r="BP376" t="inlineStr">
        <is>
          <t>Wellpappe</t>
        </is>
      </c>
      <c r="BQ376" t="inlineStr"/>
      <c r="BR376" t="inlineStr"/>
      <c r="BS376" t="inlineStr"/>
      <c r="BT376" t="inlineStr"/>
      <c r="BU376" t="inlineStr"/>
      <c r="BV376" t="inlineStr">
        <is>
          <t>Box anfertigen: Schließe nicht mehr schließen, beschädigt den BB, Schließe in Tyvek einpacken und Benutzerhinweis einkleben</t>
        </is>
      </c>
      <c r="BW376" t="inlineStr"/>
      <c r="BX376" t="inlineStr"/>
      <c r="BY376" t="inlineStr">
        <is>
          <t>Box (Schließen sollten nicht mehr geschlossen werden, beschädigen den BB)</t>
        </is>
      </c>
      <c r="BZ376" t="inlineStr">
        <is>
          <t>x</t>
        </is>
      </c>
      <c r="CA376" t="inlineStr">
        <is>
          <t>x</t>
        </is>
      </c>
      <c r="CB376" t="inlineStr">
        <is>
          <t>x</t>
        </is>
      </c>
      <c r="CC376" t="inlineStr"/>
      <c r="CD376" t="inlineStr"/>
      <c r="CE376" t="inlineStr"/>
      <c r="CF376" t="inlineStr"/>
      <c r="CG376" t="inlineStr"/>
      <c r="CH376" t="inlineStr"/>
      <c r="CI376" t="inlineStr"/>
      <c r="CJ376" t="inlineStr"/>
      <c r="CK376" t="inlineStr"/>
      <c r="CL376" t="inlineStr"/>
      <c r="CM376" t="n">
        <v>0.5</v>
      </c>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n">
        <v>1</v>
      </c>
      <c r="DG376" t="inlineStr">
        <is>
          <t>Registermarken teilweise stabilisieren</t>
        </is>
      </c>
    </row>
    <row r="377">
      <c r="A377" t="inlineStr">
        <is>
          <t>II</t>
        </is>
      </c>
      <c r="B377" t="b">
        <v>1</v>
      </c>
      <c r="C377" t="inlineStr"/>
      <c r="D377" t="inlineStr"/>
      <c r="E377" t="n">
        <v>373</v>
      </c>
      <c r="F377">
        <f>HYPERLINK("https://portal.dnb.de/opac.htm?method=simpleSearch&amp;cqlMode=true&amp;query=idn%3D1066965633", "Portal")</f>
        <v/>
      </c>
      <c r="G377" t="inlineStr">
        <is>
          <t>Aaf</t>
        </is>
      </c>
      <c r="H377" t="inlineStr">
        <is>
          <t>L-1470-315495855</t>
        </is>
      </c>
      <c r="I377" t="inlineStr">
        <is>
          <t>1066965633</t>
        </is>
      </c>
      <c r="J377" t="inlineStr">
        <is>
          <t>II 30,1g</t>
        </is>
      </c>
      <c r="K377" t="inlineStr">
        <is>
          <t>II 30,1g</t>
        </is>
      </c>
      <c r="L377" t="inlineStr">
        <is>
          <t>II 30,1g</t>
        </is>
      </c>
      <c r="M377" t="inlineStr"/>
      <c r="N377" t="inlineStr">
        <is>
          <t xml:space="preserve">Confessiones : </t>
        </is>
      </c>
      <c r="O377" t="inlineStr">
        <is>
          <t xml:space="preserve"> : </t>
        </is>
      </c>
      <c r="P377" t="inlineStr">
        <is>
          <t>x</t>
        </is>
      </c>
      <c r="Q377" t="inlineStr"/>
      <c r="R377" t="inlineStr">
        <is>
          <t>Halbledereinband</t>
        </is>
      </c>
      <c r="S377" t="inlineStr">
        <is>
          <t>bis 35 cm</t>
        </is>
      </c>
      <c r="T377" t="inlineStr">
        <is>
          <t>80° bis 110°, einseitig digitalisierbar?</t>
        </is>
      </c>
      <c r="U377" t="inlineStr">
        <is>
          <t>stark brüchiges Einbandmaterial, fester Rücken mit Schmuckprägung, erhabene Illuminationen</t>
        </is>
      </c>
      <c r="V377" t="inlineStr">
        <is>
          <t>nicht auflegen</t>
        </is>
      </c>
      <c r="W377" t="inlineStr">
        <is>
          <t>Kassette</t>
        </is>
      </c>
      <c r="X377" t="inlineStr">
        <is>
          <t>Nein</t>
        </is>
      </c>
      <c r="Y377" t="n">
        <v>3</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t>
        </is>
      </c>
      <c r="B378" t="b">
        <v>1</v>
      </c>
      <c r="C378" t="inlineStr"/>
      <c r="D378" t="inlineStr"/>
      <c r="E378" t="n">
        <v>374</v>
      </c>
      <c r="F378">
        <f>HYPERLINK("https://portal.dnb.de/opac.htm?method=simpleSearch&amp;cqlMode=true&amp;query=idn%3D1066965641", "Portal")</f>
        <v/>
      </c>
      <c r="G378" t="inlineStr">
        <is>
          <t>Aaf</t>
        </is>
      </c>
      <c r="H378" t="inlineStr">
        <is>
          <t>L-1466-315495863</t>
        </is>
      </c>
      <c r="I378" t="inlineStr">
        <is>
          <t>1066965641</t>
        </is>
      </c>
      <c r="J378" t="inlineStr">
        <is>
          <t>II 30,1h</t>
        </is>
      </c>
      <c r="K378" t="inlineStr">
        <is>
          <t>II 30,1h</t>
        </is>
      </c>
      <c r="L378" t="inlineStr">
        <is>
          <t>II 30,1h</t>
        </is>
      </c>
      <c r="M378" t="inlineStr"/>
      <c r="N378" t="inlineStr">
        <is>
          <t xml:space="preserve">De arte praedicandi : </t>
        </is>
      </c>
      <c r="O378" t="inlineStr">
        <is>
          <t xml:space="preserve"> : </t>
        </is>
      </c>
      <c r="P378" t="inlineStr">
        <is>
          <t>x</t>
        </is>
      </c>
      <c r="Q378" t="inlineStr"/>
      <c r="R378" t="inlineStr">
        <is>
          <t>Ledereinband</t>
        </is>
      </c>
      <c r="S378" t="inlineStr">
        <is>
          <t>bis 25 cm</t>
        </is>
      </c>
      <c r="T378" t="inlineStr">
        <is>
          <t>80° bis 110°, einseitig digitalisierbar?</t>
        </is>
      </c>
      <c r="U378" t="inlineStr">
        <is>
          <t>hohler Rücken, erhabene Illuminationen</t>
        </is>
      </c>
      <c r="V378" t="inlineStr">
        <is>
          <t>nicht auflegen</t>
        </is>
      </c>
      <c r="W378" t="inlineStr">
        <is>
          <t>Kassette</t>
        </is>
      </c>
      <c r="X378" t="inlineStr">
        <is>
          <t>Nein</t>
        </is>
      </c>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t>
        </is>
      </c>
      <c r="B379" t="b">
        <v>1</v>
      </c>
      <c r="C379" t="inlineStr"/>
      <c r="D379" t="inlineStr"/>
      <c r="E379" t="n">
        <v>375</v>
      </c>
      <c r="F379">
        <f>HYPERLINK("https://portal.dnb.de/opac.htm?method=simpleSearch&amp;cqlMode=true&amp;query=idn%3D106696582X", "Portal")</f>
        <v/>
      </c>
      <c r="G379" t="inlineStr">
        <is>
          <t>Aa</t>
        </is>
      </c>
      <c r="H379" t="inlineStr">
        <is>
          <t>L-1471-31549607X</t>
        </is>
      </c>
      <c r="I379" t="inlineStr">
        <is>
          <t>106696582X</t>
        </is>
      </c>
      <c r="J379" t="inlineStr">
        <is>
          <t>II 30,1i</t>
        </is>
      </c>
      <c r="K379" t="inlineStr">
        <is>
          <t>II 30,1i</t>
        </is>
      </c>
      <c r="L379" t="inlineStr">
        <is>
          <t>II 30,1i</t>
        </is>
      </c>
      <c r="M379" t="inlineStr"/>
      <c r="N379" t="inlineStr">
        <is>
          <t xml:space="preserve">Epistolae : </t>
        </is>
      </c>
      <c r="O379" t="inlineStr">
        <is>
          <t xml:space="preserve"> : </t>
        </is>
      </c>
      <c r="P379" t="inlineStr">
        <is>
          <t>X</t>
        </is>
      </c>
      <c r="Q379" t="inlineStr"/>
      <c r="R379" t="inlineStr">
        <is>
          <t>Halbledereinband, Schließen, erhabene Buchbeschläge</t>
        </is>
      </c>
      <c r="S379" t="inlineStr">
        <is>
          <t>bis 42 cm</t>
        </is>
      </c>
      <c r="T379" t="inlineStr">
        <is>
          <t>80° bis 110°, einseitig digitalisierbar?</t>
        </is>
      </c>
      <c r="U379" t="inlineStr">
        <is>
          <t>hohler Rücken, Schrift bis in den Falz, erhabene Illuminationen</t>
        </is>
      </c>
      <c r="V379" t="inlineStr">
        <is>
          <t>nicht auflegen</t>
        </is>
      </c>
      <c r="W379" t="inlineStr"/>
      <c r="X379" t="inlineStr">
        <is>
          <t>Signaturfahne austauschen</t>
        </is>
      </c>
      <c r="Y379" t="n">
        <v>0</v>
      </c>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n">
        <v>0</v>
      </c>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II</t>
        </is>
      </c>
      <c r="B380" t="b">
        <v>1</v>
      </c>
      <c r="C380" t="inlineStr">
        <is>
          <t>x</t>
        </is>
      </c>
      <c r="D380" t="inlineStr"/>
      <c r="E380" t="n">
        <v>376</v>
      </c>
      <c r="F380">
        <f>HYPERLINK("https://portal.dnb.de/opac.htm?method=simpleSearch&amp;cqlMode=true&amp;query=idn%3D1066967601", "Portal")</f>
        <v/>
      </c>
      <c r="G380" t="inlineStr">
        <is>
          <t>Aaf</t>
        </is>
      </c>
      <c r="H380" t="inlineStr">
        <is>
          <t>L-1474-315497858</t>
        </is>
      </c>
      <c r="I380" t="inlineStr">
        <is>
          <t>1066967601</t>
        </is>
      </c>
      <c r="J380" t="inlineStr">
        <is>
          <t>II 30,1k</t>
        </is>
      </c>
      <c r="K380" t="inlineStr">
        <is>
          <t>II 30,1k</t>
        </is>
      </c>
      <c r="L380" t="inlineStr">
        <is>
          <t>II 30,1k</t>
        </is>
      </c>
      <c r="M380" t="inlineStr"/>
      <c r="N380" t="inlineStr">
        <is>
          <t xml:space="preserve">Concordantiae bibliorum : </t>
        </is>
      </c>
      <c r="O380" t="inlineStr">
        <is>
          <t xml:space="preserve"> : </t>
        </is>
      </c>
      <c r="P380" t="inlineStr"/>
      <c r="Q380" t="inlineStr">
        <is>
          <t>9200,00 EUR</t>
        </is>
      </c>
      <c r="R380" t="inlineStr">
        <is>
          <t>Ledereinband, Schließen, erhabene Buchbeschläge</t>
        </is>
      </c>
      <c r="S380" t="inlineStr">
        <is>
          <t>bis 42 cm</t>
        </is>
      </c>
      <c r="T380" t="inlineStr">
        <is>
          <t>80° bis 110°, einseitig digitalisierbar?</t>
        </is>
      </c>
      <c r="U380" t="inlineStr">
        <is>
          <t>fester Rücken mit Schmuckprägung, erhabene Illuminationen</t>
        </is>
      </c>
      <c r="V380" t="inlineStr">
        <is>
          <t>nicht auflegen</t>
        </is>
      </c>
      <c r="W380" t="inlineStr"/>
      <c r="X380" t="inlineStr">
        <is>
          <t>Signaturfahne austauschen</t>
        </is>
      </c>
      <c r="Y380" t="n">
        <v>2</v>
      </c>
      <c r="Z380" t="inlineStr"/>
      <c r="AA380" t="inlineStr">
        <is>
          <t>Holzdeckel</t>
        </is>
      </c>
      <c r="AB380" t="inlineStr"/>
      <c r="AC380" t="inlineStr"/>
      <c r="AD380" t="inlineStr"/>
      <c r="AE380" t="inlineStr"/>
      <c r="AF380" t="inlineStr"/>
      <c r="AG380" t="inlineStr"/>
      <c r="AH380" t="inlineStr"/>
      <c r="AI380" t="inlineStr">
        <is>
          <t>HD</t>
        </is>
      </c>
      <c r="AJ380" t="inlineStr"/>
      <c r="AK380" t="inlineStr">
        <is>
          <t>x</t>
        </is>
      </c>
      <c r="AL380" t="inlineStr"/>
      <c r="AM380" t="inlineStr">
        <is>
          <t>f/V</t>
        </is>
      </c>
      <c r="AN380" t="inlineStr"/>
      <c r="AO380" t="inlineStr"/>
      <c r="AP380" t="inlineStr"/>
      <c r="AQ380" t="inlineStr"/>
      <c r="AR380" t="inlineStr"/>
      <c r="AS380" t="inlineStr">
        <is>
          <t>Pa</t>
        </is>
      </c>
      <c r="AT380" t="inlineStr"/>
      <c r="AU380" t="inlineStr"/>
      <c r="AV380" t="inlineStr"/>
      <c r="AW380" t="inlineStr"/>
      <c r="AX380" t="inlineStr"/>
      <c r="AY380" t="inlineStr"/>
      <c r="AZ380" t="inlineStr"/>
      <c r="BA380" t="inlineStr"/>
      <c r="BB380" t="inlineStr"/>
      <c r="BC380" t="inlineStr">
        <is>
          <t>I/R</t>
        </is>
      </c>
      <c r="BD380" t="inlineStr">
        <is>
          <t>x</t>
        </is>
      </c>
      <c r="BE380" t="inlineStr"/>
      <c r="BF380" t="inlineStr"/>
      <c r="BG380" t="n">
        <v>45</v>
      </c>
      <c r="BH380" t="inlineStr"/>
      <c r="BI380" t="inlineStr"/>
      <c r="BJ380" t="inlineStr"/>
      <c r="BK380" t="inlineStr"/>
      <c r="BL380" t="inlineStr"/>
      <c r="BM380" t="inlineStr">
        <is>
          <t>ja vor</t>
        </is>
      </c>
      <c r="BN380" t="n">
        <v>9</v>
      </c>
      <c r="BO380" t="inlineStr"/>
      <c r="BP380" t="inlineStr"/>
      <c r="BQ380" t="inlineStr"/>
      <c r="BR380" t="inlineStr">
        <is>
          <t>x</t>
        </is>
      </c>
      <c r="BS380" t="inlineStr"/>
      <c r="BT380" t="inlineStr"/>
      <c r="BU380" t="inlineStr"/>
      <c r="BV380" t="inlineStr"/>
      <c r="BW380" t="inlineStr"/>
      <c r="BX380" t="inlineStr"/>
      <c r="BY380" t="inlineStr"/>
      <c r="BZ380" t="inlineStr">
        <is>
          <t>x</t>
        </is>
      </c>
      <c r="CA380" t="inlineStr">
        <is>
          <t>x</t>
        </is>
      </c>
      <c r="CB380" t="inlineStr">
        <is>
          <t>x</t>
        </is>
      </c>
      <c r="CC380" t="inlineStr"/>
      <c r="CD380" t="inlineStr"/>
      <c r="CE380" t="inlineStr"/>
      <c r="CF380" t="inlineStr"/>
      <c r="CG380" t="inlineStr"/>
      <c r="CH380" t="inlineStr"/>
      <c r="CI380" t="inlineStr"/>
      <c r="CJ380" t="inlineStr"/>
      <c r="CK380" t="inlineStr"/>
      <c r="CL380" t="inlineStr">
        <is>
          <t>o/u</t>
        </is>
      </c>
      <c r="CM380" t="n">
        <v>2</v>
      </c>
      <c r="CN380" t="inlineStr">
        <is>
          <t>loses Leder zurückkleben, Gelenk oben vorn belassen (ist steif und stabil), Kapitale lose Fäden fixieren</t>
        </is>
      </c>
      <c r="CO380" t="inlineStr">
        <is>
          <t>x</t>
        </is>
      </c>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n">
        <v>7</v>
      </c>
      <c r="DG380" t="inlineStr">
        <is>
          <t>Trockenreinigung gesamter BB</t>
        </is>
      </c>
    </row>
    <row r="381">
      <c r="A381" t="inlineStr">
        <is>
          <t>II</t>
        </is>
      </c>
      <c r="B381" t="b">
        <v>1</v>
      </c>
      <c r="C381" t="inlineStr">
        <is>
          <t>x</t>
        </is>
      </c>
      <c r="D381" t="inlineStr"/>
      <c r="E381" t="n">
        <v>377</v>
      </c>
      <c r="F381">
        <f>HYPERLINK("https://portal.dnb.de/opac.htm?method=simpleSearch&amp;cqlMode=true&amp;query=idn%3D1066968845", "Portal")</f>
        <v/>
      </c>
      <c r="G381" t="inlineStr">
        <is>
          <t>Aaf</t>
        </is>
      </c>
      <c r="H381" t="inlineStr">
        <is>
          <t>L-1473-315499117</t>
        </is>
      </c>
      <c r="I381" t="inlineStr">
        <is>
          <t>1066968845</t>
        </is>
      </c>
      <c r="J381" t="inlineStr">
        <is>
          <t>II 30,1l</t>
        </is>
      </c>
      <c r="K381" t="inlineStr">
        <is>
          <t>II 30,1l</t>
        </is>
      </c>
      <c r="L381" t="inlineStr">
        <is>
          <t>II 30,1l</t>
        </is>
      </c>
      <c r="M381" t="inlineStr"/>
      <c r="N381" t="inlineStr">
        <is>
          <t xml:space="preserve">Rosarium decretorum : </t>
        </is>
      </c>
      <c r="O381" t="inlineStr">
        <is>
          <t xml:space="preserve"> : </t>
        </is>
      </c>
      <c r="P381" t="inlineStr">
        <is>
          <t>X</t>
        </is>
      </c>
      <c r="Q381" t="inlineStr">
        <is>
          <t>8000,00 EUR</t>
        </is>
      </c>
      <c r="R381" t="inlineStr">
        <is>
          <t>Halbledereinband, Schließen, erhabene Buchbeschläge</t>
        </is>
      </c>
      <c r="S381" t="inlineStr">
        <is>
          <t>&gt; 42 cm</t>
        </is>
      </c>
      <c r="T381" t="inlineStr">
        <is>
          <t>80° bis 110°, einseitig digitalisierbar?</t>
        </is>
      </c>
      <c r="U381" t="inlineStr">
        <is>
          <t>hohler Rücken, erhabene Illuminationen, welliger Buchblock</t>
        </is>
      </c>
      <c r="V381" t="inlineStr">
        <is>
          <t>nicht auflegen</t>
        </is>
      </c>
      <c r="W381" t="inlineStr"/>
      <c r="X381" t="inlineStr">
        <is>
          <t>Signaturfahne austauschen</t>
        </is>
      </c>
      <c r="Y381" t="n">
        <v>1</v>
      </c>
      <c r="Z381" t="inlineStr"/>
      <c r="AA381" t="inlineStr">
        <is>
          <t>Holzdeckel</t>
        </is>
      </c>
      <c r="AB381" t="inlineStr"/>
      <c r="AC381" t="inlineStr"/>
      <c r="AD381" t="inlineStr"/>
      <c r="AE381" t="inlineStr"/>
      <c r="AF381" t="inlineStr"/>
      <c r="AG381" t="inlineStr"/>
      <c r="AH381" t="inlineStr"/>
      <c r="AI381" t="inlineStr">
        <is>
          <t>HD</t>
        </is>
      </c>
      <c r="AJ381" t="inlineStr"/>
      <c r="AK381" t="inlineStr">
        <is>
          <t>x</t>
        </is>
      </c>
      <c r="AL381" t="inlineStr"/>
      <c r="AM381" t="inlineStr">
        <is>
          <t>h/E</t>
        </is>
      </c>
      <c r="AN381" t="inlineStr"/>
      <c r="AO381" t="inlineStr"/>
      <c r="AP381" t="inlineStr"/>
      <c r="AQ381" t="inlineStr"/>
      <c r="AR381" t="inlineStr"/>
      <c r="AS381" t="inlineStr">
        <is>
          <t>Pa</t>
        </is>
      </c>
      <c r="AT381" t="inlineStr"/>
      <c r="AU381" t="inlineStr"/>
      <c r="AV381" t="inlineStr"/>
      <c r="AW381" t="inlineStr"/>
      <c r="AX381" t="inlineStr"/>
      <c r="AY381" t="inlineStr"/>
      <c r="AZ381" t="inlineStr"/>
      <c r="BA381" t="inlineStr"/>
      <c r="BB381" t="inlineStr"/>
      <c r="BC381" t="inlineStr">
        <is>
          <t>I/R</t>
        </is>
      </c>
      <c r="BD381" t="inlineStr">
        <is>
          <t>x</t>
        </is>
      </c>
      <c r="BE381" t="inlineStr"/>
      <c r="BF381" t="inlineStr"/>
      <c r="BG381" t="n">
        <v>110</v>
      </c>
      <c r="BH381" t="inlineStr"/>
      <c r="BI381" t="inlineStr"/>
      <c r="BJ381" t="inlineStr"/>
      <c r="BK381" t="inlineStr"/>
      <c r="BL381" t="inlineStr"/>
      <c r="BM381" t="inlineStr">
        <is>
          <t>ja vor</t>
        </is>
      </c>
      <c r="BN381" t="n">
        <v>1.5</v>
      </c>
      <c r="BO381" t="inlineStr"/>
      <c r="BP381" t="inlineStr"/>
      <c r="BQ381" t="inlineStr"/>
      <c r="BR381" t="inlineStr">
        <is>
          <t>x</t>
        </is>
      </c>
      <c r="BS381" t="inlineStr"/>
      <c r="BT381" t="inlineStr"/>
      <c r="BU381" t="inlineStr"/>
      <c r="BV381" t="inlineStr"/>
      <c r="BW381" t="inlineStr"/>
      <c r="BX381" t="inlineStr"/>
      <c r="BY381" t="inlineStr"/>
      <c r="BZ381" t="inlineStr">
        <is>
          <t>x</t>
        </is>
      </c>
      <c r="CA381" t="inlineStr">
        <is>
          <t>x</t>
        </is>
      </c>
      <c r="CB381" t="inlineStr">
        <is>
          <t>x</t>
        </is>
      </c>
      <c r="CC381" t="inlineStr"/>
      <c r="CD381" t="inlineStr"/>
      <c r="CE381" t="inlineStr"/>
      <c r="CF381" t="inlineStr"/>
      <c r="CG381" t="inlineStr"/>
      <c r="CH381" t="inlineStr"/>
      <c r="CI381" t="inlineStr"/>
      <c r="CJ381" t="inlineStr"/>
      <c r="CK381" t="inlineStr"/>
      <c r="CL381" t="inlineStr"/>
      <c r="CM381" t="n">
        <v>1.5</v>
      </c>
      <c r="CN381" t="inlineStr">
        <is>
          <t>Gelenke oben mit JP-Gewebe-Laminat stabilisieren</t>
        </is>
      </c>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t>
        </is>
      </c>
      <c r="B382" t="b">
        <v>1</v>
      </c>
      <c r="C382" t="inlineStr">
        <is>
          <t>x</t>
        </is>
      </c>
      <c r="D382" t="inlineStr"/>
      <c r="E382" t="n">
        <v>378</v>
      </c>
      <c r="F382">
        <f>HYPERLINK("https://portal.dnb.de/opac.htm?method=simpleSearch&amp;cqlMode=true&amp;query=idn%3D1066969159", "Portal")</f>
        <v/>
      </c>
      <c r="G382" t="inlineStr">
        <is>
          <t>Aa</t>
        </is>
      </c>
      <c r="H382" t="inlineStr">
        <is>
          <t>L-1469-315499451</t>
        </is>
      </c>
      <c r="I382" t="inlineStr">
        <is>
          <t>1066969159</t>
        </is>
      </c>
      <c r="J382" t="inlineStr">
        <is>
          <t>II 30,1m</t>
        </is>
      </c>
      <c r="K382" t="inlineStr">
        <is>
          <t>II 30,1m</t>
        </is>
      </c>
      <c r="L382" t="inlineStr">
        <is>
          <t>II 30,1m</t>
        </is>
      </c>
      <c r="M382" t="inlineStr"/>
      <c r="N382" t="inlineStr">
        <is>
          <t xml:space="preserve">Epistolae : </t>
        </is>
      </c>
      <c r="O382" t="inlineStr">
        <is>
          <t xml:space="preserve"> : </t>
        </is>
      </c>
      <c r="P382" t="inlineStr"/>
      <c r="Q382" t="inlineStr">
        <is>
          <t>15000,00 EUR</t>
        </is>
      </c>
      <c r="R382" t="inlineStr">
        <is>
          <t>Halbledereinband</t>
        </is>
      </c>
      <c r="S382" t="inlineStr">
        <is>
          <t>bis 42 cm</t>
        </is>
      </c>
      <c r="T382" t="inlineStr">
        <is>
          <t>80° bis 110°, einseitig digitalisierbar?</t>
        </is>
      </c>
      <c r="U382" t="inlineStr">
        <is>
          <t>fester Rücken mit Schmuckprägung, erhabene Illuminationen, welliger Buchblock</t>
        </is>
      </c>
      <c r="V382" t="inlineStr">
        <is>
          <t>nicht auflegen</t>
        </is>
      </c>
      <c r="W382" t="inlineStr"/>
      <c r="X382" t="inlineStr">
        <is>
          <t>Signaturfahne austauschen</t>
        </is>
      </c>
      <c r="Y382" t="n">
        <v>1</v>
      </c>
      <c r="Z382" t="inlineStr"/>
      <c r="AA382" t="inlineStr"/>
      <c r="AB382" t="inlineStr"/>
      <c r="AC382" t="inlineStr"/>
      <c r="AD382" t="inlineStr"/>
      <c r="AE382" t="inlineStr"/>
      <c r="AF382" t="inlineStr"/>
      <c r="AG382" t="inlineStr"/>
      <c r="AH382" t="inlineStr"/>
      <c r="AI382" t="inlineStr">
        <is>
          <t>HL</t>
        </is>
      </c>
      <c r="AJ382" t="inlineStr"/>
      <c r="AK382" t="inlineStr">
        <is>
          <t>x</t>
        </is>
      </c>
      <c r="AL382" t="inlineStr"/>
      <c r="AM382" t="inlineStr">
        <is>
          <t>h/E</t>
        </is>
      </c>
      <c r="AN382" t="inlineStr"/>
      <c r="AO382" t="inlineStr"/>
      <c r="AP382" t="inlineStr"/>
      <c r="AQ382" t="inlineStr"/>
      <c r="AR382" t="inlineStr"/>
      <c r="AS382" t="inlineStr">
        <is>
          <t>Pa</t>
        </is>
      </c>
      <c r="AT382" t="inlineStr"/>
      <c r="AU382" t="inlineStr"/>
      <c r="AV382" t="inlineStr"/>
      <c r="AW382" t="inlineStr"/>
      <c r="AX382" t="inlineStr"/>
      <c r="AY382" t="inlineStr"/>
      <c r="AZ382" t="inlineStr"/>
      <c r="BA382" t="inlineStr"/>
      <c r="BB382" t="inlineStr"/>
      <c r="BC382" t="inlineStr">
        <is>
          <t>B/I/R</t>
        </is>
      </c>
      <c r="BD382" t="inlineStr">
        <is>
          <t>x</t>
        </is>
      </c>
      <c r="BE382" t="inlineStr"/>
      <c r="BF382" t="inlineStr"/>
      <c r="BG382" t="n">
        <v>110</v>
      </c>
      <c r="BH382" t="inlineStr"/>
      <c r="BI382" t="inlineStr"/>
      <c r="BJ382" t="inlineStr"/>
      <c r="BK382" t="inlineStr"/>
      <c r="BL382" t="inlineStr"/>
      <c r="BM382" t="inlineStr">
        <is>
          <t>ja vor</t>
        </is>
      </c>
      <c r="BN382" t="n">
        <v>0.5</v>
      </c>
      <c r="BO382" t="inlineStr"/>
      <c r="BP382" t="inlineStr">
        <is>
          <t>Wellpappe</t>
        </is>
      </c>
      <c r="BQ382" t="inlineStr"/>
      <c r="BR382" t="inlineStr"/>
      <c r="BS382" t="inlineStr"/>
      <c r="BT382" t="inlineStr"/>
      <c r="BU382" t="inlineStr"/>
      <c r="BV382" t="inlineStr"/>
      <c r="BW382" t="inlineStr"/>
      <c r="BX382" t="inlineStr"/>
      <c r="BY382" t="inlineStr"/>
      <c r="BZ382" t="inlineStr">
        <is>
          <t>x</t>
        </is>
      </c>
      <c r="CA382" t="inlineStr"/>
      <c r="CB382" t="inlineStr">
        <is>
          <t>x</t>
        </is>
      </c>
      <c r="CC382" t="inlineStr"/>
      <c r="CD382" t="inlineStr"/>
      <c r="CE382" t="inlineStr"/>
      <c r="CF382" t="inlineStr"/>
      <c r="CG382" t="inlineStr"/>
      <c r="CH382" t="inlineStr"/>
      <c r="CI382" t="inlineStr"/>
      <c r="CJ382" t="inlineStr"/>
      <c r="CK382" t="inlineStr"/>
      <c r="CL382" t="inlineStr"/>
      <c r="CM382" t="n">
        <v>0.5</v>
      </c>
      <c r="CN382" t="inlineStr">
        <is>
          <t>bröseligen Bereich am Rücken mit JP überfangen</t>
        </is>
      </c>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t>
        </is>
      </c>
      <c r="B383" t="b">
        <v>1</v>
      </c>
      <c r="C383" t="inlineStr"/>
      <c r="D383" t="inlineStr"/>
      <c r="E383" t="n">
        <v>379</v>
      </c>
      <c r="F383">
        <f>HYPERLINK("https://portal.dnb.de/opac.htm?method=simpleSearch&amp;cqlMode=true&amp;query=idn%3D1048169669", "Portal")</f>
        <v/>
      </c>
      <c r="G383" t="inlineStr">
        <is>
          <t>Aa</t>
        </is>
      </c>
      <c r="H383" t="inlineStr">
        <is>
          <t>L-1473-286787504</t>
        </is>
      </c>
      <c r="I383" t="inlineStr">
        <is>
          <t>1048169669</t>
        </is>
      </c>
      <c r="J383" t="inlineStr">
        <is>
          <t>II 30,1n</t>
        </is>
      </c>
      <c r="K383" t="inlineStr">
        <is>
          <t>II 30,1n</t>
        </is>
      </c>
      <c r="L383" t="inlineStr">
        <is>
          <t>II 30,1n</t>
        </is>
      </c>
      <c r="M383" t="inlineStr"/>
      <c r="N383" t="inlineStr">
        <is>
          <t xml:space="preserve">Etymologiae : </t>
        </is>
      </c>
      <c r="O383" t="inlineStr">
        <is>
          <t xml:space="preserve"> : </t>
        </is>
      </c>
      <c r="P383" t="inlineStr">
        <is>
          <t>X</t>
        </is>
      </c>
      <c r="Q383" t="inlineStr"/>
      <c r="R383" t="inlineStr">
        <is>
          <t>Halbledereinband</t>
        </is>
      </c>
      <c r="S383" t="inlineStr">
        <is>
          <t>bis 42 cm</t>
        </is>
      </c>
      <c r="T383" t="inlineStr">
        <is>
          <t>80° bis 110°, einseitig digitalisierbar?</t>
        </is>
      </c>
      <c r="U383" t="inlineStr">
        <is>
          <t>erhabene Illuminationen, fester Rücken mit Schmuckprägung</t>
        </is>
      </c>
      <c r="V383" t="inlineStr">
        <is>
          <t>nicht auflegen</t>
        </is>
      </c>
      <c r="W383" t="inlineStr"/>
      <c r="X383" t="inlineStr"/>
      <c r="Y383" t="n">
        <v>0</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t>
        </is>
      </c>
      <c r="B384" t="b">
        <v>1</v>
      </c>
      <c r="C384" t="inlineStr"/>
      <c r="D384" t="inlineStr"/>
      <c r="E384" t="n">
        <v>380</v>
      </c>
      <c r="F384">
        <f>HYPERLINK("https://portal.dnb.de/opac.htm?method=simpleSearch&amp;cqlMode=true&amp;query=idn%3D1066969914", "Portal")</f>
        <v/>
      </c>
      <c r="G384" t="inlineStr">
        <is>
          <t>Aaf</t>
        </is>
      </c>
      <c r="H384" t="inlineStr">
        <is>
          <t>L-1466-315500247</t>
        </is>
      </c>
      <c r="I384" t="inlineStr">
        <is>
          <t>1066969914</t>
        </is>
      </c>
      <c r="J384" t="inlineStr">
        <is>
          <t>II 30,1o</t>
        </is>
      </c>
      <c r="K384" t="inlineStr">
        <is>
          <t>II 30,1o</t>
        </is>
      </c>
      <c r="L384" t="inlineStr">
        <is>
          <t>II 30,1o</t>
        </is>
      </c>
      <c r="M384" t="inlineStr"/>
      <c r="N384" t="inlineStr">
        <is>
          <t xml:space="preserve">Homiliae super Matthaeum : </t>
        </is>
      </c>
      <c r="O384" t="inlineStr">
        <is>
          <t xml:space="preserve"> : </t>
        </is>
      </c>
      <c r="P384" t="inlineStr">
        <is>
          <t>x</t>
        </is>
      </c>
      <c r="Q384" t="inlineStr"/>
      <c r="R384" t="inlineStr">
        <is>
          <t>Ledereinband, Schließen, erhabene Buchbeschläge</t>
        </is>
      </c>
      <c r="S384" t="inlineStr">
        <is>
          <t>bis 35 cm</t>
        </is>
      </c>
      <c r="T384" t="inlineStr">
        <is>
          <t>80° bis 110°, einseitig digitalisierbar?</t>
        </is>
      </c>
      <c r="U384" t="inlineStr">
        <is>
          <t>welliger Buchblock, fester Rücken mit Schmuckprägung, stark brüchiges Einbandmaterial</t>
        </is>
      </c>
      <c r="V384" t="inlineStr">
        <is>
          <t>nicht auflegen</t>
        </is>
      </c>
      <c r="W384" t="inlineStr">
        <is>
          <t>Kassette</t>
        </is>
      </c>
      <c r="X384" t="inlineStr">
        <is>
          <t>Nein</t>
        </is>
      </c>
      <c r="Y384" t="n">
        <v>3</v>
      </c>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t>
        </is>
      </c>
      <c r="B385" t="b">
        <v>1</v>
      </c>
      <c r="C385" t="inlineStr">
        <is>
          <t>x</t>
        </is>
      </c>
      <c r="D385" t="inlineStr"/>
      <c r="E385" t="n">
        <v>381</v>
      </c>
      <c r="F385">
        <f>HYPERLINK("https://portal.dnb.de/opac.htm?method=simpleSearch&amp;cqlMode=true&amp;query=idn%3D1066971102", "Portal")</f>
        <v/>
      </c>
      <c r="G385" t="inlineStr">
        <is>
          <t>Aaf</t>
        </is>
      </c>
      <c r="H385" t="inlineStr">
        <is>
          <t>L-1472-315501464</t>
        </is>
      </c>
      <c r="I385" t="inlineStr">
        <is>
          <t>1066971102</t>
        </is>
      </c>
      <c r="J385" t="inlineStr">
        <is>
          <t>II 30,1p</t>
        </is>
      </c>
      <c r="K385" t="inlineStr">
        <is>
          <t>II 30,1p</t>
        </is>
      </c>
      <c r="L385" t="inlineStr">
        <is>
          <t>II 30,1p</t>
        </is>
      </c>
      <c r="M385" t="inlineStr"/>
      <c r="N385" t="inlineStr">
        <is>
          <t xml:space="preserve">Postilla super totam Bibliam : </t>
        </is>
      </c>
      <c r="O385" t="inlineStr">
        <is>
          <t xml:space="preserve"> : </t>
        </is>
      </c>
      <c r="P385" t="inlineStr">
        <is>
          <t>X</t>
        </is>
      </c>
      <c r="Q385" t="inlineStr">
        <is>
          <t>5000,00 EUR</t>
        </is>
      </c>
      <c r="R385" t="inlineStr">
        <is>
          <t>Halbledereinband, Schließen, erhabene Buchbeschläge</t>
        </is>
      </c>
      <c r="S385" t="inlineStr">
        <is>
          <t>bis 42 cm</t>
        </is>
      </c>
      <c r="T385" t="inlineStr">
        <is>
          <t>80° bis 110°, einseitig digitalisierbar?</t>
        </is>
      </c>
      <c r="U385" t="inlineStr">
        <is>
          <t>erhabene Illuminationen, welliger Buchblock, fester Rücken mit Schmuckprägung, erhabene Illuminationen</t>
        </is>
      </c>
      <c r="V385" t="inlineStr">
        <is>
          <t>nicht auflegen</t>
        </is>
      </c>
      <c r="W385" t="inlineStr"/>
      <c r="X385" t="inlineStr">
        <is>
          <t>Signaturfahne austauschen</t>
        </is>
      </c>
      <c r="Y385" t="n">
        <v>2</v>
      </c>
      <c r="Z385" t="inlineStr"/>
      <c r="AA385" t="inlineStr"/>
      <c r="AB385" t="inlineStr"/>
      <c r="AC385" t="inlineStr"/>
      <c r="AD385" t="inlineStr"/>
      <c r="AE385" t="inlineStr"/>
      <c r="AF385" t="inlineStr"/>
      <c r="AG385" t="inlineStr"/>
      <c r="AH385" t="inlineStr"/>
      <c r="AI385" t="inlineStr">
        <is>
          <t>HD</t>
        </is>
      </c>
      <c r="AJ385" t="inlineStr"/>
      <c r="AK385" t="inlineStr">
        <is>
          <t>x</t>
        </is>
      </c>
      <c r="AL385" t="inlineStr"/>
      <c r="AM385" t="inlineStr">
        <is>
          <t>f</t>
        </is>
      </c>
      <c r="AN385" t="inlineStr"/>
      <c r="AO385" t="inlineStr"/>
      <c r="AP385" t="inlineStr"/>
      <c r="AQ385" t="inlineStr"/>
      <c r="AR385" t="inlineStr"/>
      <c r="AS385" t="inlineStr">
        <is>
          <t>Pa</t>
        </is>
      </c>
      <c r="AT385" t="inlineStr"/>
      <c r="AU385" t="inlineStr"/>
      <c r="AV385" t="inlineStr"/>
      <c r="AW385" t="inlineStr"/>
      <c r="AX385" t="inlineStr"/>
      <c r="AY385" t="inlineStr"/>
      <c r="AZ385" t="inlineStr"/>
      <c r="BA385" t="inlineStr"/>
      <c r="BB385" t="inlineStr"/>
      <c r="BC385" t="inlineStr">
        <is>
          <t>I/R</t>
        </is>
      </c>
      <c r="BD385" t="inlineStr">
        <is>
          <t>x</t>
        </is>
      </c>
      <c r="BE385" t="inlineStr"/>
      <c r="BF385" t="inlineStr"/>
      <c r="BG385" t="n">
        <v>110</v>
      </c>
      <c r="BH385" t="inlineStr"/>
      <c r="BI385" t="inlineStr"/>
      <c r="BJ385" t="inlineStr"/>
      <c r="BK385" t="inlineStr"/>
      <c r="BL385" t="inlineStr"/>
      <c r="BM385" t="inlineStr">
        <is>
          <t>ja vor</t>
        </is>
      </c>
      <c r="BN385" t="n">
        <v>5.5</v>
      </c>
      <c r="BO385" t="inlineStr"/>
      <c r="BP385" t="inlineStr"/>
      <c r="BQ385" t="inlineStr"/>
      <c r="BR385" t="inlineStr">
        <is>
          <t>x</t>
        </is>
      </c>
      <c r="BS385" t="inlineStr"/>
      <c r="BT385" t="inlineStr"/>
      <c r="BU385" t="inlineStr"/>
      <c r="BV385" t="inlineStr"/>
      <c r="BW385" t="inlineStr"/>
      <c r="BX385" t="inlineStr"/>
      <c r="BY385" t="inlineStr"/>
      <c r="BZ385" t="inlineStr">
        <is>
          <t>x</t>
        </is>
      </c>
      <c r="CA385" t="inlineStr">
        <is>
          <t>x</t>
        </is>
      </c>
      <c r="CB385" t="inlineStr">
        <is>
          <t>x</t>
        </is>
      </c>
      <c r="CC385" t="inlineStr"/>
      <c r="CD385" t="inlineStr"/>
      <c r="CE385" t="inlineStr"/>
      <c r="CF385" t="inlineStr"/>
      <c r="CG385" t="inlineStr"/>
      <c r="CH385" t="inlineStr"/>
      <c r="CI385" t="inlineStr"/>
      <c r="CJ385" t="inlineStr"/>
      <c r="CK385" t="inlineStr"/>
      <c r="CL385" t="inlineStr"/>
      <c r="CM385" t="n">
        <v>2</v>
      </c>
      <c r="CN385" t="inlineStr">
        <is>
          <t>Rücken oben mit JP stabilisieren</t>
        </is>
      </c>
      <c r="CO385" t="inlineStr">
        <is>
          <t>x</t>
        </is>
      </c>
      <c r="CP385" t="inlineStr"/>
      <c r="CQ385" t="inlineStr"/>
      <c r="CR385" t="inlineStr"/>
      <c r="CS385" t="inlineStr">
        <is>
          <t>x</t>
        </is>
      </c>
      <c r="CT385" t="inlineStr"/>
      <c r="CU385" t="inlineStr"/>
      <c r="CV385" t="inlineStr"/>
      <c r="CW385" t="inlineStr"/>
      <c r="CX385" t="inlineStr"/>
      <c r="CY385" t="inlineStr"/>
      <c r="CZ385" t="inlineStr"/>
      <c r="DA385" t="inlineStr"/>
      <c r="DB385" t="inlineStr"/>
      <c r="DC385" t="inlineStr"/>
      <c r="DD385" t="inlineStr"/>
      <c r="DE385" t="inlineStr"/>
      <c r="DF385" t="n">
        <v>3.5</v>
      </c>
      <c r="DG385" t="inlineStr">
        <is>
          <t>Trockenreinigung gesamter BB, Vorsatzblatt hinten wieder einfügen</t>
        </is>
      </c>
    </row>
    <row r="386">
      <c r="A386" t="inlineStr">
        <is>
          <t>II</t>
        </is>
      </c>
      <c r="B386" t="b">
        <v>1</v>
      </c>
      <c r="C386" t="inlineStr"/>
      <c r="D386" t="inlineStr"/>
      <c r="E386" t="n">
        <v>382</v>
      </c>
      <c r="F386">
        <f>HYPERLINK("https://portal.dnb.de/opac.htm?method=simpleSearch&amp;cqlMode=true&amp;query=idn%3D1066971358", "Portal")</f>
        <v/>
      </c>
      <c r="G386" t="inlineStr">
        <is>
          <t>Aaf</t>
        </is>
      </c>
      <c r="H386" t="inlineStr">
        <is>
          <t>L-1470-315501723</t>
        </is>
      </c>
      <c r="I386" t="inlineStr">
        <is>
          <t>1066971358</t>
        </is>
      </c>
      <c r="J386" t="inlineStr">
        <is>
          <t>II 30,1q</t>
        </is>
      </c>
      <c r="K386" t="inlineStr">
        <is>
          <t>II 30,1q</t>
        </is>
      </c>
      <c r="L386" t="inlineStr">
        <is>
          <t>II 30,1q</t>
        </is>
      </c>
      <c r="M386" t="inlineStr"/>
      <c r="N386" t="inlineStr">
        <is>
          <t xml:space="preserve">Scrutinium scripturarum : </t>
        </is>
      </c>
      <c r="O386" t="inlineStr">
        <is>
          <t xml:space="preserve"> : </t>
        </is>
      </c>
      <c r="P386" t="inlineStr">
        <is>
          <t>x</t>
        </is>
      </c>
      <c r="Q386" t="inlineStr"/>
      <c r="R386" t="inlineStr">
        <is>
          <t>Ledereinband</t>
        </is>
      </c>
      <c r="S386" t="inlineStr">
        <is>
          <t>bis 35 cm</t>
        </is>
      </c>
      <c r="T386" t="inlineStr">
        <is>
          <t>80° bis 110°, einseitig digitalisierbar?</t>
        </is>
      </c>
      <c r="U386" t="inlineStr">
        <is>
          <t>fester Rücken mit Schmuckprägung, erhabene Illuminationen</t>
        </is>
      </c>
      <c r="V386" t="inlineStr">
        <is>
          <t>nicht auflegen</t>
        </is>
      </c>
      <c r="W386" t="inlineStr">
        <is>
          <t>Kassette</t>
        </is>
      </c>
      <c r="X386" t="inlineStr">
        <is>
          <t>Nein</t>
        </is>
      </c>
      <c r="Y386" t="n">
        <v>2</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t>
        </is>
      </c>
      <c r="B387" t="b">
        <v>1</v>
      </c>
      <c r="C387" t="inlineStr"/>
      <c r="D387" t="inlineStr"/>
      <c r="E387" t="n">
        <v>383</v>
      </c>
      <c r="F387">
        <f>HYPERLINK("https://portal.dnb.de/opac.htm?method=simpleSearch&amp;cqlMode=true&amp;query=idn%3D1066972621", "Portal")</f>
        <v/>
      </c>
      <c r="G387" t="inlineStr">
        <is>
          <t>Aaf</t>
        </is>
      </c>
      <c r="H387" t="inlineStr">
        <is>
          <t>L-1463-315503041</t>
        </is>
      </c>
      <c r="I387" t="inlineStr">
        <is>
          <t>1066972621</t>
        </is>
      </c>
      <c r="J387" t="inlineStr">
        <is>
          <t>II 30,1r</t>
        </is>
      </c>
      <c r="K387" t="inlineStr">
        <is>
          <t>II 30,1r</t>
        </is>
      </c>
      <c r="L387" t="inlineStr">
        <is>
          <t>II 30,1r</t>
        </is>
      </c>
      <c r="M387" t="inlineStr"/>
      <c r="N387" t="inlineStr">
        <is>
          <t>Summa theologiae : P. 2,2</t>
        </is>
      </c>
      <c r="O387" t="inlineStr">
        <is>
          <t xml:space="preserve"> : </t>
        </is>
      </c>
      <c r="P387" t="inlineStr"/>
      <c r="Q387" t="inlineStr"/>
      <c r="R387" t="inlineStr">
        <is>
          <t>Halbledereinband, Schließen, erhabene Buchbeschläge</t>
        </is>
      </c>
      <c r="S387" t="inlineStr">
        <is>
          <t>bis 42 cm</t>
        </is>
      </c>
      <c r="T387" t="inlineStr">
        <is>
          <t>nur sehr geringer Öffnungswinkel</t>
        </is>
      </c>
      <c r="U387" t="inlineStr">
        <is>
          <t>erhabene Illuminationen, welliger Buchblock, fester Rücken mit Schmuckprägung</t>
        </is>
      </c>
      <c r="V387" t="inlineStr">
        <is>
          <t>nicht auflegen</t>
        </is>
      </c>
      <c r="W387" t="inlineStr"/>
      <c r="X387" t="inlineStr">
        <is>
          <t>Signaturfahne austauschen</t>
        </is>
      </c>
      <c r="Y387" t="n">
        <v>1</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t>
        </is>
      </c>
      <c r="B388" t="b">
        <v>1</v>
      </c>
      <c r="C388" t="inlineStr"/>
      <c r="D388" t="inlineStr"/>
      <c r="E388" t="n">
        <v>384</v>
      </c>
      <c r="F388">
        <f>HYPERLINK("https://portal.dnb.de/opac.htm?method=simpleSearch&amp;cqlMode=true&amp;query=idn%3D1066972966", "Portal")</f>
        <v/>
      </c>
      <c r="G388" t="inlineStr">
        <is>
          <t>Aaf</t>
        </is>
      </c>
      <c r="H388" t="inlineStr">
        <is>
          <t>L-1470-315503343</t>
        </is>
      </c>
      <c r="I388" t="inlineStr">
        <is>
          <t>1066972966</t>
        </is>
      </c>
      <c r="J388" t="inlineStr">
        <is>
          <t>II 30,1s</t>
        </is>
      </c>
      <c r="K388" t="inlineStr">
        <is>
          <t>II 30,1s</t>
        </is>
      </c>
      <c r="L388" t="inlineStr">
        <is>
          <t>II 30,1s</t>
        </is>
      </c>
      <c r="M388" t="inlineStr"/>
      <c r="N388" t="inlineStr">
        <is>
          <t xml:space="preserve">Facta et dicta memorabilia : </t>
        </is>
      </c>
      <c r="O388" t="inlineStr">
        <is>
          <t xml:space="preserve"> : </t>
        </is>
      </c>
      <c r="P388" t="inlineStr">
        <is>
          <t>x</t>
        </is>
      </c>
      <c r="Q388" t="inlineStr"/>
      <c r="R388" t="inlineStr">
        <is>
          <t>Ledereinband</t>
        </is>
      </c>
      <c r="S388" t="inlineStr">
        <is>
          <t>bis 35 cm</t>
        </is>
      </c>
      <c r="T388" t="inlineStr">
        <is>
          <t>80° bis 110°, einseitig digitalisierbar?</t>
        </is>
      </c>
      <c r="U388" t="inlineStr">
        <is>
          <t>fester Rücken mit Schmuckprägung, erhabene Illuminationen</t>
        </is>
      </c>
      <c r="V388" t="inlineStr">
        <is>
          <t>nicht auflegen</t>
        </is>
      </c>
      <c r="W388" t="inlineStr">
        <is>
          <t>Kassette</t>
        </is>
      </c>
      <c r="X388" t="inlineStr">
        <is>
          <t>Nein</t>
        </is>
      </c>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t>
        </is>
      </c>
      <c r="B389" t="b">
        <v>1</v>
      </c>
      <c r="C389" t="inlineStr"/>
      <c r="D389" t="inlineStr"/>
      <c r="E389" t="n">
        <v>385</v>
      </c>
      <c r="F389">
        <f>HYPERLINK("https://portal.dnb.de/opac.htm?method=simpleSearch&amp;cqlMode=true&amp;query=idn%3D1066973067", "Portal")</f>
        <v/>
      </c>
      <c r="G389" t="inlineStr">
        <is>
          <t>Aaf</t>
        </is>
      </c>
      <c r="H389" t="inlineStr">
        <is>
          <t>L-1476-315503440</t>
        </is>
      </c>
      <c r="I389" t="inlineStr">
        <is>
          <t>1066973067</t>
        </is>
      </c>
      <c r="J389" t="inlineStr">
        <is>
          <t>II 30,1t</t>
        </is>
      </c>
      <c r="K389" t="inlineStr">
        <is>
          <t>II 30,1t</t>
        </is>
      </c>
      <c r="L389" t="inlineStr">
        <is>
          <t>II 30,1t</t>
        </is>
      </c>
      <c r="M389" t="inlineStr"/>
      <c r="N389" t="inlineStr">
        <is>
          <t xml:space="preserve">Speculum morale : </t>
        </is>
      </c>
      <c r="O389" t="inlineStr">
        <is>
          <t xml:space="preserve"> : </t>
        </is>
      </c>
      <c r="P389" t="inlineStr">
        <is>
          <t>X</t>
        </is>
      </c>
      <c r="Q389" t="inlineStr"/>
      <c r="R389" t="inlineStr">
        <is>
          <t>Halbledereinband, Schließen, erhabene Buchbeschläge</t>
        </is>
      </c>
      <c r="S389" t="inlineStr">
        <is>
          <t>&gt; 42 cm</t>
        </is>
      </c>
      <c r="T389" t="inlineStr">
        <is>
          <t>nur sehr geringer Öffnungswinkel</t>
        </is>
      </c>
      <c r="U389" t="inlineStr">
        <is>
          <t>hohler Rücken, erhabene Illuminationen</t>
        </is>
      </c>
      <c r="V389" t="inlineStr">
        <is>
          <t>nicht auflegen</t>
        </is>
      </c>
      <c r="W389" t="inlineStr"/>
      <c r="X389" t="inlineStr">
        <is>
          <t>Signaturfahne austauschen</t>
        </is>
      </c>
      <c r="Y389" t="n">
        <v>1</v>
      </c>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n">
        <v>0</v>
      </c>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II</t>
        </is>
      </c>
      <c r="B390" t="b">
        <v>1</v>
      </c>
      <c r="C390" t="inlineStr"/>
      <c r="D390" t="inlineStr"/>
      <c r="E390" t="n">
        <v>387</v>
      </c>
      <c r="F390">
        <f>HYPERLINK("https://portal.dnb.de/opac.htm?method=simpleSearch&amp;cqlMode=true&amp;query=idn%3D106696291X", "Portal")</f>
        <v/>
      </c>
      <c r="G390" t="inlineStr">
        <is>
          <t>Aaf</t>
        </is>
      </c>
      <c r="H390" t="inlineStr">
        <is>
          <t>L-1480-315493186</t>
        </is>
      </c>
      <c r="I390" t="inlineStr">
        <is>
          <t>106696291X</t>
        </is>
      </c>
      <c r="J390" t="inlineStr">
        <is>
          <t>II 30,2 i</t>
        </is>
      </c>
      <c r="K390" t="inlineStr">
        <is>
          <t>II 30,2 i</t>
        </is>
      </c>
      <c r="L390" t="inlineStr">
        <is>
          <t>II 30,2 i</t>
        </is>
      </c>
      <c r="M390" t="inlineStr"/>
      <c r="N390" t="inlineStr">
        <is>
          <t xml:space="preserve">Biblia, lat. : </t>
        </is>
      </c>
      <c r="O390" t="inlineStr">
        <is>
          <t xml:space="preserve"> : </t>
        </is>
      </c>
      <c r="P390" t="inlineStr"/>
      <c r="Q390" t="inlineStr"/>
      <c r="R390" t="inlineStr"/>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t>
        </is>
      </c>
      <c r="B391" t="b">
        <v>1</v>
      </c>
      <c r="C391" t="inlineStr"/>
      <c r="D391" t="inlineStr"/>
      <c r="E391" t="n">
        <v>388</v>
      </c>
      <c r="F391">
        <f>HYPERLINK("https://portal.dnb.de/opac.htm?method=simpleSearch&amp;cqlMode=true&amp;query=idn%3D106697019X", "Portal")</f>
        <v/>
      </c>
      <c r="G391" t="inlineStr">
        <is>
          <t>Aa</t>
        </is>
      </c>
      <c r="H391" t="inlineStr">
        <is>
          <t>L-1475-315500530</t>
        </is>
      </c>
      <c r="I391" t="inlineStr">
        <is>
          <t>106697019X</t>
        </is>
      </c>
      <c r="J391" t="inlineStr">
        <is>
          <t>II 30,2a</t>
        </is>
      </c>
      <c r="K391" t="inlineStr">
        <is>
          <t>II 30,2a</t>
        </is>
      </c>
      <c r="L391" t="inlineStr">
        <is>
          <t>II 30,2a</t>
        </is>
      </c>
      <c r="M391" t="inlineStr"/>
      <c r="N391" t="inlineStr">
        <is>
          <t xml:space="preserve">Catholicon : </t>
        </is>
      </c>
      <c r="O391" t="inlineStr">
        <is>
          <t xml:space="preserve"> : </t>
        </is>
      </c>
      <c r="P391" t="inlineStr">
        <is>
          <t>X</t>
        </is>
      </c>
      <c r="Q391" t="inlineStr"/>
      <c r="R391" t="inlineStr">
        <is>
          <t>Halbledereinband, Schließen, erhabene Buchbeschläge</t>
        </is>
      </c>
      <c r="S391" t="inlineStr">
        <is>
          <t>&gt; 42 cm</t>
        </is>
      </c>
      <c r="T391" t="inlineStr">
        <is>
          <t>nur sehr geringer Öffnungswinkel</t>
        </is>
      </c>
      <c r="U391" t="inlineStr">
        <is>
          <t>erhabene Illuminationen, welliger Buchblock, hohler Rücken</t>
        </is>
      </c>
      <c r="V391" t="inlineStr">
        <is>
          <t>nicht auflegen</t>
        </is>
      </c>
      <c r="W391" t="inlineStr"/>
      <c r="X391" t="inlineStr">
        <is>
          <t>Signaturfahne austauschen</t>
        </is>
      </c>
      <c r="Y391" t="n">
        <v>1</v>
      </c>
      <c r="Z391" t="inlineStr"/>
      <c r="AA391" t="inlineStr">
        <is>
          <t>Holzdeckel</t>
        </is>
      </c>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t>
        </is>
      </c>
      <c r="B392" t="b">
        <v>1</v>
      </c>
      <c r="C392" t="inlineStr"/>
      <c r="D392" t="inlineStr"/>
      <c r="E392" t="n">
        <v>389</v>
      </c>
      <c r="F392">
        <f>HYPERLINK("https://portal.dnb.de/opac.htm?method=simpleSearch&amp;cqlMode=true&amp;query=idn%3D1066967350", "Portal")</f>
        <v/>
      </c>
      <c r="G392" t="inlineStr">
        <is>
          <t>Aaf</t>
        </is>
      </c>
      <c r="H392" t="inlineStr">
        <is>
          <t>L-1475-315497602</t>
        </is>
      </c>
      <c r="I392" t="inlineStr">
        <is>
          <t>1066967350</t>
        </is>
      </c>
      <c r="J392" t="inlineStr">
        <is>
          <t>II 30,2c</t>
        </is>
      </c>
      <c r="K392" t="inlineStr">
        <is>
          <t>II 30,2c</t>
        </is>
      </c>
      <c r="L392" t="inlineStr">
        <is>
          <t>II 30,2c</t>
        </is>
      </c>
      <c r="M392" t="inlineStr"/>
      <c r="N392" t="inlineStr">
        <is>
          <t xml:space="preserve">Sermones de adventu, etc. : </t>
        </is>
      </c>
      <c r="O392" t="inlineStr">
        <is>
          <t xml:space="preserve"> : </t>
        </is>
      </c>
      <c r="P392" t="inlineStr">
        <is>
          <t>X</t>
        </is>
      </c>
      <c r="Q392" t="inlineStr"/>
      <c r="R392" t="inlineStr">
        <is>
          <t>Ledereinband, Schließen, erhabene Buchbeschläge</t>
        </is>
      </c>
      <c r="S392" t="inlineStr">
        <is>
          <t>bis 35 cm</t>
        </is>
      </c>
      <c r="T392" t="inlineStr">
        <is>
          <t>80° bis 110°, einseitig digitalisierbar?</t>
        </is>
      </c>
      <c r="U392" t="inlineStr">
        <is>
          <t>erhabene Illuminationen</t>
        </is>
      </c>
      <c r="V392" t="inlineStr">
        <is>
          <t>nicht auflegen</t>
        </is>
      </c>
      <c r="W392" t="inlineStr">
        <is>
          <t>Kassette</t>
        </is>
      </c>
      <c r="X392" t="inlineStr">
        <is>
          <t>Nein</t>
        </is>
      </c>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t>
        </is>
      </c>
      <c r="B393" t="b">
        <v>1</v>
      </c>
      <c r="C393" t="inlineStr"/>
      <c r="D393" t="inlineStr"/>
      <c r="E393" t="n">
        <v>390</v>
      </c>
      <c r="F393">
        <f>HYPERLINK("https://portal.dnb.de/opac.htm?method=simpleSearch&amp;cqlMode=true&amp;query=idn%3D1066969264", "Portal")</f>
        <v/>
      </c>
      <c r="G393" t="inlineStr">
        <is>
          <t>Aaf</t>
        </is>
      </c>
      <c r="H393" t="inlineStr">
        <is>
          <t>L-1467-315499575</t>
        </is>
      </c>
      <c r="I393" t="inlineStr">
        <is>
          <t>1066969264</t>
        </is>
      </c>
      <c r="J393" t="inlineStr">
        <is>
          <t>II 30,2d</t>
        </is>
      </c>
      <c r="K393" t="inlineStr">
        <is>
          <t>II 30,2d</t>
        </is>
      </c>
      <c r="L393" t="inlineStr">
        <is>
          <t>II 30,2d</t>
        </is>
      </c>
      <c r="M393" t="inlineStr"/>
      <c r="N393" t="inlineStr">
        <is>
          <t xml:space="preserve">De sermonum proprietate sive Opus de universo : </t>
        </is>
      </c>
      <c r="O393" t="inlineStr">
        <is>
          <t xml:space="preserve"> : </t>
        </is>
      </c>
      <c r="P393" t="inlineStr">
        <is>
          <t>X</t>
        </is>
      </c>
      <c r="Q393" t="inlineStr"/>
      <c r="R393" t="inlineStr">
        <is>
          <t>Ledereinband</t>
        </is>
      </c>
      <c r="S393" t="inlineStr">
        <is>
          <t>bis 42 cm</t>
        </is>
      </c>
      <c r="T393" t="inlineStr">
        <is>
          <t>80° bis 110°, einseitig digitalisierbar?</t>
        </is>
      </c>
      <c r="U393" t="inlineStr">
        <is>
          <t>hohler Rücken, erhabene Illuminationen</t>
        </is>
      </c>
      <c r="V393" t="inlineStr">
        <is>
          <t>nicht auflegen</t>
        </is>
      </c>
      <c r="W393" t="inlineStr"/>
      <c r="X393" t="inlineStr">
        <is>
          <t>Signaturfahne austauschen</t>
        </is>
      </c>
      <c r="Y393" t="n">
        <v>1</v>
      </c>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n">
        <v>0</v>
      </c>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t>
        </is>
      </c>
      <c r="B394" t="b">
        <v>1</v>
      </c>
      <c r="C394" t="inlineStr"/>
      <c r="D394" t="inlineStr"/>
      <c r="E394" t="n">
        <v>391</v>
      </c>
      <c r="F394">
        <f>HYPERLINK("https://portal.dnb.de/opac.htm?method=simpleSearch&amp;cqlMode=true&amp;query=idn%3D1066971676", "Portal")</f>
        <v/>
      </c>
      <c r="G394" t="inlineStr">
        <is>
          <t>Aaf</t>
        </is>
      </c>
      <c r="H394" t="inlineStr">
        <is>
          <t>L-1470-315502053</t>
        </is>
      </c>
      <c r="I394" t="inlineStr">
        <is>
          <t>1066971676</t>
        </is>
      </c>
      <c r="J394" t="inlineStr">
        <is>
          <t>II 30,2e</t>
        </is>
      </c>
      <c r="K394" t="inlineStr">
        <is>
          <t>II 30,2e</t>
        </is>
      </c>
      <c r="L394" t="inlineStr">
        <is>
          <t>II 30,2e - 1</t>
        </is>
      </c>
      <c r="M394" t="inlineStr"/>
      <c r="N394" t="inlineStr">
        <is>
          <t xml:space="preserve">Vitae illustrium virorum : </t>
        </is>
      </c>
      <c r="O394" t="inlineStr">
        <is>
          <t xml:space="preserve"> : </t>
        </is>
      </c>
      <c r="P394" t="inlineStr"/>
      <c r="Q394" t="inlineStr">
        <is>
          <t>100000,00 EUR</t>
        </is>
      </c>
      <c r="R394" t="inlineStr">
        <is>
          <t>Ledereinband, Schließen, erhabene Buchbeschläge</t>
        </is>
      </c>
      <c r="S394" t="inlineStr">
        <is>
          <t>bis 35 cm</t>
        </is>
      </c>
      <c r="T394" t="inlineStr">
        <is>
          <t>80° bis 110°, einseitig digitalisierbar?</t>
        </is>
      </c>
      <c r="U394" t="inlineStr">
        <is>
          <t>welliger Buchblock, fester Rücken mit Schmuckprägung, erhabene Illuminationen</t>
        </is>
      </c>
      <c r="V394" t="inlineStr">
        <is>
          <t>nicht auflegen</t>
        </is>
      </c>
      <c r="W394" t="inlineStr"/>
      <c r="X394" t="inlineStr">
        <is>
          <t>Signaturfahne austauschen</t>
        </is>
      </c>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t>
        </is>
      </c>
      <c r="B395" t="b">
        <v>0</v>
      </c>
      <c r="C395" t="inlineStr">
        <is>
          <t>x</t>
        </is>
      </c>
      <c r="D395" t="inlineStr"/>
      <c r="E395" t="inlineStr"/>
      <c r="F395">
        <f>HYPERLINK("https://portal.dnb.de/opac.htm?method=simpleSearch&amp;cqlMode=true&amp;query=idn%3D", "Portal")</f>
        <v/>
      </c>
      <c r="G395" t="inlineStr"/>
      <c r="H395" t="inlineStr"/>
      <c r="I395" t="inlineStr"/>
      <c r="J395" t="inlineStr"/>
      <c r="K395" t="inlineStr"/>
      <c r="L395" t="inlineStr">
        <is>
          <t>II 30,2e - 2</t>
        </is>
      </c>
      <c r="M395" t="inlineStr"/>
      <c r="N395" t="inlineStr"/>
      <c r="O395" t="inlineStr"/>
      <c r="P395" t="inlineStr">
        <is>
          <t>X</t>
        </is>
      </c>
      <c r="Q395" t="inlineStr"/>
      <c r="R395" t="inlineStr">
        <is>
          <t>Ledereinband, Schließen, erhabene Buchbeschläge</t>
        </is>
      </c>
      <c r="S395" t="inlineStr">
        <is>
          <t>bis 35 cm</t>
        </is>
      </c>
      <c r="T395" t="inlineStr">
        <is>
          <t>nur sehr geringer Öffnungswinkel</t>
        </is>
      </c>
      <c r="U395" t="inlineStr">
        <is>
          <t>welliger Buchblock, fester Rücken mit Schmuckprägung, stark brüchiges Einbandmaterial</t>
        </is>
      </c>
      <c r="V395" t="inlineStr">
        <is>
          <t>nicht auflegen</t>
        </is>
      </c>
      <c r="W395" t="inlineStr"/>
      <c r="X395" t="inlineStr">
        <is>
          <t>Signaturfahne austauschen</t>
        </is>
      </c>
      <c r="Y395" t="n">
        <v>2</v>
      </c>
      <c r="Z395" t="inlineStr"/>
      <c r="AA395" t="inlineStr"/>
      <c r="AB395" t="inlineStr"/>
      <c r="AC395" t="inlineStr"/>
      <c r="AD395" t="inlineStr"/>
      <c r="AE395" t="inlineStr"/>
      <c r="AF395" t="inlineStr"/>
      <c r="AG395" t="inlineStr"/>
      <c r="AH395" t="inlineStr"/>
      <c r="AI395" t="inlineStr">
        <is>
          <t>HD</t>
        </is>
      </c>
      <c r="AJ395" t="inlineStr"/>
      <c r="AK395" t="inlineStr">
        <is>
          <t>x</t>
        </is>
      </c>
      <c r="AL395" t="inlineStr"/>
      <c r="AM395" t="inlineStr">
        <is>
          <t>f/V</t>
        </is>
      </c>
      <c r="AN395" t="inlineStr"/>
      <c r="AO395" t="inlineStr"/>
      <c r="AP395" t="inlineStr"/>
      <c r="AQ395" t="inlineStr"/>
      <c r="AR395" t="inlineStr"/>
      <c r="AS395" t="inlineStr">
        <is>
          <t>Pa</t>
        </is>
      </c>
      <c r="AT395" t="inlineStr"/>
      <c r="AU395" t="inlineStr"/>
      <c r="AV395" t="inlineStr"/>
      <c r="AW395" t="inlineStr"/>
      <c r="AX395" t="inlineStr"/>
      <c r="AY395" t="inlineStr"/>
      <c r="AZ395" t="inlineStr"/>
      <c r="BA395" t="inlineStr"/>
      <c r="BB395" t="inlineStr"/>
      <c r="BC395" t="inlineStr">
        <is>
          <t>I/R</t>
        </is>
      </c>
      <c r="BD395" t="inlineStr">
        <is>
          <t>x</t>
        </is>
      </c>
      <c r="BE395" t="inlineStr"/>
      <c r="BF395" t="inlineStr"/>
      <c r="BG395" t="n">
        <v>60</v>
      </c>
      <c r="BH395" t="inlineStr"/>
      <c r="BI395" t="inlineStr"/>
      <c r="BJ395" t="inlineStr"/>
      <c r="BK395" t="inlineStr"/>
      <c r="BL395" t="inlineStr"/>
      <c r="BM395" t="inlineStr">
        <is>
          <t>ja vor</t>
        </is>
      </c>
      <c r="BN395" t="n">
        <v>1.5</v>
      </c>
      <c r="BO395" t="inlineStr"/>
      <c r="BP395" t="inlineStr">
        <is>
          <t>Wellpappe</t>
        </is>
      </c>
      <c r="BQ395" t="inlineStr"/>
      <c r="BR395" t="inlineStr"/>
      <c r="BS395" t="inlineStr"/>
      <c r="BT395" t="inlineStr"/>
      <c r="BU395" t="inlineStr"/>
      <c r="BV395" t="inlineStr"/>
      <c r="BW395" t="inlineStr"/>
      <c r="BX395" t="inlineStr"/>
      <c r="BY395" t="inlineStr"/>
      <c r="BZ395" t="inlineStr">
        <is>
          <t>x</t>
        </is>
      </c>
      <c r="CA395" t="inlineStr"/>
      <c r="CB395" t="inlineStr">
        <is>
          <t>x</t>
        </is>
      </c>
      <c r="CC395" t="inlineStr"/>
      <c r="CD395" t="inlineStr"/>
      <c r="CE395" t="inlineStr"/>
      <c r="CF395" t="inlineStr"/>
      <c r="CG395" t="inlineStr"/>
      <c r="CH395" t="inlineStr"/>
      <c r="CI395" t="inlineStr"/>
      <c r="CJ395" t="inlineStr"/>
      <c r="CK395" t="inlineStr"/>
      <c r="CL395" t="inlineStr"/>
      <c r="CM395" t="n">
        <v>0.5</v>
      </c>
      <c r="CN395" t="inlineStr"/>
      <c r="CO395" t="inlineStr">
        <is>
          <t>x</t>
        </is>
      </c>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n">
        <v>1</v>
      </c>
      <c r="DG395" t="inlineStr">
        <is>
          <t>Trockenreinigung v.a. am Kopf im vorderen Bereich des Buches, Vorsätze in den Fälzen auskehren</t>
        </is>
      </c>
    </row>
    <row r="396">
      <c r="A396" t="inlineStr">
        <is>
          <t>II</t>
        </is>
      </c>
      <c r="B396" t="b">
        <v>1</v>
      </c>
      <c r="C396" t="inlineStr"/>
      <c r="D396" t="inlineStr"/>
      <c r="E396" t="n">
        <v>392</v>
      </c>
      <c r="F396">
        <f>HYPERLINK("https://portal.dnb.de/opac.htm?method=simpleSearch&amp;cqlMode=true&amp;query=idn%3D1066973032", "Portal")</f>
        <v/>
      </c>
      <c r="G396" t="inlineStr">
        <is>
          <t>Aaf</t>
        </is>
      </c>
      <c r="H396" t="inlineStr">
        <is>
          <t>L-1477-315503408</t>
        </is>
      </c>
      <c r="I396" t="inlineStr">
        <is>
          <t>1066973032</t>
        </is>
      </c>
      <c r="J396" t="inlineStr">
        <is>
          <t>II 30,2f</t>
        </is>
      </c>
      <c r="K396" t="inlineStr">
        <is>
          <t>II 30,2f</t>
        </is>
      </c>
      <c r="L396" t="inlineStr">
        <is>
          <t>II 30,2f</t>
        </is>
      </c>
      <c r="M396" t="inlineStr"/>
      <c r="N396" t="inlineStr">
        <is>
          <t xml:space="preserve">Speculum doctrinale : </t>
        </is>
      </c>
      <c r="O396" t="inlineStr">
        <is>
          <t xml:space="preserve"> : </t>
        </is>
      </c>
      <c r="P396" t="inlineStr">
        <is>
          <t>X</t>
        </is>
      </c>
      <c r="Q396" t="inlineStr"/>
      <c r="R396" t="inlineStr">
        <is>
          <t>Halbledereinband</t>
        </is>
      </c>
      <c r="S396" t="inlineStr">
        <is>
          <t>&gt; 42 cm</t>
        </is>
      </c>
      <c r="T396" t="inlineStr">
        <is>
          <t>80° bis 110°, einseitig digitalisierbar?</t>
        </is>
      </c>
      <c r="U396" t="inlineStr">
        <is>
          <t>hohler Rücken, welliger Buchblock, erhabene Illuminationen</t>
        </is>
      </c>
      <c r="V396" t="inlineStr">
        <is>
          <t>nicht auflegen</t>
        </is>
      </c>
      <c r="W396" t="inlineStr"/>
      <c r="X396" t="inlineStr"/>
      <c r="Y396" t="n">
        <v>1</v>
      </c>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t>
        </is>
      </c>
      <c r="B397" t="b">
        <v>1</v>
      </c>
      <c r="C397" t="inlineStr"/>
      <c r="D397" t="inlineStr"/>
      <c r="E397" t="n">
        <v>393</v>
      </c>
      <c r="F397">
        <f>HYPERLINK("https://portal.dnb.de/opac.htm?method=simpleSearch&amp;cqlMode=true&amp;query=idn%3D1066973059", "Portal")</f>
        <v/>
      </c>
      <c r="G397" t="inlineStr">
        <is>
          <t>Aa</t>
        </is>
      </c>
      <c r="H397" t="inlineStr">
        <is>
          <t>L-1476-315503424</t>
        </is>
      </c>
      <c r="I397" t="inlineStr">
        <is>
          <t>1066973059</t>
        </is>
      </c>
      <c r="J397" t="inlineStr">
        <is>
          <t>II 30,2g</t>
        </is>
      </c>
      <c r="K397" t="inlineStr">
        <is>
          <t>II 30,2g</t>
        </is>
      </c>
      <c r="L397" t="inlineStr">
        <is>
          <t>II 30,2g - 1/2</t>
        </is>
      </c>
      <c r="M397" t="inlineStr"/>
      <c r="N397" t="inlineStr">
        <is>
          <t xml:space="preserve">Speculum historiale : </t>
        </is>
      </c>
      <c r="O397" t="inlineStr">
        <is>
          <t xml:space="preserve"> : </t>
        </is>
      </c>
      <c r="P397" t="inlineStr">
        <is>
          <t>X</t>
        </is>
      </c>
      <c r="Q397" t="inlineStr"/>
      <c r="R397" t="inlineStr">
        <is>
          <t>Halbledereinband</t>
        </is>
      </c>
      <c r="S397" t="inlineStr">
        <is>
          <t>&gt; 42 cm</t>
        </is>
      </c>
      <c r="T397" t="inlineStr">
        <is>
          <t>80° bis 110°, einseitig digitalisierbar?</t>
        </is>
      </c>
      <c r="U397" t="inlineStr">
        <is>
          <t>hohler Rücken, erhabene Illuminationen</t>
        </is>
      </c>
      <c r="V397" t="inlineStr">
        <is>
          <t>nicht auflegen</t>
        </is>
      </c>
      <c r="W397" t="inlineStr"/>
      <c r="X397" t="inlineStr"/>
      <c r="Y397" t="n">
        <v>1</v>
      </c>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n">
        <v>0</v>
      </c>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t>
        </is>
      </c>
      <c r="B398" t="b">
        <v>0</v>
      </c>
      <c r="C398" t="inlineStr"/>
      <c r="D398" t="inlineStr"/>
      <c r="E398" t="inlineStr"/>
      <c r="F398">
        <f>HYPERLINK("https://portal.dnb.de/opac.htm?method=simpleSearch&amp;cqlMode=true&amp;query=idn%3D", "Portal")</f>
        <v/>
      </c>
      <c r="G398" t="inlineStr"/>
      <c r="H398" t="inlineStr"/>
      <c r="I398" t="inlineStr"/>
      <c r="J398" t="inlineStr"/>
      <c r="K398" t="inlineStr"/>
      <c r="L398" t="inlineStr">
        <is>
          <t>II 30,2g - 3/4</t>
        </is>
      </c>
      <c r="M398" t="inlineStr"/>
      <c r="N398" t="inlineStr"/>
      <c r="O398" t="inlineStr"/>
      <c r="P398" t="inlineStr">
        <is>
          <t>X</t>
        </is>
      </c>
      <c r="Q398" t="inlineStr"/>
      <c r="R398" t="inlineStr">
        <is>
          <t>Halbledereinband</t>
        </is>
      </c>
      <c r="S398" t="inlineStr">
        <is>
          <t>&gt; 42 cm</t>
        </is>
      </c>
      <c r="T398" t="inlineStr">
        <is>
          <t>80° bis 110°, einseitig digitalisierbar?</t>
        </is>
      </c>
      <c r="U398" t="inlineStr">
        <is>
          <t>hohler Rücken, welliger Buchblock, erhabene Illuminationen</t>
        </is>
      </c>
      <c r="V398" t="inlineStr">
        <is>
          <t>nicht auflegen</t>
        </is>
      </c>
      <c r="W398" t="inlineStr"/>
      <c r="X398" t="inlineStr"/>
      <c r="Y398" t="n">
        <v>0</v>
      </c>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t>
        </is>
      </c>
      <c r="B399" t="b">
        <v>1</v>
      </c>
      <c r="C399" t="inlineStr"/>
      <c r="D399" t="inlineStr"/>
      <c r="E399" t="n">
        <v>394</v>
      </c>
      <c r="F399">
        <f>HYPERLINK("https://portal.dnb.de/opac.htm?method=simpleSearch&amp;cqlMode=true&amp;query=idn%3D1066973083", "Portal")</f>
        <v/>
      </c>
      <c r="G399" t="inlineStr">
        <is>
          <t>Aa</t>
        </is>
      </c>
      <c r="H399" t="inlineStr">
        <is>
          <t>L-1476-315503467</t>
        </is>
      </c>
      <c r="I399" t="inlineStr">
        <is>
          <t>1066973083</t>
        </is>
      </c>
      <c r="J399" t="inlineStr">
        <is>
          <t>II 30,2h</t>
        </is>
      </c>
      <c r="K399" t="inlineStr">
        <is>
          <t>II 30,2h</t>
        </is>
      </c>
      <c r="L399" t="inlineStr">
        <is>
          <t>II 30,2h - 1</t>
        </is>
      </c>
      <c r="M399" t="inlineStr"/>
      <c r="N399" t="inlineStr">
        <is>
          <t xml:space="preserve">Speculum naturale : </t>
        </is>
      </c>
      <c r="O399" t="inlineStr">
        <is>
          <t xml:space="preserve"> : </t>
        </is>
      </c>
      <c r="P399" t="inlineStr">
        <is>
          <t>X</t>
        </is>
      </c>
      <c r="Q399" t="inlineStr">
        <is>
          <t>35700,00 EUR</t>
        </is>
      </c>
      <c r="R399" t="inlineStr">
        <is>
          <t>Halbgewebeband</t>
        </is>
      </c>
      <c r="S399" t="inlineStr">
        <is>
          <t>&gt; 42 cm</t>
        </is>
      </c>
      <c r="T399" t="inlineStr">
        <is>
          <t>80° bis 110°, einseitig digitalisierbar?</t>
        </is>
      </c>
      <c r="U399" t="inlineStr">
        <is>
          <t>hohler Rücken, welliger Buchblock, erhabene Illuminationen</t>
        </is>
      </c>
      <c r="V399" t="inlineStr">
        <is>
          <t>nicht auflegen</t>
        </is>
      </c>
      <c r="W399" t="inlineStr"/>
      <c r="X399" t="inlineStr"/>
      <c r="Y399" t="n">
        <v>0</v>
      </c>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t>
        </is>
      </c>
      <c r="B400" t="b">
        <v>0</v>
      </c>
      <c r="C400" t="inlineStr"/>
      <c r="D400" t="inlineStr"/>
      <c r="E400" t="inlineStr"/>
      <c r="F400">
        <f>HYPERLINK("https://portal.dnb.de/opac.htm?method=simpleSearch&amp;cqlMode=true&amp;query=idn%3D", "Portal")</f>
        <v/>
      </c>
      <c r="G400" t="inlineStr"/>
      <c r="H400" t="inlineStr"/>
      <c r="I400" t="inlineStr"/>
      <c r="J400" t="inlineStr"/>
      <c r="K400" t="inlineStr"/>
      <c r="L400" t="inlineStr">
        <is>
          <t>II 30,2h - 2</t>
        </is>
      </c>
      <c r="M400" t="inlineStr"/>
      <c r="N400" t="inlineStr"/>
      <c r="O400" t="inlineStr"/>
      <c r="P400" t="inlineStr">
        <is>
          <t>X</t>
        </is>
      </c>
      <c r="Q400" t="inlineStr"/>
      <c r="R400" t="inlineStr">
        <is>
          <t>Halbledereinband</t>
        </is>
      </c>
      <c r="S400" t="inlineStr">
        <is>
          <t>&gt; 42 cm</t>
        </is>
      </c>
      <c r="T400" t="inlineStr">
        <is>
          <t>80° bis 110°, einseitig digitalisierbar?</t>
        </is>
      </c>
      <c r="U400" t="inlineStr">
        <is>
          <t>hohler Rücken, welliger Buchblock, erhabene Illuminationen</t>
        </is>
      </c>
      <c r="V400" t="inlineStr">
        <is>
          <t>nicht auflegen</t>
        </is>
      </c>
      <c r="W400" t="inlineStr"/>
      <c r="X400" t="inlineStr"/>
      <c r="Y400" t="n">
        <v>0</v>
      </c>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t>
        </is>
      </c>
      <c r="B401" t="b">
        <v>0</v>
      </c>
      <c r="C401" t="inlineStr"/>
      <c r="D401" t="inlineStr"/>
      <c r="E401" t="inlineStr"/>
      <c r="F401">
        <f>HYPERLINK("https://portal.dnb.de/opac.htm?method=simpleSearch&amp;cqlMode=true&amp;query=idn%3D", "Portal")</f>
        <v/>
      </c>
      <c r="G401" t="inlineStr"/>
      <c r="H401" t="inlineStr"/>
      <c r="I401" t="inlineStr"/>
      <c r="J401" t="inlineStr"/>
      <c r="K401" t="inlineStr"/>
      <c r="L401" t="inlineStr">
        <is>
          <t>II 30,2i - 1</t>
        </is>
      </c>
      <c r="M401" t="inlineStr"/>
      <c r="N401" t="inlineStr"/>
      <c r="O401" t="inlineStr"/>
      <c r="P401" t="inlineStr">
        <is>
          <t>X</t>
        </is>
      </c>
      <c r="Q401" t="inlineStr"/>
      <c r="R401" t="inlineStr">
        <is>
          <t>Halbledereinband, Schließen, erhabene Buchbeschläge</t>
        </is>
      </c>
      <c r="S401" t="inlineStr">
        <is>
          <t>&gt; 42 cm</t>
        </is>
      </c>
      <c r="T401" t="inlineStr">
        <is>
          <t>nur sehr geringer Öffnungswinkel</t>
        </is>
      </c>
      <c r="U401" t="inlineStr">
        <is>
          <t>fester Rücken mit Schmuckprägung, welliger Buchblock, Schrift bis in den Falz, erhabene Illuminationen</t>
        </is>
      </c>
      <c r="V401" t="inlineStr">
        <is>
          <t>nicht auflegen</t>
        </is>
      </c>
      <c r="W401" t="inlineStr"/>
      <c r="X401" t="inlineStr"/>
      <c r="Y401" t="n">
        <v>1</v>
      </c>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n">
        <v>0</v>
      </c>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II</t>
        </is>
      </c>
      <c r="B402" t="b">
        <v>0</v>
      </c>
      <c r="C402" t="inlineStr"/>
      <c r="D402" t="inlineStr"/>
      <c r="E402" t="inlineStr"/>
      <c r="F402">
        <f>HYPERLINK("https://portal.dnb.de/opac.htm?method=simpleSearch&amp;cqlMode=true&amp;query=idn%3D", "Portal")</f>
        <v/>
      </c>
      <c r="G402" t="inlineStr"/>
      <c r="H402" t="inlineStr"/>
      <c r="I402" t="inlineStr"/>
      <c r="J402" t="inlineStr"/>
      <c r="K402" t="inlineStr"/>
      <c r="L402" t="inlineStr">
        <is>
          <t>II 30,2i - 2</t>
        </is>
      </c>
      <c r="M402" t="inlineStr"/>
      <c r="N402" t="inlineStr"/>
      <c r="O402" t="inlineStr"/>
      <c r="P402" t="inlineStr"/>
      <c r="Q402" t="inlineStr"/>
      <c r="R402" t="inlineStr">
        <is>
          <t>Halbledereinband, Schließen, erhabene Buchbeschläge</t>
        </is>
      </c>
      <c r="S402" t="inlineStr">
        <is>
          <t>&gt; 42 cm</t>
        </is>
      </c>
      <c r="T402" t="inlineStr">
        <is>
          <t>nur sehr geringer Öffnungswinkel</t>
        </is>
      </c>
      <c r="U402" t="inlineStr">
        <is>
          <t>fester Rücken mit Schmuckprägung, Schrift bis in den Falz, erhabene Illuminationen</t>
        </is>
      </c>
      <c r="V402" t="inlineStr">
        <is>
          <t>nicht auflegen</t>
        </is>
      </c>
      <c r="W402" t="inlineStr"/>
      <c r="X402" t="inlineStr"/>
      <c r="Y402" t="n">
        <v>0</v>
      </c>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t>
        </is>
      </c>
      <c r="B403" t="b">
        <v>0</v>
      </c>
      <c r="C403" t="inlineStr"/>
      <c r="D403" t="inlineStr"/>
      <c r="E403" t="inlineStr"/>
      <c r="F403">
        <f>HYPERLINK("https://portal.dnb.de/opac.htm?method=simpleSearch&amp;cqlMode=true&amp;query=idn%3D", "Portal")</f>
        <v/>
      </c>
      <c r="G403" t="inlineStr"/>
      <c r="H403" t="inlineStr"/>
      <c r="I403" t="inlineStr"/>
      <c r="J403" t="inlineStr"/>
      <c r="K403" t="inlineStr"/>
      <c r="L403" t="inlineStr">
        <is>
          <t>II 30,2i - 3</t>
        </is>
      </c>
      <c r="M403" t="inlineStr"/>
      <c r="N403" t="inlineStr"/>
      <c r="O403" t="inlineStr"/>
      <c r="P403" t="inlineStr">
        <is>
          <t>X</t>
        </is>
      </c>
      <c r="Q403" t="inlineStr"/>
      <c r="R403" t="inlineStr">
        <is>
          <t>Halbledereinband, Schließen, erhabene Buchbeschläge</t>
        </is>
      </c>
      <c r="S403" t="inlineStr">
        <is>
          <t>&gt; 42 cm</t>
        </is>
      </c>
      <c r="T403" t="inlineStr">
        <is>
          <t>nur sehr geringer Öffnungswinkel</t>
        </is>
      </c>
      <c r="U403" t="inlineStr">
        <is>
          <t>fester Rücken mit Schmuckprägung, Schrift bis in den Falz, erhabene Illuminationen</t>
        </is>
      </c>
      <c r="V403" t="inlineStr">
        <is>
          <t>nicht auflegen</t>
        </is>
      </c>
      <c r="W403" t="inlineStr"/>
      <c r="X403" t="inlineStr"/>
      <c r="Y403" t="n">
        <v>0</v>
      </c>
      <c r="Z403" t="inlineStr"/>
      <c r="AA403" t="inlineStr">
        <is>
          <t>Lesezeichen an Seiten angebracht</t>
        </is>
      </c>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t>
        </is>
      </c>
      <c r="B404" t="b">
        <v>0</v>
      </c>
      <c r="C404" t="inlineStr"/>
      <c r="D404" t="inlineStr"/>
      <c r="E404" t="inlineStr"/>
      <c r="F404">
        <f>HYPERLINK("https://portal.dnb.de/opac.htm?method=simpleSearch&amp;cqlMode=true&amp;query=idn%3D", "Portal")</f>
        <v/>
      </c>
      <c r="G404" t="inlineStr"/>
      <c r="H404" t="inlineStr"/>
      <c r="I404" t="inlineStr"/>
      <c r="J404" t="inlineStr"/>
      <c r="K404" t="inlineStr"/>
      <c r="L404" t="inlineStr">
        <is>
          <t>II 30,2i - 4</t>
        </is>
      </c>
      <c r="M404" t="inlineStr"/>
      <c r="N404" t="inlineStr"/>
      <c r="O404" t="inlineStr"/>
      <c r="P404" t="inlineStr">
        <is>
          <t>X</t>
        </is>
      </c>
      <c r="Q404" t="inlineStr"/>
      <c r="R404" t="inlineStr">
        <is>
          <t>Halbledereinband, Schließen, erhabene Buchbeschläge</t>
        </is>
      </c>
      <c r="S404" t="inlineStr">
        <is>
          <t>&gt; 42 cm</t>
        </is>
      </c>
      <c r="T404" t="inlineStr">
        <is>
          <t>nur sehr geringer Öffnungswinkel</t>
        </is>
      </c>
      <c r="U404" t="inlineStr">
        <is>
          <t>fester Rücken mit Schmuckprägung, Schrift bis in den Falz, erhabene Illuminationen</t>
        </is>
      </c>
      <c r="V404" t="inlineStr">
        <is>
          <t>nicht auflegen</t>
        </is>
      </c>
      <c r="W404" t="inlineStr"/>
      <c r="X404" t="inlineStr"/>
      <c r="Y404" t="n">
        <v>0</v>
      </c>
      <c r="Z404" t="inlineStr"/>
      <c r="AA404" t="inlineStr">
        <is>
          <t>Lesezeichen an Seiten angebracht</t>
        </is>
      </c>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n">
        <v>0</v>
      </c>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t>
        </is>
      </c>
      <c r="B405" t="b">
        <v>1</v>
      </c>
      <c r="C405" t="inlineStr"/>
      <c r="D405" t="inlineStr"/>
      <c r="E405" t="n">
        <v>395</v>
      </c>
      <c r="F405">
        <f>HYPERLINK("https://portal.dnb.de/opac.htm?method=simpleSearch&amp;cqlMode=true&amp;query=idn%3D106696291X", "Portal")</f>
        <v/>
      </c>
      <c r="G405" t="inlineStr">
        <is>
          <t>Aaf</t>
        </is>
      </c>
      <c r="H405" t="inlineStr">
        <is>
          <t>L-1480-316102806</t>
        </is>
      </c>
      <c r="I405" t="inlineStr">
        <is>
          <t>106696291X</t>
        </is>
      </c>
      <c r="J405" t="inlineStr">
        <is>
          <t>II 30,2ia - Fragm.</t>
        </is>
      </c>
      <c r="K405" t="inlineStr">
        <is>
          <t>II 30,2ia - Fragm.</t>
        </is>
      </c>
      <c r="L405" t="inlineStr">
        <is>
          <t>II 30,2ia - Fragm.</t>
        </is>
      </c>
      <c r="M405" t="inlineStr"/>
      <c r="N405" t="inlineStr">
        <is>
          <t xml:space="preserve">Biblia, lat. : </t>
        </is>
      </c>
      <c r="O405" t="inlineStr">
        <is>
          <t xml:space="preserve"> : </t>
        </is>
      </c>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n">
        <v>0</v>
      </c>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II</t>
        </is>
      </c>
      <c r="B406" t="b">
        <v>1</v>
      </c>
      <c r="C406" t="inlineStr"/>
      <c r="D406" t="inlineStr"/>
      <c r="E406" t="n">
        <v>396</v>
      </c>
      <c r="F406">
        <f>HYPERLINK("https://portal.dnb.de/opac.htm?method=simpleSearch&amp;cqlMode=true&amp;query=idn%3D1066968616", "Portal")</f>
        <v/>
      </c>
      <c r="G406" t="inlineStr">
        <is>
          <t>Aa</t>
        </is>
      </c>
      <c r="H406" t="inlineStr">
        <is>
          <t>L-1471-315498870</t>
        </is>
      </c>
      <c r="I406" t="inlineStr">
        <is>
          <t>1066968616</t>
        </is>
      </c>
      <c r="J406" t="inlineStr">
        <is>
          <t>II 30,3 a</t>
        </is>
      </c>
      <c r="K406" t="inlineStr">
        <is>
          <t>II 30,3 a</t>
        </is>
      </c>
      <c r="L406" t="inlineStr">
        <is>
          <t>II 30,3a</t>
        </is>
      </c>
      <c r="M406" t="inlineStr"/>
      <c r="N406" t="inlineStr">
        <is>
          <t xml:space="preserve">Decretum : </t>
        </is>
      </c>
      <c r="O406" t="inlineStr">
        <is>
          <t xml:space="preserve"> : </t>
        </is>
      </c>
      <c r="P406" t="inlineStr"/>
      <c r="Q406" t="inlineStr"/>
      <c r="R406" t="inlineStr"/>
      <c r="S406" t="inlineStr"/>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t>
        </is>
      </c>
      <c r="B407" t="b">
        <v>1</v>
      </c>
      <c r="C407" t="inlineStr">
        <is>
          <t>x</t>
        </is>
      </c>
      <c r="D407" t="inlineStr"/>
      <c r="E407" t="n">
        <v>397</v>
      </c>
      <c r="F407">
        <f>HYPERLINK("https://portal.dnb.de/opac.htm?method=simpleSearch&amp;cqlMode=true&amp;query=idn%3D1066969558", "Portal")</f>
        <v/>
      </c>
      <c r="G407" t="inlineStr">
        <is>
          <t>Aa</t>
        </is>
      </c>
      <c r="H407" t="inlineStr">
        <is>
          <t>L-1472-315499877</t>
        </is>
      </c>
      <c r="I407" t="inlineStr">
        <is>
          <t>1066969558</t>
        </is>
      </c>
      <c r="J407" t="inlineStr">
        <is>
          <t>II 30,3b</t>
        </is>
      </c>
      <c r="K407" t="inlineStr">
        <is>
          <t>II 30,3b</t>
        </is>
      </c>
      <c r="L407" t="inlineStr">
        <is>
          <t>II 30,3b</t>
        </is>
      </c>
      <c r="M407" t="inlineStr"/>
      <c r="N407" t="inlineStr">
        <is>
          <t xml:space="preserve">Institutiones : </t>
        </is>
      </c>
      <c r="O407" t="inlineStr">
        <is>
          <t xml:space="preserve"> : </t>
        </is>
      </c>
      <c r="P407" t="inlineStr"/>
      <c r="Q407" t="inlineStr">
        <is>
          <t>20000,00 EUR</t>
        </is>
      </c>
      <c r="R407" t="inlineStr"/>
      <c r="S407" t="inlineStr">
        <is>
          <t>bis 42 cm</t>
        </is>
      </c>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is>
          <t>L</t>
        </is>
      </c>
      <c r="AJ407" t="inlineStr"/>
      <c r="AK407" t="inlineStr">
        <is>
          <t>x</t>
        </is>
      </c>
      <c r="AL407" t="inlineStr"/>
      <c r="AM407" t="inlineStr">
        <is>
          <t>h/E</t>
        </is>
      </c>
      <c r="AN407" t="inlineStr"/>
      <c r="AO407" t="inlineStr"/>
      <c r="AP407" t="inlineStr"/>
      <c r="AQ407" t="inlineStr"/>
      <c r="AR407" t="inlineStr"/>
      <c r="AS407" t="inlineStr">
        <is>
          <t>Pa</t>
        </is>
      </c>
      <c r="AT407" t="inlineStr"/>
      <c r="AU407" t="inlineStr"/>
      <c r="AV407" t="inlineStr"/>
      <c r="AW407" t="inlineStr"/>
      <c r="AX407" t="inlineStr"/>
      <c r="AY407" t="inlineStr"/>
      <c r="AZ407" t="inlineStr"/>
      <c r="BA407" t="inlineStr"/>
      <c r="BB407" t="inlineStr"/>
      <c r="BC407" t="inlineStr">
        <is>
          <t>I/R</t>
        </is>
      </c>
      <c r="BD407" t="inlineStr">
        <is>
          <t>x</t>
        </is>
      </c>
      <c r="BE407" t="inlineStr"/>
      <c r="BF407" t="inlineStr"/>
      <c r="BG407" t="n">
        <v>110</v>
      </c>
      <c r="BH407" t="inlineStr"/>
      <c r="BI407" t="inlineStr"/>
      <c r="BJ407" t="inlineStr"/>
      <c r="BK407" t="inlineStr"/>
      <c r="BL407" t="inlineStr"/>
      <c r="BM407" t="inlineStr">
        <is>
          <t>ja vor</t>
        </is>
      </c>
      <c r="BN407" t="n">
        <v>1.5</v>
      </c>
      <c r="BO407" t="inlineStr"/>
      <c r="BP407" t="inlineStr"/>
      <c r="BQ407" t="inlineStr"/>
      <c r="BR407" t="inlineStr">
        <is>
          <t>x</t>
        </is>
      </c>
      <c r="BS407" t="inlineStr"/>
      <c r="BT407" t="inlineStr"/>
      <c r="BU407" t="inlineStr"/>
      <c r="BV407" t="inlineStr"/>
      <c r="BW407" t="inlineStr"/>
      <c r="BX407" t="inlineStr"/>
      <c r="BY407" t="inlineStr"/>
      <c r="BZ407" t="inlineStr">
        <is>
          <t>x</t>
        </is>
      </c>
      <c r="CA407" t="inlineStr">
        <is>
          <t>x</t>
        </is>
      </c>
      <c r="CB407" t="inlineStr">
        <is>
          <t>x</t>
        </is>
      </c>
      <c r="CC407" t="inlineStr"/>
      <c r="CD407" t="inlineStr"/>
      <c r="CE407" t="inlineStr"/>
      <c r="CF407" t="inlineStr"/>
      <c r="CG407" t="inlineStr"/>
      <c r="CH407" t="inlineStr"/>
      <c r="CI407" t="inlineStr"/>
      <c r="CJ407" t="inlineStr"/>
      <c r="CK407" t="inlineStr"/>
      <c r="CL407" t="inlineStr"/>
      <c r="CM407" t="n">
        <v>1</v>
      </c>
      <c r="CN407" t="inlineStr"/>
      <c r="CO407" t="inlineStr">
        <is>
          <t>x</t>
        </is>
      </c>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n">
        <v>0.5</v>
      </c>
      <c r="DG407" t="inlineStr">
        <is>
          <t>Vorsätze v.a. in den Gewebefälze reinigen</t>
        </is>
      </c>
    </row>
    <row r="408">
      <c r="A408" t="inlineStr">
        <is>
          <t>II</t>
        </is>
      </c>
      <c r="B408" t="b">
        <v>1</v>
      </c>
      <c r="C408" t="inlineStr"/>
      <c r="D408" t="inlineStr"/>
      <c r="E408" t="n">
        <v>398</v>
      </c>
      <c r="F408">
        <f>HYPERLINK("https://portal.dnb.de/opac.htm?method=simpleSearch&amp;cqlMode=true&amp;query=idn%3D1066968535", "Portal")</f>
        <v/>
      </c>
      <c r="G408" t="inlineStr">
        <is>
          <t>Aaf</t>
        </is>
      </c>
      <c r="H408" t="inlineStr">
        <is>
          <t>L-1472-31549879X</t>
        </is>
      </c>
      <c r="I408" t="inlineStr">
        <is>
          <t>1066968535</t>
        </is>
      </c>
      <c r="J408" t="inlineStr">
        <is>
          <t>II 30,3 c</t>
        </is>
      </c>
      <c r="K408" t="inlineStr">
        <is>
          <t>II 30,3 c</t>
        </is>
      </c>
      <c r="L408" t="inlineStr">
        <is>
          <t>II 30,3c</t>
        </is>
      </c>
      <c r="M408" t="inlineStr"/>
      <c r="N408" t="inlineStr">
        <is>
          <t xml:space="preserve">Decretum : </t>
        </is>
      </c>
      <c r="O408" t="inlineStr">
        <is>
          <t xml:space="preserve"> : </t>
        </is>
      </c>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t>
        </is>
      </c>
      <c r="B409" t="b">
        <v>1</v>
      </c>
      <c r="C409" t="inlineStr"/>
      <c r="D409" t="inlineStr"/>
      <c r="E409" t="n">
        <v>399</v>
      </c>
      <c r="F409">
        <f>HYPERLINK("https://portal.dnb.de/opac.htm?method=simpleSearch&amp;cqlMode=true&amp;query=idn%3D1066970661", "Portal")</f>
        <v/>
      </c>
      <c r="G409" t="inlineStr">
        <is>
          <t>Aaf</t>
        </is>
      </c>
      <c r="H409" t="inlineStr">
        <is>
          <t>L-1474-315501014</t>
        </is>
      </c>
      <c r="I409" t="inlineStr">
        <is>
          <t>1066970661</t>
        </is>
      </c>
      <c r="J409" t="inlineStr">
        <is>
          <t>II 30,3d</t>
        </is>
      </c>
      <c r="K409" t="inlineStr">
        <is>
          <t>II 30,3d</t>
        </is>
      </c>
      <c r="L409" t="inlineStr">
        <is>
          <t>II 30,3d</t>
        </is>
      </c>
      <c r="M409" t="inlineStr"/>
      <c r="N409" t="inlineStr">
        <is>
          <t xml:space="preserve">Vita Christi : </t>
        </is>
      </c>
      <c r="O409" t="inlineStr">
        <is>
          <t xml:space="preserve"> : </t>
        </is>
      </c>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t>
        </is>
      </c>
      <c r="B410" t="b">
        <v>1</v>
      </c>
      <c r="C410" t="inlineStr"/>
      <c r="D410" t="inlineStr"/>
      <c r="E410" t="n">
        <v>400</v>
      </c>
      <c r="F410">
        <f>HYPERLINK("https://portal.dnb.de/opac.htm?method=simpleSearch&amp;cqlMode=true&amp;query=idn%3D1066966257", "Portal")</f>
        <v/>
      </c>
      <c r="G410" t="inlineStr">
        <is>
          <t>Aaf</t>
        </is>
      </c>
      <c r="H410" t="inlineStr">
        <is>
          <t>L-1474-315496541</t>
        </is>
      </c>
      <c r="I410" t="inlineStr">
        <is>
          <t>1066966257</t>
        </is>
      </c>
      <c r="J410" t="inlineStr">
        <is>
          <t>II 30,3 e</t>
        </is>
      </c>
      <c r="K410" t="inlineStr">
        <is>
          <t>II 30,3 e</t>
        </is>
      </c>
      <c r="L410" t="inlineStr">
        <is>
          <t>II 30,3e</t>
        </is>
      </c>
      <c r="M410" t="inlineStr"/>
      <c r="N410" t="inlineStr">
        <is>
          <t xml:space="preserve">Epistolae [u. a.] : </t>
        </is>
      </c>
      <c r="O410" t="inlineStr">
        <is>
          <t xml:space="preserve"> : </t>
        </is>
      </c>
      <c r="P410" t="inlineStr"/>
      <c r="Q410" t="inlineStr"/>
      <c r="R410" t="inlineStr"/>
      <c r="S410" t="inlineStr"/>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n">
        <v>0</v>
      </c>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t>
        </is>
      </c>
      <c r="B411" t="b">
        <v>1</v>
      </c>
      <c r="C411" t="inlineStr">
        <is>
          <t>x</t>
        </is>
      </c>
      <c r="D411" t="inlineStr"/>
      <c r="E411" t="n">
        <v>401</v>
      </c>
      <c r="F411">
        <f>HYPERLINK("https://portal.dnb.de/opac.htm?method=simpleSearch&amp;cqlMode=true&amp;query=idn%3D1066966427", "Portal")</f>
        <v/>
      </c>
      <c r="G411" t="inlineStr">
        <is>
          <t>Aaf</t>
        </is>
      </c>
      <c r="H411" t="inlineStr">
        <is>
          <t>L-1468-315496703</t>
        </is>
      </c>
      <c r="I411" t="inlineStr">
        <is>
          <t>1066966427</t>
        </is>
      </c>
      <c r="J411" t="inlineStr">
        <is>
          <t>II 30,3f - Fragm.</t>
        </is>
      </c>
      <c r="K411" t="inlineStr">
        <is>
          <t>II 30,3f - Fragm.</t>
        </is>
      </c>
      <c r="L411" t="inlineStr">
        <is>
          <t>II 30,3f - Fragm.</t>
        </is>
      </c>
      <c r="M411" t="inlineStr"/>
      <c r="N411" t="inlineStr">
        <is>
          <t xml:space="preserve">Biblia, lat. : </t>
        </is>
      </c>
      <c r="O411" t="inlineStr">
        <is>
          <t xml:space="preserve"> : </t>
        </is>
      </c>
      <c r="P411" t="inlineStr"/>
      <c r="Q411" t="inlineStr">
        <is>
          <t>450,00 EUR</t>
        </is>
      </c>
      <c r="R411" t="inlineStr"/>
      <c r="S411" t="inlineStr">
        <is>
          <t>bis 42 cm</t>
        </is>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is>
          <t>G</t>
        </is>
      </c>
      <c r="AJ411" t="inlineStr"/>
      <c r="AK411" t="inlineStr">
        <is>
          <t>x</t>
        </is>
      </c>
      <c r="AL411" t="inlineStr"/>
      <c r="AM411" t="inlineStr">
        <is>
          <t>h/E</t>
        </is>
      </c>
      <c r="AN411" t="inlineStr"/>
      <c r="AO411" t="inlineStr"/>
      <c r="AP411" t="inlineStr"/>
      <c r="AQ411" t="inlineStr"/>
      <c r="AR411" t="inlineStr"/>
      <c r="AS411" t="inlineStr">
        <is>
          <t>Pa</t>
        </is>
      </c>
      <c r="AT411" t="inlineStr">
        <is>
          <t>x</t>
        </is>
      </c>
      <c r="AU411" t="inlineStr"/>
      <c r="AV411" t="inlineStr"/>
      <c r="AW411" t="inlineStr"/>
      <c r="AX411" t="inlineStr"/>
      <c r="AY411" t="inlineStr"/>
      <c r="AZ411" t="inlineStr"/>
      <c r="BA411" t="inlineStr"/>
      <c r="BB411" t="inlineStr"/>
      <c r="BC411" t="inlineStr">
        <is>
          <t>I/R</t>
        </is>
      </c>
      <c r="BD411" t="inlineStr">
        <is>
          <t>x</t>
        </is>
      </c>
      <c r="BE411" t="inlineStr"/>
      <c r="BF411" t="inlineStr"/>
      <c r="BG411" t="n">
        <v>110</v>
      </c>
      <c r="BH411" t="inlineStr"/>
      <c r="BI411" t="inlineStr"/>
      <c r="BJ411" t="inlineStr"/>
      <c r="BK411" t="inlineStr"/>
      <c r="BL411" t="inlineStr"/>
      <c r="BM411" t="inlineStr">
        <is>
          <t>ja vor</t>
        </is>
      </c>
      <c r="BN411" t="n">
        <v>2</v>
      </c>
      <c r="BO411" t="inlineStr"/>
      <c r="BP411" t="inlineStr">
        <is>
          <t>Wellpappe</t>
        </is>
      </c>
      <c r="BQ411" t="inlineStr"/>
      <c r="BR411" t="inlineStr"/>
      <c r="BS411" t="inlineStr"/>
      <c r="BT411" t="inlineStr"/>
      <c r="BU411" t="inlineStr"/>
      <c r="BV411" t="inlineStr"/>
      <c r="BW411" t="inlineStr"/>
      <c r="BX411" t="inlineStr"/>
      <c r="BY411" t="inlineStr"/>
      <c r="BZ411" t="inlineStr">
        <is>
          <t>x</t>
        </is>
      </c>
      <c r="CA411" t="inlineStr"/>
      <c r="CB411" t="inlineStr">
        <is>
          <t>x</t>
        </is>
      </c>
      <c r="CC411" t="inlineStr"/>
      <c r="CD411" t="inlineStr">
        <is>
          <t>h</t>
        </is>
      </c>
      <c r="CE411" t="inlineStr"/>
      <c r="CF411" t="inlineStr"/>
      <c r="CG411" t="inlineStr"/>
      <c r="CH411" t="inlineStr"/>
      <c r="CI411" t="inlineStr"/>
      <c r="CJ411" t="inlineStr"/>
      <c r="CK411" t="inlineStr"/>
      <c r="CL411" t="inlineStr"/>
      <c r="CM411" t="n">
        <v>1</v>
      </c>
      <c r="CN411" t="inlineStr"/>
      <c r="CO411" t="inlineStr">
        <is>
          <t>x</t>
        </is>
      </c>
      <c r="CP411" t="inlineStr">
        <is>
          <t>x</t>
        </is>
      </c>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n">
        <v>1</v>
      </c>
      <c r="DG411" t="inlineStr">
        <is>
          <t>Trockenreinigung ges. BB und Vorsätze im Gewebefalz (Schimmelig, alter Schaden)</t>
        </is>
      </c>
    </row>
    <row r="412">
      <c r="A412" t="inlineStr">
        <is>
          <t>II</t>
        </is>
      </c>
      <c r="B412" t="b">
        <v>1</v>
      </c>
      <c r="C412" t="inlineStr"/>
      <c r="D412" t="inlineStr"/>
      <c r="E412" t="n">
        <v>402</v>
      </c>
      <c r="F412">
        <f>HYPERLINK("https://portal.dnb.de/opac.htm?method=simpleSearch&amp;cqlMode=true&amp;query=idn%3D1066966958", "Portal")</f>
        <v/>
      </c>
      <c r="G412" t="inlineStr">
        <is>
          <t>Aaf</t>
        </is>
      </c>
      <c r="H412" t="inlineStr">
        <is>
          <t>L-1474-315497254</t>
        </is>
      </c>
      <c r="I412" t="inlineStr">
        <is>
          <t>1066966958</t>
        </is>
      </c>
      <c r="J412" t="inlineStr">
        <is>
          <t>II 30,3h</t>
        </is>
      </c>
      <c r="K412" t="inlineStr">
        <is>
          <t>II 30,3h</t>
        </is>
      </c>
      <c r="L412" t="inlineStr">
        <is>
          <t>II 30,3h</t>
        </is>
      </c>
      <c r="M412" t="inlineStr"/>
      <c r="N412" t="inlineStr">
        <is>
          <t xml:space="preserve">Soliloquium : </t>
        </is>
      </c>
      <c r="O412" t="inlineStr">
        <is>
          <t xml:space="preserve"> : </t>
        </is>
      </c>
      <c r="P412" t="inlineStr">
        <is>
          <t>x</t>
        </is>
      </c>
      <c r="Q412" t="inlineStr"/>
      <c r="R412" t="inlineStr">
        <is>
          <t>Halbpergamentband</t>
        </is>
      </c>
      <c r="S412" t="inlineStr">
        <is>
          <t>bis 35 cm</t>
        </is>
      </c>
      <c r="T412" t="inlineStr">
        <is>
          <t>80° bis 110°, einseitig digitalisierbar?</t>
        </is>
      </c>
      <c r="U412" t="inlineStr">
        <is>
          <t>hohler Rücken, erhabene Illuminationen</t>
        </is>
      </c>
      <c r="V412" t="inlineStr">
        <is>
          <t>nicht auflegen</t>
        </is>
      </c>
      <c r="W412" t="inlineStr">
        <is>
          <t>Kassette</t>
        </is>
      </c>
      <c r="X412" t="inlineStr">
        <is>
          <t>Nein</t>
        </is>
      </c>
      <c r="Y412" t="n">
        <v>0</v>
      </c>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n">
        <v>0</v>
      </c>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row>
    <row r="413">
      <c r="A413" t="inlineStr">
        <is>
          <t>II</t>
        </is>
      </c>
      <c r="B413" t="b">
        <v>1</v>
      </c>
      <c r="C413" t="inlineStr"/>
      <c r="D413" t="inlineStr"/>
      <c r="E413" t="n">
        <v>403</v>
      </c>
      <c r="F413">
        <f>HYPERLINK("https://portal.dnb.de/opac.htm?method=simpleSearch&amp;cqlMode=true&amp;query=idn%3D1066966990", "Portal")</f>
        <v/>
      </c>
      <c r="G413" t="inlineStr">
        <is>
          <t>Aaf</t>
        </is>
      </c>
      <c r="H413" t="inlineStr">
        <is>
          <t>L-1470-315497297</t>
        </is>
      </c>
      <c r="I413" t="inlineStr">
        <is>
          <t>1066966990</t>
        </is>
      </c>
      <c r="J413" t="inlineStr">
        <is>
          <t>II 30,3i</t>
        </is>
      </c>
      <c r="K413" t="inlineStr">
        <is>
          <t>II 30,3i</t>
        </is>
      </c>
      <c r="L413" t="inlineStr">
        <is>
          <t>II 30,3i</t>
        </is>
      </c>
      <c r="M413" t="inlineStr"/>
      <c r="N413" t="inlineStr">
        <is>
          <t xml:space="preserve">Liber sextus Decretalium : </t>
        </is>
      </c>
      <c r="O413" t="inlineStr">
        <is>
          <t xml:space="preserve"> : </t>
        </is>
      </c>
      <c r="P413" t="inlineStr"/>
      <c r="Q413" t="inlineStr"/>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t>
        </is>
      </c>
      <c r="B414" t="b">
        <v>1</v>
      </c>
      <c r="C414" t="inlineStr"/>
      <c r="D414" t="inlineStr"/>
      <c r="E414" t="n">
        <v>404</v>
      </c>
      <c r="F414">
        <f>HYPERLINK("https://portal.dnb.de/opac.htm?method=simpleSearch&amp;cqlMode=true&amp;query=idn%3D1066968314", "Portal")</f>
        <v/>
      </c>
      <c r="G414" t="inlineStr">
        <is>
          <t>Aaf</t>
        </is>
      </c>
      <c r="H414" t="inlineStr">
        <is>
          <t>L-1473-315498560</t>
        </is>
      </c>
      <c r="I414" t="inlineStr">
        <is>
          <t>1066968314</t>
        </is>
      </c>
      <c r="J414" t="inlineStr">
        <is>
          <t>II 30,3k</t>
        </is>
      </c>
      <c r="K414" t="inlineStr">
        <is>
          <t>II 30,3k</t>
        </is>
      </c>
      <c r="L414" t="inlineStr">
        <is>
          <t>II 30,3k</t>
        </is>
      </c>
      <c r="M414" t="inlineStr"/>
      <c r="N414" t="inlineStr">
        <is>
          <t xml:space="preserve">Malogranatum : </t>
        </is>
      </c>
      <c r="O414" t="inlineStr">
        <is>
          <t xml:space="preserve"> : </t>
        </is>
      </c>
      <c r="P414" t="inlineStr"/>
      <c r="Q414" t="inlineStr"/>
      <c r="R414" t="inlineStr"/>
      <c r="S414" t="inlineStr"/>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t>
        </is>
      </c>
      <c r="B415" t="b">
        <v>1</v>
      </c>
      <c r="C415" t="inlineStr"/>
      <c r="D415" t="inlineStr"/>
      <c r="E415" t="n">
        <v>405</v>
      </c>
      <c r="F415">
        <f>HYPERLINK("https://portal.dnb.de/opac.htm?method=simpleSearch&amp;cqlMode=true&amp;query=idn%3D1066968756", "Portal")</f>
        <v/>
      </c>
      <c r="G415" t="inlineStr">
        <is>
          <t>Aaf</t>
        </is>
      </c>
      <c r="H415" t="inlineStr">
        <is>
          <t>L-1470-315499001</t>
        </is>
      </c>
      <c r="I415" t="inlineStr">
        <is>
          <t>1066968756</t>
        </is>
      </c>
      <c r="J415" t="inlineStr">
        <is>
          <t>II 30,3l</t>
        </is>
      </c>
      <c r="K415" t="inlineStr">
        <is>
          <t>II 30,3l</t>
        </is>
      </c>
      <c r="L415" t="inlineStr">
        <is>
          <t>II 30,3l</t>
        </is>
      </c>
      <c r="M415" t="inlineStr"/>
      <c r="N415" t="inlineStr">
        <is>
          <t xml:space="preserve">Decretales : </t>
        </is>
      </c>
      <c r="O415" t="inlineStr">
        <is>
          <t xml:space="preserve"> : </t>
        </is>
      </c>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t>
        </is>
      </c>
      <c r="B416" t="b">
        <v>1</v>
      </c>
      <c r="C416" t="inlineStr">
        <is>
          <t>x</t>
        </is>
      </c>
      <c r="D416" t="inlineStr"/>
      <c r="E416" t="n">
        <v>406</v>
      </c>
      <c r="F416">
        <f>HYPERLINK("https://portal.dnb.de/opac.htm?method=simpleSearch&amp;cqlMode=true&amp;query=idn%3D106696940X", "Portal")</f>
        <v/>
      </c>
      <c r="G416" t="inlineStr">
        <is>
          <t>Aaf</t>
        </is>
      </c>
      <c r="H416" t="inlineStr">
        <is>
          <t>L-1473-315499729</t>
        </is>
      </c>
      <c r="I416" t="inlineStr">
        <is>
          <t>106696940X</t>
        </is>
      </c>
      <c r="J416" t="inlineStr">
        <is>
          <t>II 30,3m</t>
        </is>
      </c>
      <c r="K416" t="inlineStr">
        <is>
          <t>II 30,3m</t>
        </is>
      </c>
      <c r="L416" t="inlineStr">
        <is>
          <t>II 30,3m</t>
        </is>
      </c>
      <c r="M416" t="inlineStr"/>
      <c r="N416" t="inlineStr">
        <is>
          <t xml:space="preserve">Liber de contemptu mundi sive De miseria humanae conditionis : </t>
        </is>
      </c>
      <c r="O416" t="inlineStr">
        <is>
          <t xml:space="preserve"> : </t>
        </is>
      </c>
      <c r="P416" t="inlineStr">
        <is>
          <t>x</t>
        </is>
      </c>
      <c r="Q416" t="inlineStr">
        <is>
          <t>8000,00 EUR</t>
        </is>
      </c>
      <c r="R416" t="inlineStr">
        <is>
          <t>Ledereinband</t>
        </is>
      </c>
      <c r="S416" t="inlineStr">
        <is>
          <t>bis 25 cm</t>
        </is>
      </c>
      <c r="T416" t="inlineStr">
        <is>
          <t>nur sehr geringer Öffnungswinkel</t>
        </is>
      </c>
      <c r="U416" t="inlineStr">
        <is>
          <t>hohler Rücken, erhabene Illuminationen</t>
        </is>
      </c>
      <c r="V416" t="inlineStr">
        <is>
          <t>nicht auflegen</t>
        </is>
      </c>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is>
          <t>HD</t>
        </is>
      </c>
      <c r="AJ416" t="inlineStr"/>
      <c r="AK416" t="inlineStr">
        <is>
          <t>x</t>
        </is>
      </c>
      <c r="AL416" t="inlineStr"/>
      <c r="AM416" t="inlineStr">
        <is>
          <t>f/V</t>
        </is>
      </c>
      <c r="AN416" t="inlineStr"/>
      <c r="AO416" t="inlineStr"/>
      <c r="AP416" t="inlineStr"/>
      <c r="AQ416" t="inlineStr"/>
      <c r="AR416" t="inlineStr"/>
      <c r="AS416" t="inlineStr">
        <is>
          <t>Pa</t>
        </is>
      </c>
      <c r="AT416" t="inlineStr"/>
      <c r="AU416" t="inlineStr"/>
      <c r="AV416" t="inlineStr"/>
      <c r="AW416" t="inlineStr"/>
      <c r="AX416" t="inlineStr"/>
      <c r="AY416" t="inlineStr"/>
      <c r="AZ416" t="inlineStr"/>
      <c r="BA416" t="inlineStr"/>
      <c r="BB416" t="inlineStr"/>
      <c r="BC416" t="inlineStr">
        <is>
          <t>I/R</t>
        </is>
      </c>
      <c r="BD416" t="inlineStr">
        <is>
          <t>x</t>
        </is>
      </c>
      <c r="BE416" t="inlineStr"/>
      <c r="BF416" t="inlineStr"/>
      <c r="BG416" t="n">
        <v>45</v>
      </c>
      <c r="BH416" t="inlineStr"/>
      <c r="BI416" t="inlineStr"/>
      <c r="BJ416" t="inlineStr"/>
      <c r="BK416" t="inlineStr"/>
      <c r="BL416" t="inlineStr"/>
      <c r="BM416" t="inlineStr">
        <is>
          <t>ja vor</t>
        </is>
      </c>
      <c r="BN416" t="n">
        <v>0.5</v>
      </c>
      <c r="BO416" t="inlineStr"/>
      <c r="BP416" t="inlineStr">
        <is>
          <t>Wellpappe</t>
        </is>
      </c>
      <c r="BQ416" t="inlineStr"/>
      <c r="BR416" t="inlineStr"/>
      <c r="BS416" t="inlineStr"/>
      <c r="BT416" t="inlineStr"/>
      <c r="BU416" t="inlineStr"/>
      <c r="BV416" t="inlineStr"/>
      <c r="BW416" t="inlineStr"/>
      <c r="BX416" t="inlineStr"/>
      <c r="BY416" t="inlineStr"/>
      <c r="BZ416" t="inlineStr">
        <is>
          <t>x TS sichern</t>
        </is>
      </c>
      <c r="CA416" t="inlineStr">
        <is>
          <t>x</t>
        </is>
      </c>
      <c r="CB416" t="inlineStr">
        <is>
          <t>x</t>
        </is>
      </c>
      <c r="CC416" t="inlineStr"/>
      <c r="CD416" t="inlineStr"/>
      <c r="CE416" t="inlineStr"/>
      <c r="CF416" t="inlineStr"/>
      <c r="CG416" t="inlineStr"/>
      <c r="CH416" t="inlineStr"/>
      <c r="CI416" t="inlineStr"/>
      <c r="CJ416" t="inlineStr"/>
      <c r="CK416" t="inlineStr"/>
      <c r="CL416" t="inlineStr"/>
      <c r="CM416" t="n">
        <v>0.5</v>
      </c>
      <c r="CN416" t="inlineStr">
        <is>
          <t>Titelschild sichern</t>
        </is>
      </c>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t>
        </is>
      </c>
      <c r="B417" t="b">
        <v>1</v>
      </c>
      <c r="C417" t="inlineStr"/>
      <c r="D417" t="inlineStr"/>
      <c r="E417" t="n">
        <v>407</v>
      </c>
      <c r="F417">
        <f>HYPERLINK("https://portal.dnb.de/opac.htm?method=simpleSearch&amp;cqlMode=true&amp;query=idn%3D106697067X", "Portal")</f>
        <v/>
      </c>
      <c r="G417" t="inlineStr">
        <is>
          <t>Aaf</t>
        </is>
      </c>
      <c r="H417" t="inlineStr">
        <is>
          <t>L-1475-315501022</t>
        </is>
      </c>
      <c r="I417" t="inlineStr">
        <is>
          <t>106697067X</t>
        </is>
      </c>
      <c r="J417" t="inlineStr">
        <is>
          <t>II 30,3n</t>
        </is>
      </c>
      <c r="K417" t="inlineStr">
        <is>
          <t>II 30,3n</t>
        </is>
      </c>
      <c r="L417" t="inlineStr">
        <is>
          <t>II 30,3n</t>
        </is>
      </c>
      <c r="M417" t="inlineStr"/>
      <c r="N417" t="inlineStr">
        <is>
          <t xml:space="preserve">Iter ad Terram Sanctam : </t>
        </is>
      </c>
      <c r="O417" t="inlineStr">
        <is>
          <t xml:space="preserve"> : </t>
        </is>
      </c>
      <c r="P417" t="inlineStr">
        <is>
          <t>X</t>
        </is>
      </c>
      <c r="Q417" t="inlineStr"/>
      <c r="R417" t="inlineStr">
        <is>
          <t>Halbledereinband, Schließen, erhabene Buchbeschläge</t>
        </is>
      </c>
      <c r="S417" t="inlineStr">
        <is>
          <t>bis 35 cm</t>
        </is>
      </c>
      <c r="T417" t="inlineStr">
        <is>
          <t>80° bis 110°, einseitig digitalisierbar?</t>
        </is>
      </c>
      <c r="U417" t="inlineStr">
        <is>
          <t>fester Rücken mit Schmuckprägung, welliger Buchblock, Schrift bis in den Falz</t>
        </is>
      </c>
      <c r="V417" t="inlineStr"/>
      <c r="W417" t="inlineStr">
        <is>
          <t>Kassette</t>
        </is>
      </c>
      <c r="X417" t="inlineStr">
        <is>
          <t>Nein</t>
        </is>
      </c>
      <c r="Y417" t="n">
        <v>1</v>
      </c>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t>
        </is>
      </c>
      <c r="B418" t="b">
        <v>1</v>
      </c>
      <c r="C418" t="inlineStr">
        <is>
          <t>x</t>
        </is>
      </c>
      <c r="D418" t="inlineStr"/>
      <c r="E418" t="n">
        <v>408</v>
      </c>
      <c r="F418">
        <f>HYPERLINK("https://portal.dnb.de/opac.htm?method=simpleSearch&amp;cqlMode=true&amp;query=idn%3D1066971536", "Portal")</f>
        <v/>
      </c>
      <c r="G418" t="inlineStr">
        <is>
          <t>Aaf</t>
        </is>
      </c>
      <c r="H418" t="inlineStr">
        <is>
          <t>L-1471-31550191X</t>
        </is>
      </c>
      <c r="I418" t="inlineStr">
        <is>
          <t>1066971536</t>
        </is>
      </c>
      <c r="J418" t="inlineStr">
        <is>
          <t>II 30, 3o</t>
        </is>
      </c>
      <c r="K418" t="inlineStr">
        <is>
          <t>II 30,3o</t>
        </is>
      </c>
      <c r="L418" t="inlineStr">
        <is>
          <t>II 30,3o</t>
        </is>
      </c>
      <c r="M418" t="inlineStr"/>
      <c r="N418" t="inlineStr">
        <is>
          <t xml:space="preserve">Sententiarum libri IV : </t>
        </is>
      </c>
      <c r="O418" t="inlineStr">
        <is>
          <t xml:space="preserve"> : </t>
        </is>
      </c>
      <c r="P418" t="inlineStr"/>
      <c r="Q418" t="inlineStr">
        <is>
          <t>32500,00 GBP</t>
        </is>
      </c>
      <c r="R418" t="inlineStr"/>
      <c r="S418" t="inlineStr">
        <is>
          <t>bis 42 cm</t>
        </is>
      </c>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is>
          <t>HD</t>
        </is>
      </c>
      <c r="AJ418" t="inlineStr"/>
      <c r="AK418" t="inlineStr">
        <is>
          <t>x</t>
        </is>
      </c>
      <c r="AL418" t="inlineStr"/>
      <c r="AM418" t="inlineStr">
        <is>
          <t>f/V</t>
        </is>
      </c>
      <c r="AN418" t="inlineStr"/>
      <c r="AO418" t="inlineStr"/>
      <c r="AP418" t="inlineStr"/>
      <c r="AQ418" t="inlineStr"/>
      <c r="AR418" t="inlineStr"/>
      <c r="AS418" t="inlineStr">
        <is>
          <t>Pa</t>
        </is>
      </c>
      <c r="AT418" t="inlineStr"/>
      <c r="AU418" t="inlineStr"/>
      <c r="AV418" t="inlineStr"/>
      <c r="AW418" t="inlineStr"/>
      <c r="AX418" t="inlineStr"/>
      <c r="AY418" t="inlineStr"/>
      <c r="AZ418" t="inlineStr"/>
      <c r="BA418" t="inlineStr"/>
      <c r="BB418" t="inlineStr"/>
      <c r="BC418" t="inlineStr"/>
      <c r="BD418" t="inlineStr"/>
      <c r="BE418" t="inlineStr"/>
      <c r="BF418" t="inlineStr"/>
      <c r="BG418" t="n">
        <v>0</v>
      </c>
      <c r="BH418" t="inlineStr">
        <is>
          <t xml:space="preserve">
wegen Rücken und im Falz zusammengeklebten Seiten (ginge nur bei 110, aber das ist für den Rücken zu viel)</t>
        </is>
      </c>
      <c r="BI418" t="inlineStr"/>
      <c r="BJ418" t="inlineStr"/>
      <c r="BK418" t="inlineStr"/>
      <c r="BL418" t="inlineStr"/>
      <c r="BM418" t="inlineStr">
        <is>
          <t>ja ÖW=0</t>
        </is>
      </c>
      <c r="BN418" t="n">
        <v>7.5</v>
      </c>
      <c r="BO418" t="inlineStr"/>
      <c r="BP418" t="inlineStr"/>
      <c r="BQ418" t="inlineStr"/>
      <c r="BR418" t="inlineStr">
        <is>
          <t>x</t>
        </is>
      </c>
      <c r="BS418" t="inlineStr"/>
      <c r="BT418" t="inlineStr"/>
      <c r="BU418" t="inlineStr"/>
      <c r="BV418" t="inlineStr"/>
      <c r="BW418" t="inlineStr"/>
      <c r="BX418" t="inlineStr"/>
      <c r="BY418" t="inlineStr"/>
      <c r="BZ418" t="inlineStr">
        <is>
          <t>x</t>
        </is>
      </c>
      <c r="CA418" t="inlineStr">
        <is>
          <t>x</t>
        </is>
      </c>
      <c r="CB418" t="inlineStr">
        <is>
          <t>x</t>
        </is>
      </c>
      <c r="CC418" t="inlineStr"/>
      <c r="CD418" t="inlineStr"/>
      <c r="CE418" t="inlineStr"/>
      <c r="CF418" t="inlineStr"/>
      <c r="CG418" t="inlineStr">
        <is>
          <t>x</t>
        </is>
      </c>
      <c r="CH418" t="inlineStr"/>
      <c r="CI418" t="inlineStr"/>
      <c r="CJ418" t="inlineStr"/>
      <c r="CK418" t="inlineStr"/>
      <c r="CL418" t="inlineStr"/>
      <c r="CM418" t="n">
        <v>2</v>
      </c>
      <c r="CN418" t="inlineStr">
        <is>
          <t>Beschlag mit Niete versehen, Loses Leder teils mit JP stabilisieren</t>
        </is>
      </c>
      <c r="CO418" t="inlineStr">
        <is>
          <t>x</t>
        </is>
      </c>
      <c r="CP418" t="inlineStr">
        <is>
          <t>x</t>
        </is>
      </c>
      <c r="CQ418" t="inlineStr"/>
      <c r="CR418" t="inlineStr">
        <is>
          <t>x, hinten im Falz zusammengeklebt</t>
        </is>
      </c>
      <c r="CS418" t="inlineStr"/>
      <c r="CT418" t="inlineStr">
        <is>
          <t>x</t>
        </is>
      </c>
      <c r="CU418" t="inlineStr"/>
      <c r="CV418" t="inlineStr"/>
      <c r="CW418" t="inlineStr"/>
      <c r="CX418" t="inlineStr"/>
      <c r="CY418" t="inlineStr">
        <is>
          <t>x, im Falzbereich</t>
        </is>
      </c>
      <c r="CZ418" t="inlineStr"/>
      <c r="DA418" t="inlineStr"/>
      <c r="DB418" t="inlineStr"/>
      <c r="DC418" t="inlineStr"/>
      <c r="DD418" t="inlineStr"/>
      <c r="DE418" t="inlineStr"/>
      <c r="DF418" t="n">
        <v>5.5</v>
      </c>
      <c r="DG418"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9">
      <c r="A419" t="inlineStr">
        <is>
          <t>II</t>
        </is>
      </c>
      <c r="B419" t="b">
        <v>1</v>
      </c>
      <c r="C419" t="inlineStr"/>
      <c r="D419" t="inlineStr"/>
      <c r="E419" t="n">
        <v>409</v>
      </c>
      <c r="F419">
        <f>HYPERLINK("https://portal.dnb.de/opac.htm?method=simpleSearch&amp;cqlMode=true&amp;query=idn%3D1066965846", "Portal")</f>
        <v/>
      </c>
      <c r="G419" t="inlineStr">
        <is>
          <t>Aaf</t>
        </is>
      </c>
      <c r="H419" t="inlineStr">
        <is>
          <t>L-1473-315496118</t>
        </is>
      </c>
      <c r="I419" t="inlineStr">
        <is>
          <t>1066965846</t>
        </is>
      </c>
      <c r="J419" t="inlineStr">
        <is>
          <t>II 30,5a</t>
        </is>
      </c>
      <c r="K419" t="inlineStr">
        <is>
          <t>II 30,5a</t>
        </is>
      </c>
      <c r="L419" t="inlineStr">
        <is>
          <t>II 30,5a</t>
        </is>
      </c>
      <c r="M419" t="inlineStr"/>
      <c r="N419" t="inlineStr">
        <is>
          <t xml:space="preserve">Manuale : </t>
        </is>
      </c>
      <c r="O419" t="inlineStr">
        <is>
          <t xml:space="preserve"> : </t>
        </is>
      </c>
      <c r="P419" t="inlineStr">
        <is>
          <t>x</t>
        </is>
      </c>
      <c r="Q419" t="inlineStr"/>
      <c r="R419" t="inlineStr">
        <is>
          <t>Halbledereinband, Schließen, erhabene Buchbeschläge</t>
        </is>
      </c>
      <c r="S419" t="inlineStr">
        <is>
          <t>bis 35 cm</t>
        </is>
      </c>
      <c r="T419" t="inlineStr">
        <is>
          <t>80° bis 110°, einseitig digitalisierbar?</t>
        </is>
      </c>
      <c r="U419" t="inlineStr">
        <is>
          <t>fester Rücken mit Schmuckprägung, erhabene Illuminationen</t>
        </is>
      </c>
      <c r="V419" t="inlineStr">
        <is>
          <t>nicht auflegen</t>
        </is>
      </c>
      <c r="W419" t="inlineStr">
        <is>
          <t>Kassette</t>
        </is>
      </c>
      <c r="X419" t="inlineStr">
        <is>
          <t>Nein</t>
        </is>
      </c>
      <c r="Y419" t="n">
        <v>0</v>
      </c>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t>
        </is>
      </c>
      <c r="B420" t="b">
        <v>1</v>
      </c>
      <c r="C420" t="inlineStr"/>
      <c r="D420" t="inlineStr"/>
      <c r="E420" t="n">
        <v>410</v>
      </c>
      <c r="F420">
        <f>HYPERLINK("https://portal.dnb.de/opac.htm?method=simpleSearch&amp;cqlMode=true&amp;query=idn%3D1066966222", "Portal")</f>
        <v/>
      </c>
      <c r="G420" t="inlineStr">
        <is>
          <t>Aaf</t>
        </is>
      </c>
      <c r="H420" t="inlineStr">
        <is>
          <t>L-1474-315496517</t>
        </is>
      </c>
      <c r="I420" t="inlineStr">
        <is>
          <t>1066966222</t>
        </is>
      </c>
      <c r="J420" t="inlineStr">
        <is>
          <t>II 30,5b</t>
        </is>
      </c>
      <c r="K420" t="inlineStr">
        <is>
          <t>II 30,5b</t>
        </is>
      </c>
      <c r="L420" t="inlineStr">
        <is>
          <t>II 30,5b</t>
        </is>
      </c>
      <c r="M420" t="inlineStr"/>
      <c r="N420" t="inlineStr">
        <is>
          <t xml:space="preserve">De contractibus et usuris : </t>
        </is>
      </c>
      <c r="O420" t="inlineStr">
        <is>
          <t xml:space="preserve"> : </t>
        </is>
      </c>
      <c r="P420" t="inlineStr">
        <is>
          <t>X</t>
        </is>
      </c>
      <c r="Q420" t="inlineStr"/>
      <c r="R420" t="inlineStr">
        <is>
          <t>Halbledereinband</t>
        </is>
      </c>
      <c r="S420" t="inlineStr">
        <is>
          <t>bis 35 cm</t>
        </is>
      </c>
      <c r="T420" t="inlineStr">
        <is>
          <t>80° bis 110°, einseitig digitalisierbar?</t>
        </is>
      </c>
      <c r="U420" t="inlineStr">
        <is>
          <t>hohler Rücken, erhabene Illuminationen, stark brüchiges Einbandmaterial</t>
        </is>
      </c>
      <c r="V420" t="inlineStr">
        <is>
          <t>nicht auflegen</t>
        </is>
      </c>
      <c r="W420" t="inlineStr">
        <is>
          <t>Kassette</t>
        </is>
      </c>
      <c r="X420" t="inlineStr">
        <is>
          <t>Nein</t>
        </is>
      </c>
      <c r="Y420" t="n">
        <v>3</v>
      </c>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n">
        <v>0</v>
      </c>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t>
        </is>
      </c>
      <c r="B421" t="b">
        <v>1</v>
      </c>
      <c r="C421" t="inlineStr"/>
      <c r="D421" t="inlineStr"/>
      <c r="E421" t="inlineStr"/>
      <c r="F421">
        <f>HYPERLINK("https://portal.dnb.de/opac.htm?method=simpleSearch&amp;cqlMode=true&amp;query=idn%3D1268950440", "Portal")</f>
        <v/>
      </c>
      <c r="G421" t="inlineStr">
        <is>
          <t>Qd</t>
        </is>
      </c>
      <c r="H421" t="inlineStr">
        <is>
          <t>L-1473-834333201</t>
        </is>
      </c>
      <c r="I421" t="inlineStr">
        <is>
          <t>1268950440</t>
        </is>
      </c>
      <c r="J421" t="inlineStr">
        <is>
          <t>II 30,5c</t>
        </is>
      </c>
      <c r="K421" t="inlineStr">
        <is>
          <t>II 30,5c</t>
        </is>
      </c>
      <c r="L421" t="inlineStr">
        <is>
          <t>II 30,5c</t>
        </is>
      </c>
      <c r="M421" t="inlineStr"/>
      <c r="N421" t="inlineStr">
        <is>
          <t xml:space="preserve">Sammelband mit zwei Inkunabeln, gedruckt in Strassburg von Georg Reyser : </t>
        </is>
      </c>
      <c r="O421" t="inlineStr">
        <is>
          <t xml:space="preserve"> : </t>
        </is>
      </c>
      <c r="P421" t="inlineStr">
        <is>
          <t>X</t>
        </is>
      </c>
      <c r="Q421" t="inlineStr"/>
      <c r="R421" t="inlineStr">
        <is>
          <t>Ledereinband</t>
        </is>
      </c>
      <c r="S421" t="inlineStr">
        <is>
          <t>bis 35 cm</t>
        </is>
      </c>
      <c r="T421" t="inlineStr">
        <is>
          <t>80° bis 110°, einseitig digitalisierbar?</t>
        </is>
      </c>
      <c r="U421" t="inlineStr">
        <is>
          <t>fester Rücken mit Schmuckprägung, erhabene Illuminationen</t>
        </is>
      </c>
      <c r="V421" t="inlineStr">
        <is>
          <t>nicht auflegen</t>
        </is>
      </c>
      <c r="W421" t="inlineStr">
        <is>
          <t>Kassette</t>
        </is>
      </c>
      <c r="X421" t="inlineStr">
        <is>
          <t>Nein</t>
        </is>
      </c>
      <c r="Y421" t="n">
        <v>1</v>
      </c>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t>
        </is>
      </c>
      <c r="B422" t="b">
        <v>1</v>
      </c>
      <c r="C422" t="inlineStr"/>
      <c r="D422" t="inlineStr"/>
      <c r="E422" t="n">
        <v>413</v>
      </c>
      <c r="F422">
        <f>HYPERLINK("https://portal.dnb.de/opac.htm?method=simpleSearch&amp;cqlMode=true&amp;query=idn%3D1066971420", "Portal")</f>
        <v/>
      </c>
      <c r="G422" t="inlineStr">
        <is>
          <t>Aaf</t>
        </is>
      </c>
      <c r="H422" t="inlineStr">
        <is>
          <t>L-1473-315501790</t>
        </is>
      </c>
      <c r="I422" t="inlineStr">
        <is>
          <t>1066971420</t>
        </is>
      </c>
      <c r="J422" t="inlineStr">
        <is>
          <t>II 30,5e</t>
        </is>
      </c>
      <c r="K422" t="inlineStr">
        <is>
          <t>II 30,5e</t>
        </is>
      </c>
      <c r="L422" t="inlineStr">
        <is>
          <t>II 30,5e</t>
        </is>
      </c>
      <c r="M422" t="inlineStr"/>
      <c r="N422" t="inlineStr">
        <is>
          <t xml:space="preserve">Historia scholastica : </t>
        </is>
      </c>
      <c r="O422" t="inlineStr">
        <is>
          <t xml:space="preserve"> : </t>
        </is>
      </c>
      <c r="P422" t="inlineStr">
        <is>
          <t>X</t>
        </is>
      </c>
      <c r="Q422" t="inlineStr"/>
      <c r="R422" t="inlineStr">
        <is>
          <t>Ledereinband</t>
        </is>
      </c>
      <c r="S422" t="inlineStr">
        <is>
          <t>bis 35 cm</t>
        </is>
      </c>
      <c r="T422" t="inlineStr">
        <is>
          <t>80° bis 110°, einseitig digitalisierbar?</t>
        </is>
      </c>
      <c r="U422" t="inlineStr">
        <is>
          <t>hohler Rücken, erhabene Illuminationen</t>
        </is>
      </c>
      <c r="V422" t="inlineStr">
        <is>
          <t>nicht auflegen</t>
        </is>
      </c>
      <c r="W422" t="inlineStr">
        <is>
          <t>Kassette</t>
        </is>
      </c>
      <c r="X422" t="inlineStr">
        <is>
          <t>Nein</t>
        </is>
      </c>
      <c r="Y422" t="n">
        <v>0</v>
      </c>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t>
        </is>
      </c>
      <c r="B423" t="b">
        <v>1</v>
      </c>
      <c r="C423" t="inlineStr"/>
      <c r="D423" t="inlineStr"/>
      <c r="E423" t="n">
        <v>414</v>
      </c>
      <c r="F423">
        <f>HYPERLINK("https://portal.dnb.de/opac.htm?method=simpleSearch&amp;cqlMode=true&amp;query=idn%3D1066971099", "Portal")</f>
        <v/>
      </c>
      <c r="G423" t="inlineStr">
        <is>
          <t>Aaf</t>
        </is>
      </c>
      <c r="H423" t="inlineStr">
        <is>
          <t>L-1474-315501456</t>
        </is>
      </c>
      <c r="I423" t="inlineStr">
        <is>
          <t>1066971099</t>
        </is>
      </c>
      <c r="J423" t="inlineStr">
        <is>
          <t>II 30,5f</t>
        </is>
      </c>
      <c r="K423" t="inlineStr">
        <is>
          <t>II 30,5f</t>
        </is>
      </c>
      <c r="L423" t="inlineStr">
        <is>
          <t>II 30,5f</t>
        </is>
      </c>
      <c r="M423" t="inlineStr"/>
      <c r="N423" t="inlineStr">
        <is>
          <t xml:space="preserve">Auslegung der Psalmen : </t>
        </is>
      </c>
      <c r="O423" t="inlineStr">
        <is>
          <t xml:space="preserve"> : </t>
        </is>
      </c>
      <c r="P423" t="inlineStr">
        <is>
          <t>X</t>
        </is>
      </c>
      <c r="Q423" t="inlineStr"/>
      <c r="R423" t="inlineStr">
        <is>
          <t>Ledereinband</t>
        </is>
      </c>
      <c r="S423" t="inlineStr">
        <is>
          <t>bis 35 cm</t>
        </is>
      </c>
      <c r="T423" t="inlineStr">
        <is>
          <t>80° bis 110°, einseitig digitalisierbar?</t>
        </is>
      </c>
      <c r="U423" t="inlineStr">
        <is>
          <t>hohler Rücken, welliger Buchblock, erhabene Illuminationen</t>
        </is>
      </c>
      <c r="V423" t="inlineStr">
        <is>
          <t>nicht auflegen</t>
        </is>
      </c>
      <c r="W423" t="inlineStr">
        <is>
          <t>Kassette</t>
        </is>
      </c>
      <c r="X423" t="inlineStr">
        <is>
          <t>Nein</t>
        </is>
      </c>
      <c r="Y423" t="n">
        <v>0</v>
      </c>
      <c r="Z423" t="inlineStr"/>
      <c r="AA423" t="inlineStr">
        <is>
          <t>gereinigt</t>
        </is>
      </c>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t>
        </is>
      </c>
      <c r="B424" t="b">
        <v>1</v>
      </c>
      <c r="C424" t="inlineStr"/>
      <c r="D424" t="inlineStr"/>
      <c r="E424" t="n">
        <v>415</v>
      </c>
      <c r="F424">
        <f>HYPERLINK("https://portal.dnb.de/opac.htm?method=simpleSearch&amp;cqlMode=true&amp;query=idn%3D1066972567", "Portal")</f>
        <v/>
      </c>
      <c r="G424" t="inlineStr">
        <is>
          <t>Aaf</t>
        </is>
      </c>
      <c r="H424" t="inlineStr">
        <is>
          <t>L-1474-315502983</t>
        </is>
      </c>
      <c r="I424" t="inlineStr">
        <is>
          <t>1066972567</t>
        </is>
      </c>
      <c r="J424" t="inlineStr">
        <is>
          <t>II 30,5g</t>
        </is>
      </c>
      <c r="K424" t="inlineStr">
        <is>
          <t>II 30,5g</t>
        </is>
      </c>
      <c r="L424" t="inlineStr">
        <is>
          <t>II 30,5g</t>
        </is>
      </c>
      <c r="M424" t="inlineStr"/>
      <c r="N424" t="inlineStr">
        <is>
          <t xml:space="preserve">Summa contra gentiles sive De veritate catholicae fidei : </t>
        </is>
      </c>
      <c r="O424" t="inlineStr">
        <is>
          <t xml:space="preserve"> : </t>
        </is>
      </c>
      <c r="P424" t="inlineStr"/>
      <c r="Q424" t="inlineStr"/>
      <c r="R424" t="inlineStr"/>
      <c r="S424" t="inlineStr"/>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t>
        </is>
      </c>
      <c r="B425" t="b">
        <v>1</v>
      </c>
      <c r="C425" t="inlineStr"/>
      <c r="D425" t="inlineStr"/>
      <c r="E425" t="n">
        <v>416</v>
      </c>
      <c r="F425">
        <f>HYPERLINK("https://portal.dnb.de/opac.htm?method=simpleSearch&amp;cqlMode=true&amp;query=idn%3D1066966168", "Portal")</f>
        <v/>
      </c>
      <c r="G425" t="inlineStr">
        <is>
          <t>Aaf</t>
        </is>
      </c>
      <c r="H425" t="inlineStr">
        <is>
          <t>L-1474-315496460</t>
        </is>
      </c>
      <c r="I425" t="inlineStr">
        <is>
          <t>1066966168</t>
        </is>
      </c>
      <c r="J425" t="inlineStr">
        <is>
          <t>II 30,6a</t>
        </is>
      </c>
      <c r="K425" t="inlineStr">
        <is>
          <t>II 30,6a</t>
        </is>
      </c>
      <c r="L425" t="inlineStr">
        <is>
          <t>II 30,6a</t>
        </is>
      </c>
      <c r="M425" t="inlineStr"/>
      <c r="N425" t="inlineStr">
        <is>
          <t xml:space="preserve">Liber Bibliae moralis : </t>
        </is>
      </c>
      <c r="O425" t="inlineStr">
        <is>
          <t xml:space="preserve"> : </t>
        </is>
      </c>
      <c r="P425" t="inlineStr"/>
      <c r="Q425" t="inlineStr"/>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t>
        </is>
      </c>
      <c r="B426" t="b">
        <v>1</v>
      </c>
      <c r="C426" t="inlineStr"/>
      <c r="D426" t="inlineStr"/>
      <c r="E426" t="n">
        <v>417</v>
      </c>
      <c r="F426">
        <f>HYPERLINK("https://portal.dnb.de/opac.htm?method=simpleSearch&amp;cqlMode=true&amp;query=idn%3D1066964769", "Portal")</f>
        <v/>
      </c>
      <c r="G426" t="inlineStr">
        <is>
          <t>Aaf</t>
        </is>
      </c>
      <c r="H426" t="inlineStr">
        <is>
          <t>L-1474-315494956</t>
        </is>
      </c>
      <c r="I426" t="inlineStr">
        <is>
          <t>1066964769</t>
        </is>
      </c>
      <c r="J426" t="inlineStr">
        <is>
          <t>II 30,6b</t>
        </is>
      </c>
      <c r="K426" t="inlineStr">
        <is>
          <t>II 30,6b</t>
        </is>
      </c>
      <c r="L426" t="inlineStr">
        <is>
          <t>II 30,6b</t>
        </is>
      </c>
      <c r="M426" t="inlineStr"/>
      <c r="N426" t="inlineStr">
        <is>
          <t xml:space="preserve">Distinctiones dictionum theologicalium : </t>
        </is>
      </c>
      <c r="O426" t="inlineStr">
        <is>
          <t xml:space="preserve"> : </t>
        </is>
      </c>
      <c r="P426" t="inlineStr"/>
      <c r="Q426" t="inlineStr"/>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t>
        </is>
      </c>
      <c r="B427" t="b">
        <v>1</v>
      </c>
      <c r="C427" t="inlineStr"/>
      <c r="D427" t="inlineStr"/>
      <c r="E427" t="n">
        <v>418</v>
      </c>
      <c r="F427">
        <f>HYPERLINK("https://portal.dnb.de/opac.htm?method=simpleSearch&amp;cqlMode=true&amp;query=idn%3D1066969329", "Portal")</f>
        <v/>
      </c>
      <c r="G427" t="inlineStr">
        <is>
          <t>Aa</t>
        </is>
      </c>
      <c r="H427" t="inlineStr">
        <is>
          <t>L-1473-315499656</t>
        </is>
      </c>
      <c r="I427" t="inlineStr">
        <is>
          <t>1066969329</t>
        </is>
      </c>
      <c r="J427" t="inlineStr">
        <is>
          <t>II 30,6c</t>
        </is>
      </c>
      <c r="K427" t="inlineStr">
        <is>
          <t>II 30,6c</t>
        </is>
      </c>
      <c r="L427" t="inlineStr">
        <is>
          <t>II 30,6c</t>
        </is>
      </c>
      <c r="M427" t="inlineStr"/>
      <c r="N427" t="inlineStr">
        <is>
          <t xml:space="preserve">Soliloquium in modum dialogi : </t>
        </is>
      </c>
      <c r="O427" t="inlineStr">
        <is>
          <t xml:space="preserve"> : </t>
        </is>
      </c>
      <c r="P427" t="inlineStr">
        <is>
          <t>X</t>
        </is>
      </c>
      <c r="Q427" t="inlineStr"/>
      <c r="R427" t="inlineStr">
        <is>
          <t>Pergamentband</t>
        </is>
      </c>
      <c r="S427" t="inlineStr">
        <is>
          <t>bis 35 cm</t>
        </is>
      </c>
      <c r="T427" t="inlineStr">
        <is>
          <t>80° bis 110°, einseitig digitalisierbar?</t>
        </is>
      </c>
      <c r="U427" t="inlineStr">
        <is>
          <t>hohler Rücken</t>
        </is>
      </c>
      <c r="V427" t="inlineStr"/>
      <c r="W427" t="inlineStr">
        <is>
          <t>Kassette</t>
        </is>
      </c>
      <c r="X427" t="inlineStr">
        <is>
          <t>Nein</t>
        </is>
      </c>
      <c r="Y427" t="n">
        <v>0</v>
      </c>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n">
        <v>0</v>
      </c>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t>
        </is>
      </c>
      <c r="B428" t="b">
        <v>1</v>
      </c>
      <c r="C428" t="inlineStr"/>
      <c r="D428" t="inlineStr"/>
      <c r="E428" t="n">
        <v>419</v>
      </c>
      <c r="F428">
        <f>HYPERLINK("https://portal.dnb.de/opac.htm?method=simpleSearch&amp;cqlMode=true&amp;query=idn%3D1072064456", "Portal")</f>
        <v/>
      </c>
      <c r="G428" t="inlineStr">
        <is>
          <t>Aa</t>
        </is>
      </c>
      <c r="H428" t="inlineStr">
        <is>
          <t>L-1473-326859624</t>
        </is>
      </c>
      <c r="I428" t="inlineStr">
        <is>
          <t>1072064456</t>
        </is>
      </c>
      <c r="J428" t="inlineStr">
        <is>
          <t>II 30,7a</t>
        </is>
      </c>
      <c r="K428" t="inlineStr">
        <is>
          <t>II 30,7a</t>
        </is>
      </c>
      <c r="L428" t="inlineStr">
        <is>
          <t>II 30,7a</t>
        </is>
      </c>
      <c r="M428" t="inlineStr"/>
      <c r="N428" t="inlineStr">
        <is>
          <t xml:space="preserve">Speculum iudiciale : </t>
        </is>
      </c>
      <c r="O428" t="inlineStr">
        <is>
          <t xml:space="preserve"> : </t>
        </is>
      </c>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t>
        </is>
      </c>
      <c r="B429" t="b">
        <v>1</v>
      </c>
      <c r="C429" t="inlineStr"/>
      <c r="D429" t="inlineStr"/>
      <c r="E429" t="n">
        <v>420</v>
      </c>
      <c r="F429">
        <f>HYPERLINK("https://portal.dnb.de/opac.htm?method=simpleSearch&amp;cqlMode=true&amp;query=idn%3D1066971242", "Portal")</f>
        <v/>
      </c>
      <c r="G429" t="inlineStr">
        <is>
          <t>Aa</t>
        </is>
      </c>
      <c r="H429" t="inlineStr">
        <is>
          <t>L-1476-315501618</t>
        </is>
      </c>
      <c r="I429" t="inlineStr">
        <is>
          <t>1066971242</t>
        </is>
      </c>
      <c r="J429" t="inlineStr">
        <is>
          <t>II 30,7b</t>
        </is>
      </c>
      <c r="K429" t="inlineStr">
        <is>
          <t>II 30,7b</t>
        </is>
      </c>
      <c r="L429" t="inlineStr">
        <is>
          <t>II 30,7b</t>
        </is>
      </c>
      <c r="M429" t="inlineStr"/>
      <c r="N429" t="inlineStr">
        <is>
          <t xml:space="preserve">Praeceptorium divinae legis sive Expositio decalogi : </t>
        </is>
      </c>
      <c r="O429" t="inlineStr">
        <is>
          <t xml:space="preserve"> : </t>
        </is>
      </c>
      <c r="P429" t="inlineStr">
        <is>
          <t>X</t>
        </is>
      </c>
      <c r="Q429" t="inlineStr"/>
      <c r="R429" t="inlineStr">
        <is>
          <t>Ledereinband</t>
        </is>
      </c>
      <c r="S429" t="inlineStr">
        <is>
          <t>bis 35 cm</t>
        </is>
      </c>
      <c r="T429" t="inlineStr">
        <is>
          <t>80° bis 110°, einseitig digitalisierbar?</t>
        </is>
      </c>
      <c r="U429" t="inlineStr">
        <is>
          <t>hohler Rücken, welliger Buchblock, erhabene Illuminationen</t>
        </is>
      </c>
      <c r="V429" t="inlineStr">
        <is>
          <t>nicht auflegen</t>
        </is>
      </c>
      <c r="W429" t="inlineStr">
        <is>
          <t>Kassette</t>
        </is>
      </c>
      <c r="X429" t="inlineStr">
        <is>
          <t>Nein</t>
        </is>
      </c>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t>
        </is>
      </c>
      <c r="B430" t="b">
        <v>1</v>
      </c>
      <c r="C430" t="inlineStr"/>
      <c r="D430" t="inlineStr"/>
      <c r="E430" t="n">
        <v>421</v>
      </c>
      <c r="F430">
        <f>HYPERLINK("https://portal.dnb.de/opac.htm?method=simpleSearch&amp;cqlMode=true&amp;query=idn%3D1066965749", "Portal")</f>
        <v/>
      </c>
      <c r="G430" t="inlineStr">
        <is>
          <t>Aaf</t>
        </is>
      </c>
      <c r="H430" t="inlineStr">
        <is>
          <t>L-1475-315495979</t>
        </is>
      </c>
      <c r="I430" t="inlineStr">
        <is>
          <t>1066965749</t>
        </is>
      </c>
      <c r="J430" t="inlineStr">
        <is>
          <t>II 30,7c</t>
        </is>
      </c>
      <c r="K430" t="inlineStr">
        <is>
          <t>II 30,7c</t>
        </is>
      </c>
      <c r="L430" t="inlineStr">
        <is>
          <t>II 30,7c</t>
        </is>
      </c>
      <c r="M430" t="inlineStr"/>
      <c r="N430" t="inlineStr">
        <is>
          <t xml:space="preserve">De duodecim abusionum gradibus : </t>
        </is>
      </c>
      <c r="O430" t="inlineStr">
        <is>
          <t xml:space="preserve"> : </t>
        </is>
      </c>
      <c r="P430" t="inlineStr">
        <is>
          <t>X</t>
        </is>
      </c>
      <c r="Q430" t="inlineStr"/>
      <c r="R430" t="inlineStr">
        <is>
          <t>Halbgewebeband, Schließen, erhabene Buchbeschläge</t>
        </is>
      </c>
      <c r="S430" t="inlineStr">
        <is>
          <t>bis 35 cm</t>
        </is>
      </c>
      <c r="T430" t="inlineStr">
        <is>
          <t>180°</t>
        </is>
      </c>
      <c r="U430" t="inlineStr">
        <is>
          <t>hohler Rücken, erhabene Illuminationen</t>
        </is>
      </c>
      <c r="V430" t="inlineStr">
        <is>
          <t>nicht auflegen</t>
        </is>
      </c>
      <c r="W430" t="inlineStr">
        <is>
          <t>Kassette</t>
        </is>
      </c>
      <c r="X430" t="inlineStr">
        <is>
          <t>Nein</t>
        </is>
      </c>
      <c r="Y430" t="n">
        <v>0</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t>
        </is>
      </c>
      <c r="B431" t="b">
        <v>1</v>
      </c>
      <c r="C431" t="inlineStr"/>
      <c r="D431" t="inlineStr"/>
      <c r="E431" t="n">
        <v>422</v>
      </c>
      <c r="F431">
        <f>HYPERLINK("https://portal.dnb.de/opac.htm?method=simpleSearch&amp;cqlMode=true&amp;query=idn%3D1066969124", "Portal")</f>
        <v/>
      </c>
      <c r="G431" t="inlineStr">
        <is>
          <t>Aaf</t>
        </is>
      </c>
      <c r="H431" t="inlineStr">
        <is>
          <t>L-1476-315499427</t>
        </is>
      </c>
      <c r="I431" t="inlineStr">
        <is>
          <t>1066969124</t>
        </is>
      </c>
      <c r="J431" t="inlineStr">
        <is>
          <t>II 30,7e</t>
        </is>
      </c>
      <c r="K431" t="inlineStr">
        <is>
          <t>II 30,7e</t>
        </is>
      </c>
      <c r="L431" t="inlineStr">
        <is>
          <t>II 30,7e</t>
        </is>
      </c>
      <c r="M431" t="inlineStr"/>
      <c r="N431" t="inlineStr">
        <is>
          <t xml:space="preserve">Liber Discipuli de eruditione Christifidelium : </t>
        </is>
      </c>
      <c r="O431" t="inlineStr">
        <is>
          <t xml:space="preserve"> : </t>
        </is>
      </c>
      <c r="P431" t="inlineStr">
        <is>
          <t>X</t>
        </is>
      </c>
      <c r="Q431" t="inlineStr"/>
      <c r="R431" t="inlineStr">
        <is>
          <t>Halbledereinband, Schließen, erhabene Buchbeschläge</t>
        </is>
      </c>
      <c r="S431" t="inlineStr">
        <is>
          <t>bis 35 cm</t>
        </is>
      </c>
      <c r="T431" t="inlineStr">
        <is>
          <t>80° bis 110°, einseitig digitalisierbar?</t>
        </is>
      </c>
      <c r="U431" t="inlineStr">
        <is>
          <t>hohler Rücken, erhabene Illuminationen</t>
        </is>
      </c>
      <c r="V431" t="inlineStr">
        <is>
          <t>nicht auflegen</t>
        </is>
      </c>
      <c r="W431" t="inlineStr">
        <is>
          <t>Kassette</t>
        </is>
      </c>
      <c r="X431" t="inlineStr">
        <is>
          <t>Nein</t>
        </is>
      </c>
      <c r="Y431" t="n">
        <v>2</v>
      </c>
      <c r="Z431" t="inlineStr"/>
      <c r="AA431" t="inlineStr">
        <is>
          <t>Buchrücken vollständig abgelöst, gereinigt</t>
        </is>
      </c>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t>
        </is>
      </c>
      <c r="B432" t="b">
        <v>1</v>
      </c>
      <c r="C432" t="inlineStr"/>
      <c r="D432" t="inlineStr"/>
      <c r="E432" t="inlineStr"/>
      <c r="F432">
        <f>HYPERLINK("https://portal.dnb.de/opac.htm?method=simpleSearch&amp;cqlMode=true&amp;query=idn%3D1268950890", "Portal")</f>
        <v/>
      </c>
      <c r="G432" t="inlineStr">
        <is>
          <t>Qd</t>
        </is>
      </c>
      <c r="H432" t="inlineStr">
        <is>
          <t>L-1474-834333783</t>
        </is>
      </c>
      <c r="I432" t="inlineStr">
        <is>
          <t>1268950890</t>
        </is>
      </c>
      <c r="J432" t="inlineStr">
        <is>
          <t>II 30,7f</t>
        </is>
      </c>
      <c r="K432" t="inlineStr">
        <is>
          <t>II 30,7f</t>
        </is>
      </c>
      <c r="L432" t="inlineStr">
        <is>
          <t>II 30,7f</t>
        </is>
      </c>
      <c r="M432" t="inlineStr"/>
      <c r="N432" t="inlineStr">
        <is>
          <t xml:space="preserve">Sammelband mit zwei Inkunabeln, gedruckt in Strassburg von Georg Husner : </t>
        </is>
      </c>
      <c r="O432" t="inlineStr">
        <is>
          <t xml:space="preserve"> : </t>
        </is>
      </c>
      <c r="P432" t="inlineStr">
        <is>
          <t>X</t>
        </is>
      </c>
      <c r="Q432" t="inlineStr"/>
      <c r="R432" t="inlineStr">
        <is>
          <t>Ledereinband</t>
        </is>
      </c>
      <c r="S432" t="inlineStr">
        <is>
          <t>bis 35 cm</t>
        </is>
      </c>
      <c r="T432" t="inlineStr">
        <is>
          <t>180°</t>
        </is>
      </c>
      <c r="U432" t="inlineStr">
        <is>
          <t>fester Rücken mit Schmuckprägung, erhabene Illuminationen</t>
        </is>
      </c>
      <c r="V432" t="inlineStr">
        <is>
          <t>nicht auflegen</t>
        </is>
      </c>
      <c r="W432" t="inlineStr">
        <is>
          <t>Kassette</t>
        </is>
      </c>
      <c r="X432" t="inlineStr">
        <is>
          <t>Nein</t>
        </is>
      </c>
      <c r="Y432" t="n">
        <v>1</v>
      </c>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n">
        <v>0</v>
      </c>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t>
        </is>
      </c>
      <c r="B433" t="b">
        <v>1</v>
      </c>
      <c r="C433" t="inlineStr"/>
      <c r="D433" t="inlineStr"/>
      <c r="E433" t="inlineStr"/>
      <c r="F433">
        <f>HYPERLINK("https://portal.dnb.de/opac.htm?method=simpleSearch&amp;cqlMode=true&amp;query=idn%3D1084608782", "Portal")</f>
        <v/>
      </c>
      <c r="G433" t="inlineStr"/>
      <c r="H433" t="inlineStr">
        <is>
          <t>L-1474-352276495</t>
        </is>
      </c>
      <c r="I433" t="inlineStr">
        <is>
          <t>1084608782</t>
        </is>
      </c>
      <c r="J433" t="inlineStr"/>
      <c r="K433" t="inlineStr">
        <is>
          <t>II 30,7f</t>
        </is>
      </c>
      <c r="L433" t="inlineStr">
        <is>
          <t>II 30,7f</t>
        </is>
      </c>
      <c r="M433" t="inlineStr"/>
      <c r="N433" t="inlineStr">
        <is>
          <t xml:space="preserve">De libero arbitrio aliaque opuscula : </t>
        </is>
      </c>
      <c r="O433" t="inlineStr">
        <is>
          <t xml:space="preserve"> : </t>
        </is>
      </c>
      <c r="P433" t="inlineStr"/>
      <c r="Q433" t="inlineStr"/>
      <c r="R433" t="inlineStr"/>
      <c r="S433" t="inlineStr"/>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t>
        </is>
      </c>
      <c r="B434" t="b">
        <v>1</v>
      </c>
      <c r="C434" t="inlineStr"/>
      <c r="D434" t="inlineStr"/>
      <c r="E434" t="n">
        <v>425</v>
      </c>
      <c r="F434">
        <f>HYPERLINK("https://portal.dnb.de/opac.htm?method=simpleSearch&amp;cqlMode=true&amp;query=idn%3D1066966850", "Portal")</f>
        <v/>
      </c>
      <c r="G434" t="inlineStr">
        <is>
          <t>Aaf</t>
        </is>
      </c>
      <c r="H434" t="inlineStr">
        <is>
          <t>L-1415-315497157</t>
        </is>
      </c>
      <c r="I434" t="inlineStr">
        <is>
          <t>1066966850</t>
        </is>
      </c>
      <c r="J434" t="inlineStr">
        <is>
          <t>II 30,7g</t>
        </is>
      </c>
      <c r="K434" t="inlineStr">
        <is>
          <t>II 30,7g</t>
        </is>
      </c>
      <c r="L434" t="inlineStr">
        <is>
          <t>II 30,7g</t>
        </is>
      </c>
      <c r="M434" t="inlineStr"/>
      <c r="N434" t="inlineStr">
        <is>
          <t>De disciplina scholarium : mit Komm.</t>
        </is>
      </c>
      <c r="O434" t="inlineStr">
        <is>
          <t xml:space="preserve"> : </t>
        </is>
      </c>
      <c r="P434" t="inlineStr">
        <is>
          <t>X</t>
        </is>
      </c>
      <c r="Q434" t="inlineStr"/>
      <c r="R434" t="inlineStr">
        <is>
          <t>Pergamentband, Schließen, erhabene Buchbeschläge</t>
        </is>
      </c>
      <c r="S434" t="inlineStr">
        <is>
          <t>bis 25 cm</t>
        </is>
      </c>
      <c r="T434" t="inlineStr">
        <is>
          <t>180°</t>
        </is>
      </c>
      <c r="U434" t="inlineStr">
        <is>
          <t>hohler Rücken, welliger Buchblock</t>
        </is>
      </c>
      <c r="V434" t="inlineStr"/>
      <c r="W434" t="inlineStr">
        <is>
          <t>Kassette</t>
        </is>
      </c>
      <c r="X434" t="inlineStr">
        <is>
          <t>Nein</t>
        </is>
      </c>
      <c r="Y434" t="n">
        <v>0</v>
      </c>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t>
        </is>
      </c>
      <c r="B435" t="b">
        <v>1</v>
      </c>
      <c r="C435" t="inlineStr"/>
      <c r="D435" t="inlineStr"/>
      <c r="E435" t="n">
        <v>426</v>
      </c>
      <c r="F435">
        <f>HYPERLINK("https://portal.dnb.de/opac.htm?method=simpleSearch&amp;cqlMode=true&amp;query=idn%3D1066965927", "Portal")</f>
        <v/>
      </c>
      <c r="G435" t="inlineStr">
        <is>
          <t>Aaf</t>
        </is>
      </c>
      <c r="H435" t="inlineStr">
        <is>
          <t>L-1493-315496215</t>
        </is>
      </c>
      <c r="I435" t="inlineStr">
        <is>
          <t>1066965927</t>
        </is>
      </c>
      <c r="J435" t="inlineStr">
        <is>
          <t>II 30,7h</t>
        </is>
      </c>
      <c r="K435" t="inlineStr">
        <is>
          <t>II 30,7h</t>
        </is>
      </c>
      <c r="L435" t="inlineStr">
        <is>
          <t>II 30,7h</t>
        </is>
      </c>
      <c r="M435" t="inlineStr"/>
      <c r="N435" t="inlineStr">
        <is>
          <t xml:space="preserve">Sermones ad heremitas. [Enth. außerdem:] Homiliae duae : </t>
        </is>
      </c>
      <c r="O435" t="inlineStr">
        <is>
          <t xml:space="preserve"> : </t>
        </is>
      </c>
      <c r="P435" t="inlineStr"/>
      <c r="Q435" t="inlineStr"/>
      <c r="R435" t="inlineStr">
        <is>
          <t>Schließen, erhabene Buchbeschläge</t>
        </is>
      </c>
      <c r="S435" t="inlineStr">
        <is>
          <t>bis 25 cm</t>
        </is>
      </c>
      <c r="T435" t="inlineStr">
        <is>
          <t>80° bis 110°, einseitig digitalisierbar?</t>
        </is>
      </c>
      <c r="U435" t="inlineStr">
        <is>
          <t>erhabene Illuminationen</t>
        </is>
      </c>
      <c r="V435" t="inlineStr">
        <is>
          <t>nicht auflegen</t>
        </is>
      </c>
      <c r="W435" t="inlineStr">
        <is>
          <t>Kassette</t>
        </is>
      </c>
      <c r="X435" t="inlineStr">
        <is>
          <t>Nein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t>
        </is>
      </c>
      <c r="B436" t="b">
        <v>1</v>
      </c>
      <c r="C436" t="inlineStr"/>
      <c r="D436" t="inlineStr"/>
      <c r="E436" t="n">
        <v>427</v>
      </c>
      <c r="F436">
        <f>HYPERLINK("https://portal.dnb.de/opac.htm?method=simpleSearch&amp;cqlMode=true&amp;query=idn%3D1066965927", "Portal")</f>
        <v/>
      </c>
      <c r="G436" t="inlineStr">
        <is>
          <t>Aaf</t>
        </is>
      </c>
      <c r="H436" t="inlineStr">
        <is>
          <t>L-1493-315496207</t>
        </is>
      </c>
      <c r="I436" t="inlineStr">
        <is>
          <t>1066965927</t>
        </is>
      </c>
      <c r="J436" t="inlineStr">
        <is>
          <t>II 30,7ha</t>
        </is>
      </c>
      <c r="K436" t="inlineStr">
        <is>
          <t>II 30,7ha</t>
        </is>
      </c>
      <c r="L436" t="inlineStr">
        <is>
          <t>II 30,7ha</t>
        </is>
      </c>
      <c r="M436" t="inlineStr"/>
      <c r="N436" t="inlineStr">
        <is>
          <t xml:space="preserve">Sermones ad heremitas. [Enth. außerdem:] Homiliae duae : </t>
        </is>
      </c>
      <c r="O436" t="inlineStr">
        <is>
          <t xml:space="preserve"> : </t>
        </is>
      </c>
      <c r="P436" t="inlineStr"/>
      <c r="Q436" t="inlineStr"/>
      <c r="R436" t="inlineStr">
        <is>
          <t>Ledereinband, Schließen, erhabene Buchbeschläge</t>
        </is>
      </c>
      <c r="S436" t="inlineStr">
        <is>
          <t>bis 25 cm</t>
        </is>
      </c>
      <c r="T436" t="inlineStr">
        <is>
          <t>80° bis 110°, einseitig digitalisierbar?</t>
        </is>
      </c>
      <c r="U436" t="inlineStr">
        <is>
          <t>hohler Rücken, welliger Buchblock, Schrift bis in den Falz, erhabene Illuminationen</t>
        </is>
      </c>
      <c r="V436" t="inlineStr">
        <is>
          <t>nicht auflegen</t>
        </is>
      </c>
      <c r="W436" t="inlineStr">
        <is>
          <t>Kassette</t>
        </is>
      </c>
      <c r="X436" t="inlineStr">
        <is>
          <t>Nein</t>
        </is>
      </c>
      <c r="Y436" t="n">
        <v>1</v>
      </c>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t>
        </is>
      </c>
      <c r="B437" t="b">
        <v>1</v>
      </c>
      <c r="C437" t="inlineStr"/>
      <c r="D437" t="inlineStr"/>
      <c r="E437" t="n">
        <v>428</v>
      </c>
      <c r="F437">
        <f>HYPERLINK("https://portal.dnb.de/opac.htm?method=simpleSearch&amp;cqlMode=true&amp;query=idn%3D1066969752", "Portal")</f>
        <v/>
      </c>
      <c r="G437" t="inlineStr">
        <is>
          <t>Aaf</t>
        </is>
      </c>
      <c r="H437" t="inlineStr">
        <is>
          <t>L-1483-315500093</t>
        </is>
      </c>
      <c r="I437" t="inlineStr">
        <is>
          <t>1066969752</t>
        </is>
      </c>
      <c r="J437" t="inlineStr">
        <is>
          <t>II 30,7i</t>
        </is>
      </c>
      <c r="K437" t="inlineStr">
        <is>
          <t>II 30,7i</t>
        </is>
      </c>
      <c r="L437" t="inlineStr">
        <is>
          <t>II 30,7i</t>
        </is>
      </c>
      <c r="M437" t="inlineStr"/>
      <c r="N437" t="inlineStr">
        <is>
          <t xml:space="preserve">Legenda aurea sanctorum sive Lombardica historia : </t>
        </is>
      </c>
      <c r="O437" t="inlineStr">
        <is>
          <t xml:space="preserve"> : </t>
        </is>
      </c>
      <c r="P437" t="inlineStr"/>
      <c r="Q437" t="inlineStr"/>
      <c r="R437" t="inlineStr">
        <is>
          <t>Ledereinband</t>
        </is>
      </c>
      <c r="S437" t="inlineStr">
        <is>
          <t>bis 35 cm</t>
        </is>
      </c>
      <c r="T437" t="inlineStr">
        <is>
          <t>80° bis 110°, einseitig digitalisierbar?</t>
        </is>
      </c>
      <c r="U437" t="inlineStr">
        <is>
          <t>erhabene Illuminationen</t>
        </is>
      </c>
      <c r="V437" t="inlineStr">
        <is>
          <t>nicht auflegen</t>
        </is>
      </c>
      <c r="W437" t="inlineStr">
        <is>
          <t>Kassette</t>
        </is>
      </c>
      <c r="X437" t="inlineStr">
        <is>
          <t>Nein</t>
        </is>
      </c>
      <c r="Y437" t="n">
        <v>0</v>
      </c>
      <c r="Z437" t="inlineStr"/>
      <c r="AA437" t="inlineStr">
        <is>
          <t>Originaleinbandfragm. Separat</t>
        </is>
      </c>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t>
        </is>
      </c>
      <c r="B438" t="b">
        <v>1</v>
      </c>
      <c r="C438" t="inlineStr">
        <is>
          <t>x</t>
        </is>
      </c>
      <c r="D438" t="inlineStr"/>
      <c r="E438" t="n">
        <v>429</v>
      </c>
      <c r="F438">
        <f>HYPERLINK("https://portal.dnb.de/opac.htm?method=simpleSearch&amp;cqlMode=true&amp;query=idn%3D1066969884", "Portal")</f>
        <v/>
      </c>
      <c r="G438" t="inlineStr">
        <is>
          <t>Aaf</t>
        </is>
      </c>
      <c r="H438" t="inlineStr">
        <is>
          <t>L-1482-315500212</t>
        </is>
      </c>
      <c r="I438" t="inlineStr">
        <is>
          <t>1066969884</t>
        </is>
      </c>
      <c r="J438" t="inlineStr">
        <is>
          <t>II 30,8b</t>
        </is>
      </c>
      <c r="K438" t="inlineStr">
        <is>
          <t>II 30,8b</t>
        </is>
      </c>
      <c r="L438" t="inlineStr">
        <is>
          <t>II 30,8b</t>
        </is>
      </c>
      <c r="M438" t="inlineStr"/>
      <c r="N438" t="inlineStr">
        <is>
          <t>Vßlegung vber den boume der sypschafft, Vßlegung vber den boum der mogschafft, mit einem Anhang Zu erclerung des boumes der geistlichen sypschafft ode</t>
        </is>
      </c>
      <c r="O438" t="inlineStr">
        <is>
          <t xml:space="preserve"> : </t>
        </is>
      </c>
      <c r="P438" t="inlineStr">
        <is>
          <t>X</t>
        </is>
      </c>
      <c r="Q438" t="inlineStr">
        <is>
          <t>800,00 EUR</t>
        </is>
      </c>
      <c r="R438" t="inlineStr">
        <is>
          <t>Ledereinband, Schließen, erhabene Buchbeschläge</t>
        </is>
      </c>
      <c r="S438" t="inlineStr">
        <is>
          <t>bis 35 cm</t>
        </is>
      </c>
      <c r="T438" t="inlineStr">
        <is>
          <t>180°</t>
        </is>
      </c>
      <c r="U438" t="inlineStr">
        <is>
          <t>hohler Rücken, welliger Buchblock, erhabene Illuminationen</t>
        </is>
      </c>
      <c r="V438" t="inlineStr"/>
      <c r="W438" t="inlineStr">
        <is>
          <t>Kassette</t>
        </is>
      </c>
      <c r="X438" t="inlineStr">
        <is>
          <t>Nein</t>
        </is>
      </c>
      <c r="Y438" t="n">
        <v>2</v>
      </c>
      <c r="Z438" t="inlineStr"/>
      <c r="AA438" t="inlineStr"/>
      <c r="AB438" t="inlineStr"/>
      <c r="AC438" t="inlineStr"/>
      <c r="AD438" t="inlineStr"/>
      <c r="AE438" t="inlineStr"/>
      <c r="AF438" t="inlineStr"/>
      <c r="AG438" t="inlineStr"/>
      <c r="AH438" t="inlineStr"/>
      <c r="AI438" t="inlineStr">
        <is>
          <t>L</t>
        </is>
      </c>
      <c r="AJ438" t="inlineStr"/>
      <c r="AK438" t="inlineStr">
        <is>
          <t>x</t>
        </is>
      </c>
      <c r="AL438" t="inlineStr"/>
      <c r="AM438" t="inlineStr">
        <is>
          <t>h/E</t>
        </is>
      </c>
      <c r="AN438" t="inlineStr"/>
      <c r="AO438" t="inlineStr"/>
      <c r="AP438" t="inlineStr"/>
      <c r="AQ438" t="inlineStr"/>
      <c r="AR438" t="inlineStr"/>
      <c r="AS438" t="inlineStr">
        <is>
          <t>Pa</t>
        </is>
      </c>
      <c r="AT438" t="inlineStr"/>
      <c r="AU438" t="inlineStr"/>
      <c r="AV438" t="inlineStr"/>
      <c r="AW438" t="inlineStr"/>
      <c r="AX438" t="inlineStr"/>
      <c r="AY438" t="inlineStr"/>
      <c r="AZ438" t="inlineStr"/>
      <c r="BA438" t="inlineStr"/>
      <c r="BB438" t="inlineStr"/>
      <c r="BC438" t="inlineStr">
        <is>
          <t>B</t>
        </is>
      </c>
      <c r="BD438" t="inlineStr">
        <is>
          <t>x</t>
        </is>
      </c>
      <c r="BE438" t="inlineStr"/>
      <c r="BF438" t="inlineStr"/>
      <c r="BG438" t="n">
        <v>110</v>
      </c>
      <c r="BH438" t="inlineStr"/>
      <c r="BI438" t="inlineStr"/>
      <c r="BJ438" t="inlineStr"/>
      <c r="BK438" t="inlineStr"/>
      <c r="BL438" t="inlineStr"/>
      <c r="BM438" t="inlineStr">
        <is>
          <t>ja vor</t>
        </is>
      </c>
      <c r="BN438" t="n">
        <v>1</v>
      </c>
      <c r="BO438" t="inlineStr"/>
      <c r="BP438" t="inlineStr">
        <is>
          <t>Wellpappe</t>
        </is>
      </c>
      <c r="BQ438" t="inlineStr"/>
      <c r="BR438" t="inlineStr"/>
      <c r="BS438" t="inlineStr"/>
      <c r="BT438" t="inlineStr"/>
      <c r="BU438" t="inlineStr"/>
      <c r="BV438" t="inlineStr"/>
      <c r="BW438" t="inlineStr"/>
      <c r="BX438" t="inlineStr"/>
      <c r="BY438" t="inlineStr"/>
      <c r="BZ438" t="inlineStr">
        <is>
          <t>x Minieingriff</t>
        </is>
      </c>
      <c r="CA438" t="inlineStr"/>
      <c r="CB438" t="inlineStr">
        <is>
          <t>x</t>
        </is>
      </c>
      <c r="CC438" t="inlineStr"/>
      <c r="CD438" t="inlineStr"/>
      <c r="CE438" t="inlineStr"/>
      <c r="CF438" t="inlineStr"/>
      <c r="CG438" t="inlineStr"/>
      <c r="CH438" t="inlineStr"/>
      <c r="CI438" t="inlineStr"/>
      <c r="CJ438" t="inlineStr"/>
      <c r="CK438" t="inlineStr"/>
      <c r="CL438" t="inlineStr"/>
      <c r="CM438" t="n">
        <v>1</v>
      </c>
      <c r="CN438" t="inlineStr">
        <is>
          <t>Rücken sichern mit JP</t>
        </is>
      </c>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t>
        </is>
      </c>
      <c r="B439" t="b">
        <v>1</v>
      </c>
      <c r="C439" t="inlineStr">
        <is>
          <t>x</t>
        </is>
      </c>
      <c r="D439" t="inlineStr"/>
      <c r="E439" t="n">
        <v>430</v>
      </c>
      <c r="F439">
        <f>HYPERLINK("https://portal.dnb.de/opac.htm?method=simpleSearch&amp;cqlMode=true&amp;query=idn%3D1066957983", "Portal")</f>
        <v/>
      </c>
      <c r="G439" t="inlineStr">
        <is>
          <t>Aaf</t>
        </is>
      </c>
      <c r="H439" t="inlineStr">
        <is>
          <t>L-1490-31548862X</t>
        </is>
      </c>
      <c r="I439" t="inlineStr">
        <is>
          <t>1066957983</t>
        </is>
      </c>
      <c r="J439" t="inlineStr">
        <is>
          <t>II 30,9b</t>
        </is>
      </c>
      <c r="K439" t="inlineStr">
        <is>
          <t>II 30,9b</t>
        </is>
      </c>
      <c r="L439" t="inlineStr">
        <is>
          <t>II 30,9b</t>
        </is>
      </c>
      <c r="M439" t="inlineStr"/>
      <c r="N439" t="inlineStr">
        <is>
          <t xml:space="preserve">Canones iuxta regulam : </t>
        </is>
      </c>
      <c r="O439" t="inlineStr">
        <is>
          <t xml:space="preserve"> : </t>
        </is>
      </c>
      <c r="P439" t="inlineStr">
        <is>
          <t>X</t>
        </is>
      </c>
      <c r="Q439" t="inlineStr">
        <is>
          <t>7000,00 EUR</t>
        </is>
      </c>
      <c r="R439" t="inlineStr">
        <is>
          <t>Ledereinband, Schließen, erhabene Buchbeschläge</t>
        </is>
      </c>
      <c r="S439" t="inlineStr">
        <is>
          <t>bis 35 cm</t>
        </is>
      </c>
      <c r="T439" t="inlineStr">
        <is>
          <t>180°</t>
        </is>
      </c>
      <c r="U439" t="inlineStr">
        <is>
          <t>fester Rücken mit Schmuckprägung, welliger Buchblock, erhabene Illuminationen, stark brüchiges Einbandmaterial</t>
        </is>
      </c>
      <c r="V439" t="inlineStr">
        <is>
          <t>nicht auflegen</t>
        </is>
      </c>
      <c r="W439" t="inlineStr">
        <is>
          <t>Kassette</t>
        </is>
      </c>
      <c r="X439" t="inlineStr">
        <is>
          <t>Nein</t>
        </is>
      </c>
      <c r="Y439" t="n">
        <v>3</v>
      </c>
      <c r="Z439" t="inlineStr"/>
      <c r="AA439" t="inlineStr"/>
      <c r="AB439" t="inlineStr"/>
      <c r="AC439" t="inlineStr"/>
      <c r="AD439" t="inlineStr"/>
      <c r="AE439" t="inlineStr"/>
      <c r="AF439" t="inlineStr"/>
      <c r="AG439" t="inlineStr"/>
      <c r="AH439" t="inlineStr"/>
      <c r="AI439" t="inlineStr">
        <is>
          <t>HD</t>
        </is>
      </c>
      <c r="AJ439" t="inlineStr"/>
      <c r="AK439" t="inlineStr">
        <is>
          <t>x</t>
        </is>
      </c>
      <c r="AL439" t="inlineStr"/>
      <c r="AM439" t="inlineStr">
        <is>
          <t>f/V</t>
        </is>
      </c>
      <c r="AN439" t="inlineStr"/>
      <c r="AO439" t="inlineStr"/>
      <c r="AP439" t="inlineStr"/>
      <c r="AQ439" t="inlineStr"/>
      <c r="AR439" t="inlineStr"/>
      <c r="AS439" t="inlineStr">
        <is>
          <t>Pa</t>
        </is>
      </c>
      <c r="AT439" t="inlineStr"/>
      <c r="AU439" t="inlineStr"/>
      <c r="AV439" t="inlineStr"/>
      <c r="AW439" t="inlineStr"/>
      <c r="AX439" t="inlineStr"/>
      <c r="AY439" t="inlineStr"/>
      <c r="AZ439" t="inlineStr"/>
      <c r="BA439" t="inlineStr"/>
      <c r="BB439" t="inlineStr"/>
      <c r="BC439" t="inlineStr">
        <is>
          <t>I/R</t>
        </is>
      </c>
      <c r="BD439" t="inlineStr">
        <is>
          <t>x</t>
        </is>
      </c>
      <c r="BE439" t="inlineStr"/>
      <c r="BF439" t="inlineStr"/>
      <c r="BG439" t="n">
        <v>45</v>
      </c>
      <c r="BH439" t="inlineStr"/>
      <c r="BI439" t="inlineStr"/>
      <c r="BJ439" t="inlineStr"/>
      <c r="BK439" t="inlineStr"/>
      <c r="BL439" t="inlineStr"/>
      <c r="BM439" t="inlineStr">
        <is>
          <t>ja vor</t>
        </is>
      </c>
      <c r="BN439" t="n">
        <v>1.5</v>
      </c>
      <c r="BO439" t="inlineStr"/>
      <c r="BP439" t="inlineStr">
        <is>
          <t>Wellpappe</t>
        </is>
      </c>
      <c r="BQ439" t="inlineStr"/>
      <c r="BR439" t="inlineStr"/>
      <c r="BS439" t="inlineStr"/>
      <c r="BT439" t="inlineStr"/>
      <c r="BU439" t="inlineStr"/>
      <c r="BV439" t="inlineStr"/>
      <c r="BW439" t="inlineStr"/>
      <c r="BX439" t="inlineStr"/>
      <c r="BY439" t="inlineStr"/>
      <c r="BZ439" t="inlineStr">
        <is>
          <t>x</t>
        </is>
      </c>
      <c r="CA439" t="inlineStr">
        <is>
          <t>x</t>
        </is>
      </c>
      <c r="CB439" t="inlineStr">
        <is>
          <t>x</t>
        </is>
      </c>
      <c r="CC439" t="inlineStr"/>
      <c r="CD439" t="inlineStr"/>
      <c r="CE439" t="inlineStr"/>
      <c r="CF439" t="inlineStr"/>
      <c r="CG439" t="inlineStr"/>
      <c r="CH439" t="inlineStr"/>
      <c r="CI439" t="inlineStr"/>
      <c r="CJ439" t="inlineStr"/>
      <c r="CK439" t="inlineStr"/>
      <c r="CL439" t="inlineStr"/>
      <c r="CM439" t="n">
        <v>1.5</v>
      </c>
      <c r="CN439" t="inlineStr">
        <is>
          <t>Rücken und Titelschild sichern, Schließe belassen</t>
        </is>
      </c>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t>
        </is>
      </c>
      <c r="B440" t="b">
        <v>1</v>
      </c>
      <c r="C440" t="inlineStr"/>
      <c r="D440" t="inlineStr"/>
      <c r="E440" t="n">
        <v>431</v>
      </c>
      <c r="F440">
        <f>HYPERLINK("https://portal.dnb.de/opac.htm?method=simpleSearch&amp;cqlMode=true&amp;query=idn%3D1066973202", "Portal")</f>
        <v/>
      </c>
      <c r="G440" t="inlineStr">
        <is>
          <t>Aaf</t>
        </is>
      </c>
      <c r="H440" t="inlineStr">
        <is>
          <t>L-1498-315503599</t>
        </is>
      </c>
      <c r="I440" t="inlineStr">
        <is>
          <t>1066973202</t>
        </is>
      </c>
      <c r="J440" t="inlineStr">
        <is>
          <t>II 30,9c</t>
        </is>
      </c>
      <c r="K440" t="inlineStr">
        <is>
          <t>II 30,9c</t>
        </is>
      </c>
      <c r="L440" t="inlineStr">
        <is>
          <t>II 30,9c</t>
        </is>
      </c>
      <c r="M440" t="inlineStr"/>
      <c r="N440" t="inlineStr">
        <is>
          <t xml:space="preserve">Philippica in laudem et defensionem Philippi comitis Rheni Palatini Bavariae ducis : </t>
        </is>
      </c>
      <c r="O440" t="inlineStr">
        <is>
          <t xml:space="preserve"> : </t>
        </is>
      </c>
      <c r="P440" t="inlineStr">
        <is>
          <t>x</t>
        </is>
      </c>
      <c r="Q440" t="inlineStr"/>
      <c r="R440" t="inlineStr">
        <is>
          <t>Halbledereinband, Schließen, erhabene Buchbeschläge</t>
        </is>
      </c>
      <c r="S440" t="inlineStr">
        <is>
          <t>bis 25 cm</t>
        </is>
      </c>
      <c r="T440" t="inlineStr">
        <is>
          <t>80° bis 110°, einseitig digitalisierbar?</t>
        </is>
      </c>
      <c r="U440" t="inlineStr">
        <is>
          <t>hohler Rücken</t>
        </is>
      </c>
      <c r="V440" t="inlineStr"/>
      <c r="W440" t="inlineStr">
        <is>
          <t>Kassette</t>
        </is>
      </c>
      <c r="X440" t="inlineStr">
        <is>
          <t>Nein</t>
        </is>
      </c>
      <c r="Y440" t="n">
        <v>0</v>
      </c>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n">
        <v>0</v>
      </c>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t>
        </is>
      </c>
      <c r="B441" t="b">
        <v>1</v>
      </c>
      <c r="C441" t="inlineStr"/>
      <c r="D441" t="inlineStr"/>
      <c r="E441" t="n">
        <v>432</v>
      </c>
      <c r="F441">
        <f>HYPERLINK("https://portal.dnb.de/opac.htm?method=simpleSearch&amp;cqlMode=true&amp;query=idn%3D1066967369", "Portal")</f>
        <v/>
      </c>
      <c r="G441" t="inlineStr">
        <is>
          <t>Aa</t>
        </is>
      </c>
      <c r="H441" t="inlineStr">
        <is>
          <t>L-1484-315497610</t>
        </is>
      </c>
      <c r="I441" t="inlineStr">
        <is>
          <t>1066967369</t>
        </is>
      </c>
      <c r="J441" t="inlineStr">
        <is>
          <t>II 30,9d</t>
        </is>
      </c>
      <c r="K441" t="inlineStr">
        <is>
          <t>II 30,9d</t>
        </is>
      </c>
      <c r="L441" t="inlineStr">
        <is>
          <t>II 30,9d</t>
        </is>
      </c>
      <c r="M441" t="inlineStr"/>
      <c r="N441" t="inlineStr">
        <is>
          <t>Sermones de adventu, Sermo de S. Joseph, Sermo de beatitudine, Sermones de divina caritate, Sermones de immortalitate animae. Enth. außerdem: Dominicu</t>
        </is>
      </c>
      <c r="O441" t="inlineStr">
        <is>
          <t xml:space="preserve"> : </t>
        </is>
      </c>
      <c r="P441" t="inlineStr"/>
      <c r="Q441" t="inlineStr"/>
      <c r="R441" t="inlineStr">
        <is>
          <t>Pergamentband</t>
        </is>
      </c>
      <c r="S441" t="inlineStr">
        <is>
          <t>bis 35 cm</t>
        </is>
      </c>
      <c r="T441" t="inlineStr">
        <is>
          <t>80° bis 110°, einseitig digitalisierbar?</t>
        </is>
      </c>
      <c r="U441" t="inlineStr">
        <is>
          <t>hohler Rücken</t>
        </is>
      </c>
      <c r="V441" t="inlineStr"/>
      <c r="W441" t="inlineStr">
        <is>
          <t>Kassette</t>
        </is>
      </c>
      <c r="X441" t="inlineStr">
        <is>
          <t>Nein</t>
        </is>
      </c>
      <c r="Y441" t="n">
        <v>0</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t>
        </is>
      </c>
      <c r="B442" t="b">
        <v>0</v>
      </c>
      <c r="C442" t="inlineStr"/>
      <c r="D442" t="inlineStr"/>
      <c r="E442" t="inlineStr"/>
      <c r="F442">
        <f>HYPERLINK("https://portal.dnb.de/opac.htm?method=simpleSearch&amp;cqlMode=true&amp;query=idn%3D", "Portal")</f>
        <v/>
      </c>
      <c r="G442" t="inlineStr"/>
      <c r="H442" t="inlineStr"/>
      <c r="I442" t="inlineStr"/>
      <c r="J442" t="inlineStr"/>
      <c r="K442" t="inlineStr"/>
      <c r="L442" t="inlineStr">
        <is>
          <t>II 30,9d - Fragm.</t>
        </is>
      </c>
      <c r="M442" t="inlineStr"/>
      <c r="N442" t="inlineStr"/>
      <c r="O442" t="inlineStr"/>
      <c r="P442" t="inlineStr"/>
      <c r="Q442" t="inlineStr"/>
      <c r="R442" t="inlineStr">
        <is>
          <t>Ledereinband, Schließen, erhabene Buchbeschläge</t>
        </is>
      </c>
      <c r="S442" t="inlineStr">
        <is>
          <t>bis 35 cm</t>
        </is>
      </c>
      <c r="T442" t="inlineStr"/>
      <c r="U442" t="inlineStr"/>
      <c r="V442" t="inlineStr"/>
      <c r="W442" t="inlineStr">
        <is>
          <t>Kassette</t>
        </is>
      </c>
      <c r="X442" t="inlineStr">
        <is>
          <t>Nein</t>
        </is>
      </c>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n">
        <v>0</v>
      </c>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t>
        </is>
      </c>
      <c r="B443" t="b">
        <v>1</v>
      </c>
      <c r="C443" t="inlineStr"/>
      <c r="D443" t="inlineStr"/>
      <c r="E443" t="n">
        <v>433</v>
      </c>
      <c r="F443">
        <f>HYPERLINK("https://portal.dnb.de/opac.htm?method=simpleSearch&amp;cqlMode=true&amp;query=idn%3D1066970068", "Portal")</f>
        <v/>
      </c>
      <c r="G443" t="inlineStr">
        <is>
          <t>Aa</t>
        </is>
      </c>
      <c r="H443" t="inlineStr">
        <is>
          <t>L-1481-315500417</t>
        </is>
      </c>
      <c r="I443" t="inlineStr">
        <is>
          <t>1066970068</t>
        </is>
      </c>
      <c r="J443" t="inlineStr">
        <is>
          <t>II 30,10a</t>
        </is>
      </c>
      <c r="K443" t="inlineStr">
        <is>
          <t>II 30,10a</t>
        </is>
      </c>
      <c r="L443" t="inlineStr">
        <is>
          <t>II 30,10a</t>
        </is>
      </c>
      <c r="M443" t="inlineStr"/>
      <c r="N443" t="inlineStr">
        <is>
          <t xml:space="preserve">Expositio super toto psalterio : </t>
        </is>
      </c>
      <c r="O443" t="inlineStr">
        <is>
          <t xml:space="preserve"> : </t>
        </is>
      </c>
      <c r="P443" t="inlineStr">
        <is>
          <t>x</t>
        </is>
      </c>
      <c r="Q443" t="inlineStr"/>
      <c r="R443" t="inlineStr">
        <is>
          <t>Halbledereinband, Schließen, erhabene Buchbeschläge</t>
        </is>
      </c>
      <c r="S443" t="inlineStr">
        <is>
          <t>bis 35 cm</t>
        </is>
      </c>
      <c r="T443" t="inlineStr">
        <is>
          <t>80° bis 110°, einseitig digitalisierbar?</t>
        </is>
      </c>
      <c r="U443" t="inlineStr">
        <is>
          <t>erhabene Illuminationen, stark brüchiges Einbandmaterial</t>
        </is>
      </c>
      <c r="V443" t="inlineStr">
        <is>
          <t>nicht auflegen</t>
        </is>
      </c>
      <c r="W443" t="inlineStr">
        <is>
          <t>Kassette</t>
        </is>
      </c>
      <c r="X443" t="inlineStr">
        <is>
          <t>Nein</t>
        </is>
      </c>
      <c r="Y443" t="n">
        <v>3</v>
      </c>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n">
        <v>0</v>
      </c>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t>
        </is>
      </c>
      <c r="B444" t="b">
        <v>1</v>
      </c>
      <c r="C444" t="inlineStr"/>
      <c r="D444" t="inlineStr"/>
      <c r="E444" t="n">
        <v>434</v>
      </c>
      <c r="F444">
        <f>HYPERLINK("https://portal.dnb.de/opac.htm?method=simpleSearch&amp;cqlMode=true&amp;query=idn%3D1066971463", "Portal")</f>
        <v/>
      </c>
      <c r="G444" t="inlineStr">
        <is>
          <t>Aa</t>
        </is>
      </c>
      <c r="H444" t="inlineStr">
        <is>
          <t>L-1484-315501847</t>
        </is>
      </c>
      <c r="I444" t="inlineStr">
        <is>
          <t>1066971463</t>
        </is>
      </c>
      <c r="J444" t="inlineStr">
        <is>
          <t>II 30,11a</t>
        </is>
      </c>
      <c r="K444" t="inlineStr">
        <is>
          <t>II 30,11a</t>
        </is>
      </c>
      <c r="L444" t="inlineStr">
        <is>
          <t>II 30,11a</t>
        </is>
      </c>
      <c r="M444" t="inlineStr"/>
      <c r="N444" t="inlineStr">
        <is>
          <t xml:space="preserve">Sermones thesauri novi de sanctis : </t>
        </is>
      </c>
      <c r="O444" t="inlineStr">
        <is>
          <t xml:space="preserve"> : </t>
        </is>
      </c>
      <c r="P444" t="inlineStr"/>
      <c r="Q444" t="inlineStr"/>
      <c r="R444" t="inlineStr">
        <is>
          <t>Ledereinband, Schließen, erhabene Buchbeschläge</t>
        </is>
      </c>
      <c r="S444" t="inlineStr">
        <is>
          <t>bis 35 cm</t>
        </is>
      </c>
      <c r="T444" t="inlineStr">
        <is>
          <t>nur sehr geringer Öffnungswinkel</t>
        </is>
      </c>
      <c r="U444" t="inlineStr">
        <is>
          <t>fester Rücken mit Schmuckprägung, welliger Buchblock, stark brüchiges Einbandmaterial, erhabene Illuminationen</t>
        </is>
      </c>
      <c r="V444" t="inlineStr">
        <is>
          <t>nicht auflegen</t>
        </is>
      </c>
      <c r="W444" t="inlineStr">
        <is>
          <t>Kassette</t>
        </is>
      </c>
      <c r="X444" t="inlineStr">
        <is>
          <t>Nein</t>
        </is>
      </c>
      <c r="Y444" t="n">
        <v>2</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t>
        </is>
      </c>
      <c r="B445" t="b">
        <v>1</v>
      </c>
      <c r="C445" t="inlineStr"/>
      <c r="D445" t="inlineStr"/>
      <c r="E445" t="n">
        <v>435</v>
      </c>
      <c r="F445">
        <f>HYPERLINK("https://portal.dnb.de/opac.htm?method=simpleSearch&amp;cqlMode=true&amp;query=idn%3D1066967563", "Portal")</f>
        <v/>
      </c>
      <c r="G445" t="inlineStr">
        <is>
          <t>Aa</t>
        </is>
      </c>
      <c r="H445" t="inlineStr">
        <is>
          <t>L-1484-315497823</t>
        </is>
      </c>
      <c r="I445" t="inlineStr">
        <is>
          <t>1066967563</t>
        </is>
      </c>
      <c r="J445" t="inlineStr">
        <is>
          <t>II 30,12a</t>
        </is>
      </c>
      <c r="K445" t="inlineStr">
        <is>
          <t>II 30,12a</t>
        </is>
      </c>
      <c r="L445" t="inlineStr">
        <is>
          <t>II 30,12a</t>
        </is>
      </c>
      <c r="M445" t="inlineStr"/>
      <c r="N445" t="inlineStr">
        <is>
          <t xml:space="preserve">Sermones de sanctis : </t>
        </is>
      </c>
      <c r="O445" t="inlineStr">
        <is>
          <t xml:space="preserve"> : </t>
        </is>
      </c>
      <c r="P445" t="inlineStr">
        <is>
          <t>x</t>
        </is>
      </c>
      <c r="Q445" t="inlineStr"/>
      <c r="R445" t="inlineStr">
        <is>
          <t>Ledereinband, Schließen, erhabene Buchbeschläge</t>
        </is>
      </c>
      <c r="S445" t="inlineStr">
        <is>
          <t>bis 35 cm</t>
        </is>
      </c>
      <c r="T445" t="inlineStr">
        <is>
          <t>80° bis 110°, einseitig digitalisierbar?</t>
        </is>
      </c>
      <c r="U445" t="inlineStr">
        <is>
          <t>hohler Rücken, erhabene Illuminationen, stark brüchiges Einbandmaterial</t>
        </is>
      </c>
      <c r="V445" t="inlineStr">
        <is>
          <t>nicht auflegen</t>
        </is>
      </c>
      <c r="W445" t="inlineStr">
        <is>
          <t>Kassette</t>
        </is>
      </c>
      <c r="X445" t="inlineStr">
        <is>
          <t>Nein</t>
        </is>
      </c>
      <c r="Y445" t="n">
        <v>3</v>
      </c>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n">
        <v>0</v>
      </c>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t>
        </is>
      </c>
      <c r="B446" t="b">
        <v>1</v>
      </c>
      <c r="C446" t="inlineStr">
        <is>
          <t>x</t>
        </is>
      </c>
      <c r="D446" t="inlineStr"/>
      <c r="E446" t="n">
        <v>436</v>
      </c>
      <c r="F446">
        <f>HYPERLINK("https://portal.dnb.de/opac.htm?method=simpleSearch&amp;cqlMode=true&amp;query=idn%3D1066967970", "Portal")</f>
        <v/>
      </c>
      <c r="G446" t="inlineStr">
        <is>
          <t>Aaf</t>
        </is>
      </c>
      <c r="H446" t="inlineStr">
        <is>
          <t>L-1486-315498242</t>
        </is>
      </c>
      <c r="I446" t="inlineStr">
        <is>
          <t>1066967970</t>
        </is>
      </c>
      <c r="J446" t="inlineStr">
        <is>
          <t>II 30,12b</t>
        </is>
      </c>
      <c r="K446" t="inlineStr">
        <is>
          <t>II 30,12b</t>
        </is>
      </c>
      <c r="L446" t="inlineStr">
        <is>
          <t>II 30,12b</t>
        </is>
      </c>
      <c r="M446" t="inlineStr"/>
      <c r="N446" t="inlineStr">
        <is>
          <t xml:space="preserve">Rationale divinorum officiorum : </t>
        </is>
      </c>
      <c r="O446" t="inlineStr">
        <is>
          <t xml:space="preserve"> : </t>
        </is>
      </c>
      <c r="P446" t="inlineStr">
        <is>
          <t>X</t>
        </is>
      </c>
      <c r="Q446" t="inlineStr">
        <is>
          <t>110000,00 EUR</t>
        </is>
      </c>
      <c r="R446" t="inlineStr">
        <is>
          <t>Ledereinband, Schließen, erhabene Buchbeschläge</t>
        </is>
      </c>
      <c r="S446" t="inlineStr">
        <is>
          <t>bis 35 cm</t>
        </is>
      </c>
      <c r="T446" t="inlineStr">
        <is>
          <t>80° bis 110°, einseitig digitalisierbar?</t>
        </is>
      </c>
      <c r="U446" t="inlineStr">
        <is>
          <t>fester Rücken mit Schmuckprägung, welliger Buchblock, erhabene Illuminationen, stark brüchiges Einbandmaterial</t>
        </is>
      </c>
      <c r="V446" t="inlineStr">
        <is>
          <t>nicht auflegen</t>
        </is>
      </c>
      <c r="W446" t="inlineStr">
        <is>
          <t>Kassette</t>
        </is>
      </c>
      <c r="X446" t="inlineStr">
        <is>
          <t>Nein</t>
        </is>
      </c>
      <c r="Y446" t="n">
        <v>3</v>
      </c>
      <c r="Z446" t="inlineStr"/>
      <c r="AA446" t="inlineStr"/>
      <c r="AB446" t="inlineStr"/>
      <c r="AC446" t="inlineStr"/>
      <c r="AD446" t="inlineStr"/>
      <c r="AE446" t="inlineStr"/>
      <c r="AF446" t="inlineStr"/>
      <c r="AG446" t="inlineStr"/>
      <c r="AH446" t="inlineStr"/>
      <c r="AI446" t="inlineStr">
        <is>
          <t>HD</t>
        </is>
      </c>
      <c r="AJ446" t="inlineStr"/>
      <c r="AK446" t="inlineStr">
        <is>
          <t>x</t>
        </is>
      </c>
      <c r="AL446" t="inlineStr"/>
      <c r="AM446" t="inlineStr">
        <is>
          <t>f/V</t>
        </is>
      </c>
      <c r="AN446" t="inlineStr"/>
      <c r="AO446" t="inlineStr"/>
      <c r="AP446" t="inlineStr"/>
      <c r="AQ446" t="inlineStr"/>
      <c r="AR446" t="inlineStr"/>
      <c r="AS446" t="inlineStr">
        <is>
          <t>Pa</t>
        </is>
      </c>
      <c r="AT446" t="inlineStr"/>
      <c r="AU446" t="inlineStr"/>
      <c r="AV446" t="inlineStr"/>
      <c r="AW446" t="inlineStr"/>
      <c r="AX446" t="inlineStr"/>
      <c r="AY446" t="inlineStr"/>
      <c r="AZ446" t="inlineStr"/>
      <c r="BA446" t="inlineStr"/>
      <c r="BB446" t="inlineStr"/>
      <c r="BC446" t="inlineStr">
        <is>
          <t>I/R</t>
        </is>
      </c>
      <c r="BD446" t="inlineStr">
        <is>
          <t>x</t>
        </is>
      </c>
      <c r="BE446" t="inlineStr"/>
      <c r="BF446" t="inlineStr"/>
      <c r="BG446" t="n">
        <v>60</v>
      </c>
      <c r="BH446" t="inlineStr"/>
      <c r="BI446" t="inlineStr"/>
      <c r="BJ446" t="inlineStr"/>
      <c r="BK446" t="inlineStr"/>
      <c r="BL446" t="inlineStr"/>
      <c r="BM446" t="inlineStr">
        <is>
          <t>ja vor</t>
        </is>
      </c>
      <c r="BN446" t="n">
        <v>6.5</v>
      </c>
      <c r="BO446" t="inlineStr"/>
      <c r="BP446" t="inlineStr">
        <is>
          <t>Wellpappe</t>
        </is>
      </c>
      <c r="BQ446" t="inlineStr"/>
      <c r="BR446" t="inlineStr"/>
      <c r="BS446" t="inlineStr"/>
      <c r="BT446" t="inlineStr"/>
      <c r="BU446" t="inlineStr"/>
      <c r="BV446" t="inlineStr"/>
      <c r="BW446" t="inlineStr"/>
      <c r="BX446" t="inlineStr"/>
      <c r="BY446" t="inlineStr"/>
      <c r="BZ446" t="inlineStr">
        <is>
          <t>x</t>
        </is>
      </c>
      <c r="CA446" t="inlineStr">
        <is>
          <t>x</t>
        </is>
      </c>
      <c r="CB446" t="inlineStr">
        <is>
          <t>x</t>
        </is>
      </c>
      <c r="CC446" t="inlineStr"/>
      <c r="CD446" t="inlineStr">
        <is>
          <t>v/h</t>
        </is>
      </c>
      <c r="CE446" t="inlineStr"/>
      <c r="CF446" t="inlineStr"/>
      <c r="CG446" t="inlineStr"/>
      <c r="CH446" t="inlineStr"/>
      <c r="CI446" t="inlineStr"/>
      <c r="CJ446" t="inlineStr"/>
      <c r="CK446" t="inlineStr"/>
      <c r="CL446" t="inlineStr"/>
      <c r="CM446" t="n">
        <v>6.5</v>
      </c>
      <c r="CN446" t="inlineStr">
        <is>
          <t>Rücken an Kopf und Fuß mit JP sichern, Gelenke mit JP-Gewebe-Laminat unterlegen, ggf. mit JP überfangen, Titelschilder fixieren</t>
        </is>
      </c>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t>
        </is>
      </c>
      <c r="B447" t="b">
        <v>1</v>
      </c>
      <c r="C447" t="inlineStr"/>
      <c r="D447" t="inlineStr"/>
      <c r="E447" t="n">
        <v>437</v>
      </c>
      <c r="F447">
        <f>HYPERLINK("https://portal.dnb.de/opac.htm?method=simpleSearch&amp;cqlMode=true&amp;query=idn%3D1066971072", "Portal")</f>
        <v/>
      </c>
      <c r="G447" t="inlineStr">
        <is>
          <t>Aa</t>
        </is>
      </c>
      <c r="H447" t="inlineStr">
        <is>
          <t>L-1490-31550143X</t>
        </is>
      </c>
      <c r="I447" t="inlineStr">
        <is>
          <t>1066971072</t>
        </is>
      </c>
      <c r="J447" t="inlineStr">
        <is>
          <t>II 30,12c</t>
        </is>
      </c>
      <c r="K447" t="inlineStr">
        <is>
          <t>II 30,12c</t>
        </is>
      </c>
      <c r="L447" t="inlineStr">
        <is>
          <t>II 30,12c</t>
        </is>
      </c>
      <c r="M447" t="inlineStr"/>
      <c r="N447" t="inlineStr">
        <is>
          <t xml:space="preserve">Biblia pauperum : </t>
        </is>
      </c>
      <c r="O447" t="inlineStr">
        <is>
          <t xml:space="preserve"> : </t>
        </is>
      </c>
      <c r="P447" t="inlineStr"/>
      <c r="Q447" t="inlineStr"/>
      <c r="R447" t="inlineStr">
        <is>
          <t>Halbledereinband, Schließen, erhabene Buchbeschläge</t>
        </is>
      </c>
      <c r="S447" t="inlineStr">
        <is>
          <t>bis 25 cm</t>
        </is>
      </c>
      <c r="T447" t="inlineStr">
        <is>
          <t>80° bis 110°, einseitig digitalisierbar?</t>
        </is>
      </c>
      <c r="U447" t="inlineStr">
        <is>
          <t>hohler Rücken, stark brüchiges Einbandmaterial</t>
        </is>
      </c>
      <c r="V447" t="inlineStr"/>
      <c r="W447" t="inlineStr">
        <is>
          <t>Kassette</t>
        </is>
      </c>
      <c r="X447" t="inlineStr">
        <is>
          <t>Nein</t>
        </is>
      </c>
      <c r="Y447" t="n">
        <v>3</v>
      </c>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t>
        </is>
      </c>
      <c r="B448" t="b">
        <v>1</v>
      </c>
      <c r="C448" t="inlineStr">
        <is>
          <t>x</t>
        </is>
      </c>
      <c r="D448" t="inlineStr"/>
      <c r="E448" t="n">
        <v>438</v>
      </c>
      <c r="F448">
        <f>HYPERLINK("https://portal.dnb.de/opac.htm?method=simpleSearch&amp;cqlMode=true&amp;query=idn%3D1166155838", "Portal")</f>
        <v/>
      </c>
      <c r="G448" t="inlineStr">
        <is>
          <t>Af</t>
        </is>
      </c>
      <c r="H448" t="inlineStr">
        <is>
          <t>L-1492-460784927</t>
        </is>
      </c>
      <c r="I448" t="inlineStr">
        <is>
          <t>1166155838</t>
        </is>
      </c>
      <c r="J448" t="inlineStr">
        <is>
          <t>II 30,12d</t>
        </is>
      </c>
      <c r="K448" t="inlineStr">
        <is>
          <t>II 30,12d</t>
        </is>
      </c>
      <c r="L448" t="inlineStr">
        <is>
          <t>II 30,12d</t>
        </is>
      </c>
      <c r="M448" t="inlineStr"/>
      <c r="N448" t="inlineStr">
        <is>
          <t>Biblia, lat.</t>
        </is>
      </c>
      <c r="O448" t="inlineStr">
        <is>
          <t xml:space="preserve">Pars 4. : </t>
        </is>
      </c>
      <c r="P448" t="inlineStr">
        <is>
          <t>x</t>
        </is>
      </c>
      <c r="Q448" t="inlineStr">
        <is>
          <t>750,00 EUR</t>
        </is>
      </c>
      <c r="R448" t="inlineStr">
        <is>
          <t>Schließen, erhabene Buchbeschläge, Ledereinband</t>
        </is>
      </c>
      <c r="S448" t="inlineStr">
        <is>
          <t>bis 35 cm</t>
        </is>
      </c>
      <c r="T448" t="inlineStr">
        <is>
          <t>80° bis 110°, einseitig digitalisierbar?</t>
        </is>
      </c>
      <c r="U448" t="inlineStr">
        <is>
          <t>erhabene Illuminationen, fester Rücken mit Schmuckprägung</t>
        </is>
      </c>
      <c r="V448" t="inlineStr">
        <is>
          <t>nicht auflegen</t>
        </is>
      </c>
      <c r="W448" t="inlineStr">
        <is>
          <t>Kassette</t>
        </is>
      </c>
      <c r="X448" t="inlineStr">
        <is>
          <t>Nein</t>
        </is>
      </c>
      <c r="Y448" t="n">
        <v>0</v>
      </c>
      <c r="Z448" t="inlineStr"/>
      <c r="AA448" t="inlineStr"/>
      <c r="AB448" t="inlineStr"/>
      <c r="AC448" t="inlineStr"/>
      <c r="AD448" t="inlineStr"/>
      <c r="AE448" t="inlineStr"/>
      <c r="AF448" t="inlineStr"/>
      <c r="AG448" t="inlineStr"/>
      <c r="AH448" t="inlineStr"/>
      <c r="AI448" t="inlineStr">
        <is>
          <t>HD</t>
        </is>
      </c>
      <c r="AJ448" t="inlineStr"/>
      <c r="AK448" t="inlineStr">
        <is>
          <t>x</t>
        </is>
      </c>
      <c r="AL448" t="inlineStr"/>
      <c r="AM448" t="inlineStr">
        <is>
          <t>f/V</t>
        </is>
      </c>
      <c r="AN448" t="inlineStr"/>
      <c r="AO448" t="inlineStr"/>
      <c r="AP448" t="inlineStr"/>
      <c r="AQ448" t="inlineStr"/>
      <c r="AR448" t="inlineStr"/>
      <c r="AS448" t="inlineStr">
        <is>
          <t>Pa</t>
        </is>
      </c>
      <c r="AT448" t="inlineStr"/>
      <c r="AU448" t="inlineStr"/>
      <c r="AV448" t="inlineStr"/>
      <c r="AW448" t="inlineStr"/>
      <c r="AX448" t="inlineStr"/>
      <c r="AY448" t="inlineStr"/>
      <c r="AZ448" t="inlineStr"/>
      <c r="BA448" t="inlineStr"/>
      <c r="BB448" t="inlineStr"/>
      <c r="BC448" t="inlineStr">
        <is>
          <t>I/R</t>
        </is>
      </c>
      <c r="BD448" t="inlineStr">
        <is>
          <t>x</t>
        </is>
      </c>
      <c r="BE448" t="inlineStr"/>
      <c r="BF448" t="inlineStr"/>
      <c r="BG448" t="n">
        <v>60</v>
      </c>
      <c r="BH448" t="inlineStr"/>
      <c r="BI448" t="inlineStr"/>
      <c r="BJ448" t="inlineStr"/>
      <c r="BK448" t="inlineStr"/>
      <c r="BL448" t="inlineStr"/>
      <c r="BM448" t="inlineStr">
        <is>
          <t>ja vor</t>
        </is>
      </c>
      <c r="BN448" t="n">
        <v>0.5</v>
      </c>
      <c r="BO448" t="inlineStr"/>
      <c r="BP448" t="inlineStr">
        <is>
          <t>Wellpappe</t>
        </is>
      </c>
      <c r="BQ448" t="inlineStr"/>
      <c r="BR448" t="inlineStr"/>
      <c r="BS448" t="inlineStr"/>
      <c r="BT448" t="inlineStr"/>
      <c r="BU448" t="inlineStr"/>
      <c r="BV448" t="inlineStr"/>
      <c r="BW448" t="inlineStr"/>
      <c r="BX448" t="inlineStr"/>
      <c r="BY448" t="inlineStr"/>
      <c r="BZ448" t="inlineStr">
        <is>
          <t>x TS sichern</t>
        </is>
      </c>
      <c r="CA448" t="inlineStr">
        <is>
          <t>x</t>
        </is>
      </c>
      <c r="CB448" t="inlineStr">
        <is>
          <t>x</t>
        </is>
      </c>
      <c r="CC448" t="inlineStr"/>
      <c r="CD448" t="inlineStr"/>
      <c r="CE448" t="inlineStr"/>
      <c r="CF448" t="inlineStr"/>
      <c r="CG448" t="inlineStr"/>
      <c r="CH448" t="inlineStr"/>
      <c r="CI448" t="inlineStr"/>
      <c r="CJ448" t="inlineStr"/>
      <c r="CK448" t="inlineStr"/>
      <c r="CL448" t="inlineStr"/>
      <c r="CM448" t="n">
        <v>0.5</v>
      </c>
      <c r="CN448" t="inlineStr">
        <is>
          <t>Titelschild sichern</t>
        </is>
      </c>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t>
        </is>
      </c>
      <c r="B449" t="b">
        <v>1</v>
      </c>
      <c r="C449" t="inlineStr">
        <is>
          <t>x</t>
        </is>
      </c>
      <c r="D449" t="inlineStr"/>
      <c r="E449" t="n">
        <v>439</v>
      </c>
      <c r="F449">
        <f>HYPERLINK("https://portal.dnb.de/opac.htm?method=simpleSearch&amp;cqlMode=true&amp;query=idn%3D1066964882", "Portal")</f>
        <v/>
      </c>
      <c r="G449" t="inlineStr">
        <is>
          <t>Aaf</t>
        </is>
      </c>
      <c r="H449" t="inlineStr">
        <is>
          <t>L-1496-315495057</t>
        </is>
      </c>
      <c r="I449" t="inlineStr">
        <is>
          <t>1066964882</t>
        </is>
      </c>
      <c r="J449" t="inlineStr">
        <is>
          <t>II 30,12e</t>
        </is>
      </c>
      <c r="K449" t="inlineStr">
        <is>
          <t>II 30,12e</t>
        </is>
      </c>
      <c r="L449" t="inlineStr">
        <is>
          <t>II 30,12e</t>
        </is>
      </c>
      <c r="M449" t="inlineStr"/>
      <c r="N449" t="inlineStr">
        <is>
          <t>Summa theologica : P. 1-4</t>
        </is>
      </c>
      <c r="O449" t="inlineStr">
        <is>
          <t xml:space="preserve"> : </t>
        </is>
      </c>
      <c r="P449" t="inlineStr">
        <is>
          <t>X</t>
        </is>
      </c>
      <c r="Q449" t="inlineStr">
        <is>
          <t>500,00 EUR</t>
        </is>
      </c>
      <c r="R449" t="inlineStr">
        <is>
          <t>Ledereinband, Schließen, erhabene Buchbeschläge</t>
        </is>
      </c>
      <c r="S449" t="inlineStr">
        <is>
          <t>bis 35 cm</t>
        </is>
      </c>
      <c r="T449" t="inlineStr">
        <is>
          <t>80° bis 110°, einseitig digitalisierbar?</t>
        </is>
      </c>
      <c r="U449" t="inlineStr">
        <is>
          <t>fester Rücken mit Schmuckprägung, Schrift bis in den Falz</t>
        </is>
      </c>
      <c r="V449" t="inlineStr"/>
      <c r="W449" t="inlineStr">
        <is>
          <t>Kassette</t>
        </is>
      </c>
      <c r="X449" t="inlineStr">
        <is>
          <t>Nein</t>
        </is>
      </c>
      <c r="Y449" t="n">
        <v>1</v>
      </c>
      <c r="Z449" t="inlineStr"/>
      <c r="AA449" t="inlineStr"/>
      <c r="AB449" t="inlineStr"/>
      <c r="AC449" t="inlineStr"/>
      <c r="AD449" t="inlineStr"/>
      <c r="AE449" t="inlineStr"/>
      <c r="AF449" t="inlineStr"/>
      <c r="AG449" t="inlineStr"/>
      <c r="AH449" t="inlineStr"/>
      <c r="AI449" t="inlineStr">
        <is>
          <t>HD</t>
        </is>
      </c>
      <c r="AJ449" t="inlineStr"/>
      <c r="AK449" t="inlineStr">
        <is>
          <t>x</t>
        </is>
      </c>
      <c r="AL449" t="inlineStr"/>
      <c r="AM449" t="inlineStr">
        <is>
          <t>f/V</t>
        </is>
      </c>
      <c r="AN449" t="inlineStr"/>
      <c r="AO449" t="inlineStr"/>
      <c r="AP449" t="inlineStr"/>
      <c r="AQ449" t="inlineStr"/>
      <c r="AR449" t="inlineStr"/>
      <c r="AS449" t="inlineStr">
        <is>
          <t>Pa</t>
        </is>
      </c>
      <c r="AT449" t="inlineStr"/>
      <c r="AU449" t="inlineStr"/>
      <c r="AV449" t="inlineStr"/>
      <c r="AW449" t="inlineStr"/>
      <c r="AX449" t="inlineStr"/>
      <c r="AY449" t="inlineStr"/>
      <c r="AZ449" t="inlineStr"/>
      <c r="BA449" t="inlineStr"/>
      <c r="BB449" t="inlineStr"/>
      <c r="BC449" t="inlineStr"/>
      <c r="BD449" t="inlineStr"/>
      <c r="BE449" t="n">
        <v>0</v>
      </c>
      <c r="BF449" t="inlineStr">
        <is>
          <t>x</t>
        </is>
      </c>
      <c r="BG449" t="n">
        <v>60</v>
      </c>
      <c r="BH449" t="inlineStr"/>
      <c r="BI449" t="inlineStr"/>
      <c r="BJ449" t="inlineStr"/>
      <c r="BK449" t="inlineStr"/>
      <c r="BL449" t="inlineStr"/>
      <c r="BM449" t="inlineStr">
        <is>
          <t>ja vor</t>
        </is>
      </c>
      <c r="BN449" t="n">
        <v>0.5</v>
      </c>
      <c r="BO449" t="inlineStr"/>
      <c r="BP449" t="inlineStr">
        <is>
          <t>Wellpappe</t>
        </is>
      </c>
      <c r="BQ449" t="inlineStr"/>
      <c r="BR449" t="inlineStr"/>
      <c r="BS449" t="inlineStr"/>
      <c r="BT449" t="inlineStr"/>
      <c r="BU449" t="inlineStr"/>
      <c r="BV449" t="inlineStr"/>
      <c r="BW449" t="inlineStr"/>
      <c r="BX449" t="inlineStr"/>
      <c r="BY449" t="inlineStr"/>
      <c r="BZ449" t="inlineStr">
        <is>
          <t>x TS sichern</t>
        </is>
      </c>
      <c r="CA449" t="inlineStr">
        <is>
          <t>x</t>
        </is>
      </c>
      <c r="CB449" t="inlineStr">
        <is>
          <t>x</t>
        </is>
      </c>
      <c r="CC449" t="inlineStr"/>
      <c r="CD449" t="inlineStr"/>
      <c r="CE449" t="inlineStr"/>
      <c r="CF449" t="inlineStr"/>
      <c r="CG449" t="inlineStr"/>
      <c r="CH449" t="inlineStr"/>
      <c r="CI449" t="inlineStr"/>
      <c r="CJ449" t="inlineStr"/>
      <c r="CK449" t="inlineStr"/>
      <c r="CL449" t="inlineStr"/>
      <c r="CM449" t="n">
        <v>0.5</v>
      </c>
      <c r="CN449" t="inlineStr">
        <is>
          <t>Titelschild sichern</t>
        </is>
      </c>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t>
        </is>
      </c>
      <c r="B450" t="b">
        <v>1</v>
      </c>
      <c r="C450" t="inlineStr"/>
      <c r="D450" t="inlineStr"/>
      <c r="E450" t="inlineStr"/>
      <c r="F450">
        <f>HYPERLINK("https://portal.dnb.de/opac.htm?method=simpleSearch&amp;cqlMode=true&amp;query=idn%3D1268961639", "Portal")</f>
        <v/>
      </c>
      <c r="G450" t="inlineStr">
        <is>
          <t>Qd</t>
        </is>
      </c>
      <c r="H450" t="inlineStr">
        <is>
          <t>L-1488-834344491</t>
        </is>
      </c>
      <c r="I450" t="inlineStr">
        <is>
          <t>1268961639</t>
        </is>
      </c>
      <c r="J450" t="inlineStr">
        <is>
          <t>II 30,12g</t>
        </is>
      </c>
      <c r="K450" t="inlineStr">
        <is>
          <t>II 30,12g</t>
        </is>
      </c>
      <c r="L450" t="inlineStr">
        <is>
          <t>II 30,12g</t>
        </is>
      </c>
      <c r="M450" t="inlineStr"/>
      <c r="N450" t="inlineStr">
        <is>
          <t xml:space="preserve">Sammelband mit zwei Teilen der Opera von Johannes Gerson : </t>
        </is>
      </c>
      <c r="O450" t="inlineStr">
        <is>
          <t xml:space="preserve"> : </t>
        </is>
      </c>
      <c r="P450" t="inlineStr"/>
      <c r="Q450" t="inlineStr"/>
      <c r="R450" t="inlineStr">
        <is>
          <t>Ledereinband, Schließen, erhabene Buchbeschläge</t>
        </is>
      </c>
      <c r="S450" t="inlineStr">
        <is>
          <t>bis 35 cm</t>
        </is>
      </c>
      <c r="T450" t="inlineStr">
        <is>
          <t>80° bis 110°, einseitig digitalisierbar?</t>
        </is>
      </c>
      <c r="U450" t="inlineStr">
        <is>
          <t>hohler Rücken, erhabene Illuminationen</t>
        </is>
      </c>
      <c r="V450" t="inlineStr">
        <is>
          <t>nicht auflegen</t>
        </is>
      </c>
      <c r="W450" t="inlineStr">
        <is>
          <t>Kassette</t>
        </is>
      </c>
      <c r="X450" t="inlineStr">
        <is>
          <t>Nein</t>
        </is>
      </c>
      <c r="Y450" t="n">
        <v>0</v>
      </c>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t>
        </is>
      </c>
      <c r="B451" t="b">
        <v>1</v>
      </c>
      <c r="C451" t="inlineStr">
        <is>
          <t>x</t>
        </is>
      </c>
      <c r="D451" t="inlineStr"/>
      <c r="E451" t="n">
        <v>440</v>
      </c>
      <c r="F451">
        <f>HYPERLINK("https://portal.dnb.de/opac.htm?method=simpleSearch&amp;cqlMode=true&amp;query=idn%3D1066963428", "Portal")</f>
        <v/>
      </c>
      <c r="G451" t="inlineStr">
        <is>
          <t>Aaf</t>
        </is>
      </c>
      <c r="H451" t="inlineStr">
        <is>
          <t>L-1500-315493674</t>
        </is>
      </c>
      <c r="I451" t="inlineStr">
        <is>
          <t>1066963428</t>
        </is>
      </c>
      <c r="J451" t="inlineStr">
        <is>
          <t>II 30,13 m</t>
        </is>
      </c>
      <c r="K451" t="inlineStr">
        <is>
          <t>II 30,13 m</t>
        </is>
      </c>
      <c r="L451" t="inlineStr">
        <is>
          <t>II 30,13 m</t>
        </is>
      </c>
      <c r="M451" t="inlineStr"/>
      <c r="N451" t="inlineStr">
        <is>
          <t xml:space="preserve">Breviarium Moguntinum : </t>
        </is>
      </c>
      <c r="O451" t="inlineStr">
        <is>
          <t xml:space="preserve"> : </t>
        </is>
      </c>
      <c r="P451" t="inlineStr">
        <is>
          <t>X</t>
        </is>
      </c>
      <c r="Q451" t="inlineStr">
        <is>
          <t>20000,00 EUR</t>
        </is>
      </c>
      <c r="R451" t="inlineStr">
        <is>
          <t>Ledereinband, Schließen, erhabene Buchbeschläge</t>
        </is>
      </c>
      <c r="S451" t="inlineStr">
        <is>
          <t>bis 25 cm</t>
        </is>
      </c>
      <c r="T451" t="inlineStr">
        <is>
          <t>80° bis 110°, einseitig digitalisierbar?</t>
        </is>
      </c>
      <c r="U451" t="inlineStr">
        <is>
          <t>fester Rücken mit Schmuckprägung, erhabene Illuminationen, stark brüchiges Einbandmaterial</t>
        </is>
      </c>
      <c r="V451" t="inlineStr">
        <is>
          <t>nicht auflegen</t>
        </is>
      </c>
      <c r="W451" t="inlineStr">
        <is>
          <t>Kassette</t>
        </is>
      </c>
      <c r="X451" t="inlineStr">
        <is>
          <t>Nein</t>
        </is>
      </c>
      <c r="Y451" t="n">
        <v>1</v>
      </c>
      <c r="Z451" t="inlineStr"/>
      <c r="AA451" t="inlineStr"/>
      <c r="AB451" t="inlineStr"/>
      <c r="AC451" t="inlineStr"/>
      <c r="AD451" t="inlineStr"/>
      <c r="AE451" t="inlineStr"/>
      <c r="AF451" t="inlineStr"/>
      <c r="AG451" t="inlineStr"/>
      <c r="AH451" t="inlineStr"/>
      <c r="AI451" t="inlineStr">
        <is>
          <t>L</t>
        </is>
      </c>
      <c r="AJ451" t="inlineStr"/>
      <c r="AK451" t="inlineStr">
        <is>
          <t>x</t>
        </is>
      </c>
      <c r="AL451" t="inlineStr"/>
      <c r="AM451" t="inlineStr">
        <is>
          <t>f/V</t>
        </is>
      </c>
      <c r="AN451" t="inlineStr"/>
      <c r="AO451" t="inlineStr"/>
      <c r="AP451" t="inlineStr"/>
      <c r="AQ451" t="inlineStr"/>
      <c r="AR451" t="inlineStr"/>
      <c r="AS451" t="inlineStr">
        <is>
          <t>Pa</t>
        </is>
      </c>
      <c r="AT451" t="inlineStr"/>
      <c r="AU451" t="inlineStr"/>
      <c r="AV451" t="inlineStr"/>
      <c r="AW451" t="inlineStr"/>
      <c r="AX451" t="inlineStr"/>
      <c r="AY451" t="inlineStr"/>
      <c r="AZ451" t="inlineStr"/>
      <c r="BA451" t="inlineStr"/>
      <c r="BB451" t="inlineStr"/>
      <c r="BC451" t="inlineStr"/>
      <c r="BD451" t="inlineStr"/>
      <c r="BE451" t="inlineStr"/>
      <c r="BF451" t="inlineStr"/>
      <c r="BG451" t="n">
        <v>0</v>
      </c>
      <c r="BH451" t="inlineStr">
        <is>
          <t xml:space="preserve">
Rücken extrem brüchig</t>
        </is>
      </c>
      <c r="BI451" t="inlineStr"/>
      <c r="BJ451" t="inlineStr"/>
      <c r="BK451" t="inlineStr"/>
      <c r="BL451" t="inlineStr"/>
      <c r="BM451" t="inlineStr">
        <is>
          <t>ja ÖW=0</t>
        </is>
      </c>
      <c r="BN451" t="n">
        <v>1.5</v>
      </c>
      <c r="BO451" t="inlineStr"/>
      <c r="BP451" t="inlineStr">
        <is>
          <t>Wellpappe</t>
        </is>
      </c>
      <c r="BQ451" t="inlineStr"/>
      <c r="BR451" t="inlineStr"/>
      <c r="BS451" t="inlineStr"/>
      <c r="BT451" t="inlineStr"/>
      <c r="BU451" t="inlineStr"/>
      <c r="BV451" t="inlineStr"/>
      <c r="BW451" t="inlineStr"/>
      <c r="BX451" t="inlineStr"/>
      <c r="BY451" t="inlineStr"/>
      <c r="BZ451" t="inlineStr">
        <is>
          <t>x</t>
        </is>
      </c>
      <c r="CA451" t="inlineStr">
        <is>
          <t>x</t>
        </is>
      </c>
      <c r="CB451" t="inlineStr">
        <is>
          <t>x</t>
        </is>
      </c>
      <c r="CC451" t="inlineStr"/>
      <c r="CD451" t="inlineStr">
        <is>
          <t>v/h</t>
        </is>
      </c>
      <c r="CE451" t="n">
        <v>1</v>
      </c>
      <c r="CF451" t="inlineStr"/>
      <c r="CG451" t="inlineStr"/>
      <c r="CH451" t="inlineStr"/>
      <c r="CI451" t="inlineStr"/>
      <c r="CJ451" t="inlineStr"/>
      <c r="CK451" t="inlineStr"/>
      <c r="CL451" t="inlineStr"/>
      <c r="CM451" t="n">
        <v>1.5</v>
      </c>
      <c r="CN451" t="inlineStr">
        <is>
          <t>Titelschild sichern (ggf. mit JP überfangen), Gelenk vorn mit JP-Gewebe-Laminat stabilisieren (Bund belassen), Gelenk hinten teils mit JP überfangen</t>
        </is>
      </c>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t>
        </is>
      </c>
      <c r="B452" t="b">
        <v>1</v>
      </c>
      <c r="C452" t="inlineStr"/>
      <c r="D452" t="inlineStr"/>
      <c r="E452" t="n">
        <v>442</v>
      </c>
      <c r="F452">
        <f>HYPERLINK("https://portal.dnb.de/opac.htm?method=simpleSearch&amp;cqlMode=true&amp;query=idn%3D1066968187", "Portal")</f>
        <v/>
      </c>
      <c r="G452" t="inlineStr">
        <is>
          <t>Aaf</t>
        </is>
      </c>
      <c r="H452" t="inlineStr">
        <is>
          <t>L-1487-315498455</t>
        </is>
      </c>
      <c r="I452" t="inlineStr">
        <is>
          <t>1066968187</t>
        </is>
      </c>
      <c r="J452" t="inlineStr">
        <is>
          <t>II 30,13b</t>
        </is>
      </c>
      <c r="K452" t="inlineStr">
        <is>
          <t>II 30,13b</t>
        </is>
      </c>
      <c r="L452" t="inlineStr">
        <is>
          <t>II 30,13b</t>
        </is>
      </c>
      <c r="M452" t="inlineStr"/>
      <c r="N452" t="inlineStr">
        <is>
          <t>Sententiarum variationes sive Synonyma : [lat.-deutsch]</t>
        </is>
      </c>
      <c r="O452" t="inlineStr">
        <is>
          <t xml:space="preserve"> : </t>
        </is>
      </c>
      <c r="P452" t="inlineStr">
        <is>
          <t>X</t>
        </is>
      </c>
      <c r="Q452" t="inlineStr"/>
      <c r="R452" t="inlineStr">
        <is>
          <t>Pergamentband, Schließen, erhabene Buchbeschläge</t>
        </is>
      </c>
      <c r="S452" t="inlineStr">
        <is>
          <t>bis 25 cm</t>
        </is>
      </c>
      <c r="T452" t="inlineStr">
        <is>
          <t>180°</t>
        </is>
      </c>
      <c r="U452" t="inlineStr">
        <is>
          <t>hohler Rücken, welliger Buchblock</t>
        </is>
      </c>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t>
        </is>
      </c>
      <c r="B453" t="b">
        <v>1</v>
      </c>
      <c r="C453" t="inlineStr"/>
      <c r="D453" t="inlineStr"/>
      <c r="E453" t="n">
        <v>443</v>
      </c>
      <c r="F453">
        <f>HYPERLINK("https://portal.dnb.de/opac.htm?method=simpleSearch&amp;cqlMode=true&amp;query=idn%3D1066972060", "Portal")</f>
        <v/>
      </c>
      <c r="G453" t="inlineStr">
        <is>
          <t>Aa</t>
        </is>
      </c>
      <c r="H453" t="inlineStr">
        <is>
          <t>L-1488-315502487</t>
        </is>
      </c>
      <c r="I453" t="inlineStr">
        <is>
          <t>1066972060</t>
        </is>
      </c>
      <c r="J453" t="inlineStr">
        <is>
          <t>II 30,13c</t>
        </is>
      </c>
      <c r="K453" t="inlineStr">
        <is>
          <t>II 30,13c</t>
        </is>
      </c>
      <c r="L453" t="inlineStr">
        <is>
          <t>II 30,13c</t>
        </is>
      </c>
      <c r="M453" t="inlineStr"/>
      <c r="N453" t="inlineStr">
        <is>
          <t xml:space="preserve">Fasciculus temporum : </t>
        </is>
      </c>
      <c r="O453" t="inlineStr">
        <is>
          <t xml:space="preserve"> : </t>
        </is>
      </c>
      <c r="P453" t="inlineStr">
        <is>
          <t>X</t>
        </is>
      </c>
      <c r="Q453" t="inlineStr"/>
      <c r="R453" t="inlineStr">
        <is>
          <t>Halbledereinband, Schließen, erhabene Buchbeschläge</t>
        </is>
      </c>
      <c r="S453" t="inlineStr">
        <is>
          <t>bis 35 cm</t>
        </is>
      </c>
      <c r="T453" t="inlineStr">
        <is>
          <t>80° bis 110°, einseitig digitalisierbar?</t>
        </is>
      </c>
      <c r="U453" t="inlineStr">
        <is>
          <t>fester Rücken mit Schmuckprägung, welliger Buchblock</t>
        </is>
      </c>
      <c r="V453" t="inlineStr">
        <is>
          <t>nicht auflegen</t>
        </is>
      </c>
      <c r="W453" t="inlineStr">
        <is>
          <t>Kassette</t>
        </is>
      </c>
      <c r="X453" t="inlineStr">
        <is>
          <t>Nein</t>
        </is>
      </c>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t>
        </is>
      </c>
      <c r="B454" t="b">
        <v>1</v>
      </c>
      <c r="C454" t="inlineStr"/>
      <c r="D454" t="inlineStr"/>
      <c r="E454" t="inlineStr"/>
      <c r="F454">
        <f>HYPERLINK("https://portal.dnb.de/opac.htm?method=simpleSearch&amp;cqlMode=true&amp;query=idn%3D1268950041", "Portal")</f>
        <v/>
      </c>
      <c r="G454" t="inlineStr">
        <is>
          <t>Qd</t>
        </is>
      </c>
      <c r="H454" t="inlineStr">
        <is>
          <t>L-1489-834332698</t>
        </is>
      </c>
      <c r="I454" t="inlineStr">
        <is>
          <t>1268950041</t>
        </is>
      </c>
      <c r="J454" t="inlineStr">
        <is>
          <t>II 30,13d</t>
        </is>
      </c>
      <c r="K454" t="inlineStr">
        <is>
          <t>II 30,13d</t>
        </is>
      </c>
      <c r="L454" t="inlineStr">
        <is>
          <t>II 30,13d</t>
        </is>
      </c>
      <c r="M454" t="inlineStr"/>
      <c r="N454" t="inlineStr">
        <is>
          <t xml:space="preserve">Sammelband mit zwei Inkunabeln, gedruckt in Strassburg : </t>
        </is>
      </c>
      <c r="O454" t="inlineStr">
        <is>
          <t xml:space="preserve"> : </t>
        </is>
      </c>
      <c r="P454" t="inlineStr"/>
      <c r="Q454" t="inlineStr"/>
      <c r="R454" t="inlineStr">
        <is>
          <t>Ledereinband, Schließen, erhabene Buchbeschläge</t>
        </is>
      </c>
      <c r="S454" t="inlineStr">
        <is>
          <t>bis 35 cm</t>
        </is>
      </c>
      <c r="T454" t="inlineStr">
        <is>
          <t>nur sehr geringer Öffnungswinkel</t>
        </is>
      </c>
      <c r="U454" t="inlineStr">
        <is>
          <t>fester Rücken mit Schmuckprägung, erhabene Illuminationen</t>
        </is>
      </c>
      <c r="V454" t="inlineStr">
        <is>
          <t>nicht auflegen</t>
        </is>
      </c>
      <c r="W454" t="inlineStr">
        <is>
          <t>Kassette</t>
        </is>
      </c>
      <c r="X454" t="inlineStr">
        <is>
          <t>Nein</t>
        </is>
      </c>
      <c r="Y454" t="n">
        <v>0</v>
      </c>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t>
        </is>
      </c>
      <c r="B455" t="b">
        <v>0</v>
      </c>
      <c r="C455" t="inlineStr"/>
      <c r="D455" t="inlineStr"/>
      <c r="E455" t="inlineStr"/>
      <c r="F455">
        <f>HYPERLINK("https://portal.dnb.de/opac.htm?method=simpleSearch&amp;cqlMode=true&amp;query=idn%3D", "Portal")</f>
        <v/>
      </c>
      <c r="G455" t="inlineStr"/>
      <c r="H455" t="inlineStr"/>
      <c r="I455" t="inlineStr"/>
      <c r="J455" t="inlineStr"/>
      <c r="K455" t="inlineStr"/>
      <c r="L455" t="inlineStr">
        <is>
          <t>II 30,13e</t>
        </is>
      </c>
      <c r="M455" t="inlineStr"/>
      <c r="N455" t="inlineStr"/>
      <c r="O455" t="inlineStr"/>
      <c r="P455" t="inlineStr"/>
      <c r="Q455" t="inlineStr"/>
      <c r="R455" t="inlineStr"/>
      <c r="S455" t="inlineStr"/>
      <c r="T455" t="inlineStr"/>
      <c r="U455" t="inlineStr"/>
      <c r="V455" t="inlineStr"/>
      <c r="W455" t="inlineStr">
        <is>
          <t>Kassette</t>
        </is>
      </c>
      <c r="X455" t="inlineStr">
        <is>
          <t>Nein</t>
        </is>
      </c>
      <c r="Y455" t="inlineStr"/>
      <c r="Z455" t="inlineStr">
        <is>
          <t>Originaleinband/Blindmaterial</t>
        </is>
      </c>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t>
        </is>
      </c>
      <c r="B456" t="b">
        <v>1</v>
      </c>
      <c r="C456" t="inlineStr"/>
      <c r="D456" t="inlineStr"/>
      <c r="E456" t="n">
        <v>446</v>
      </c>
      <c r="F456">
        <f>HYPERLINK("https://portal.dnb.de/opac.htm?method=simpleSearch&amp;cqlMode=true&amp;query=idn%3D1066968381", "Portal")</f>
        <v/>
      </c>
      <c r="G456" t="inlineStr">
        <is>
          <t>Aaf</t>
        </is>
      </c>
      <c r="H456" t="inlineStr">
        <is>
          <t>L-1488-315498633</t>
        </is>
      </c>
      <c r="I456" t="inlineStr">
        <is>
          <t>1066968381</t>
        </is>
      </c>
      <c r="J456" t="inlineStr">
        <is>
          <t>II 30,13e</t>
        </is>
      </c>
      <c r="K456" t="inlineStr">
        <is>
          <t>II 30,13e</t>
        </is>
      </c>
      <c r="L456" t="inlineStr">
        <is>
          <t>II 30,13e</t>
        </is>
      </c>
      <c r="M456" t="inlineStr"/>
      <c r="N456" t="inlineStr">
        <is>
          <t>De spiritualibus ascensionibus : P. 1-3</t>
        </is>
      </c>
      <c r="O456" t="inlineStr">
        <is>
          <t xml:space="preserve"> : </t>
        </is>
      </c>
      <c r="P456" t="inlineStr">
        <is>
          <t>x</t>
        </is>
      </c>
      <c r="Q456" t="inlineStr"/>
      <c r="R456" t="inlineStr">
        <is>
          <t>Ledereinband, Schließen, erhabene Buchbeschläge</t>
        </is>
      </c>
      <c r="S456" t="inlineStr">
        <is>
          <t>bis 25 cm</t>
        </is>
      </c>
      <c r="T456" t="inlineStr">
        <is>
          <t>nur sehr geringer Öffnungswinkel</t>
        </is>
      </c>
      <c r="U456" t="inlineStr">
        <is>
          <t>erhabene Illuminationen</t>
        </is>
      </c>
      <c r="V456" t="inlineStr">
        <is>
          <t>nicht auflegen</t>
        </is>
      </c>
      <c r="W456" t="inlineStr">
        <is>
          <t>Kassette</t>
        </is>
      </c>
      <c r="X456" t="inlineStr">
        <is>
          <t>Nein</t>
        </is>
      </c>
      <c r="Y456" t="n">
        <v>0</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t>
        </is>
      </c>
      <c r="B457" t="b">
        <v>1</v>
      </c>
      <c r="C457" t="inlineStr"/>
      <c r="D457" t="inlineStr"/>
      <c r="E457" t="n">
        <v>447</v>
      </c>
      <c r="F457">
        <f>HYPERLINK("https://portal.dnb.de/opac.htm?method=simpleSearch&amp;cqlMode=true&amp;query=idn%3D1084610876", "Portal")</f>
        <v/>
      </c>
      <c r="G457" t="inlineStr">
        <is>
          <t>Aa</t>
        </is>
      </c>
      <c r="H457" t="inlineStr">
        <is>
          <t>L-1498-352277645</t>
        </is>
      </c>
      <c r="I457" t="inlineStr">
        <is>
          <t>1084610876</t>
        </is>
      </c>
      <c r="J457" t="inlineStr">
        <is>
          <t>II 30,13g</t>
        </is>
      </c>
      <c r="K457" t="inlineStr">
        <is>
          <t>II 30,13g</t>
        </is>
      </c>
      <c r="L457" t="inlineStr">
        <is>
          <t>II 30,13g</t>
        </is>
      </c>
      <c r="M457" t="inlineStr"/>
      <c r="N457" t="inlineStr">
        <is>
          <t xml:space="preserve">Hortus sanitatis : </t>
        </is>
      </c>
      <c r="O457" t="inlineStr">
        <is>
          <t xml:space="preserve"> : </t>
        </is>
      </c>
      <c r="P457" t="inlineStr"/>
      <c r="Q457" t="inlineStr"/>
      <c r="R457" t="inlineStr">
        <is>
          <t>Ledereinband, Schließen, erhabene Buchbeschläge</t>
        </is>
      </c>
      <c r="S457" t="inlineStr">
        <is>
          <t>bis 35 cm</t>
        </is>
      </c>
      <c r="T457" t="inlineStr">
        <is>
          <t>80° bis 110°, einseitig digitalisierbar?</t>
        </is>
      </c>
      <c r="U457" t="inlineStr">
        <is>
          <t>erhabene Illuminationen</t>
        </is>
      </c>
      <c r="V457" t="inlineStr">
        <is>
          <t>nicht auflegen</t>
        </is>
      </c>
      <c r="W457" t="inlineStr">
        <is>
          <t>Kassette</t>
        </is>
      </c>
      <c r="X457" t="inlineStr">
        <is>
          <t>nein</t>
        </is>
      </c>
      <c r="Y457" t="n">
        <v>0</v>
      </c>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n">
        <v>0</v>
      </c>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t>
        </is>
      </c>
      <c r="B458" t="b">
        <v>1</v>
      </c>
      <c r="C458" t="inlineStr"/>
      <c r="D458" t="inlineStr"/>
      <c r="E458" t="inlineStr"/>
      <c r="F458">
        <f>HYPERLINK("https://portal.dnb.de/opac.htm?method=simpleSearch&amp;cqlMode=true&amp;query=idn%3D1066969248", "Portal")</f>
        <v/>
      </c>
      <c r="G458" t="inlineStr">
        <is>
          <t>Aaf</t>
        </is>
      </c>
      <c r="H458" t="inlineStr">
        <is>
          <t>L-1507-315499559</t>
        </is>
      </c>
      <c r="I458" t="inlineStr">
        <is>
          <t>1066969248</t>
        </is>
      </c>
      <c r="J458" t="inlineStr">
        <is>
          <t>II 30,13ga</t>
        </is>
      </c>
      <c r="K458" t="inlineStr">
        <is>
          <t>II 30,13ga</t>
        </is>
      </c>
      <c r="L458" t="inlineStr">
        <is>
          <t>II 30,13ga</t>
        </is>
      </c>
      <c r="M458" t="inlineStr"/>
      <c r="N458" t="inlineStr">
        <is>
          <t xml:space="preserve">Hortus sanitatis : </t>
        </is>
      </c>
      <c r="O458" t="inlineStr">
        <is>
          <t xml:space="preserve"> : </t>
        </is>
      </c>
      <c r="P458" t="inlineStr">
        <is>
          <t>X</t>
        </is>
      </c>
      <c r="Q458" t="inlineStr"/>
      <c r="R458" t="inlineStr">
        <is>
          <t>Ledereinband, Schließen, erhabene Buchbeschläge</t>
        </is>
      </c>
      <c r="S458" t="inlineStr">
        <is>
          <t>bis 35 cm</t>
        </is>
      </c>
      <c r="T458" t="inlineStr">
        <is>
          <t>80° bis 110°, einseitig digitalisierbar?</t>
        </is>
      </c>
      <c r="U458" t="inlineStr"/>
      <c r="V458" t="inlineStr"/>
      <c r="W458" t="inlineStr">
        <is>
          <t>Kassette</t>
        </is>
      </c>
      <c r="X458" t="inlineStr">
        <is>
          <t>Nein</t>
        </is>
      </c>
      <c r="Y458" t="n">
        <v>0</v>
      </c>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t>
        </is>
      </c>
      <c r="B459" t="b">
        <v>1</v>
      </c>
      <c r="C459" t="inlineStr"/>
      <c r="D459" t="inlineStr"/>
      <c r="E459" t="n">
        <v>449</v>
      </c>
      <c r="F459">
        <f>HYPERLINK("https://portal.dnb.de/opac.htm?method=simpleSearch&amp;cqlMode=true&amp;query=idn%3D1066972249", "Portal")</f>
        <v/>
      </c>
      <c r="G459" t="inlineStr">
        <is>
          <t>Aaf</t>
        </is>
      </c>
      <c r="H459" t="inlineStr">
        <is>
          <t>L-1484-315502665</t>
        </is>
      </c>
      <c r="I459" t="inlineStr">
        <is>
          <t>1066972249</t>
        </is>
      </c>
      <c r="J459" t="inlineStr">
        <is>
          <t>II 30,13i</t>
        </is>
      </c>
      <c r="K459" t="inlineStr">
        <is>
          <t>II 30,13i</t>
        </is>
      </c>
      <c r="L459" t="inlineStr">
        <is>
          <t>II 30,13i</t>
        </is>
      </c>
      <c r="M459" t="inlineStr"/>
      <c r="N459" t="inlineStr">
        <is>
          <t xml:space="preserve">Statuta provincialia Moguntinensia : </t>
        </is>
      </c>
      <c r="O459" t="inlineStr">
        <is>
          <t xml:space="preserve"> : </t>
        </is>
      </c>
      <c r="P459" t="inlineStr">
        <is>
          <t>X</t>
        </is>
      </c>
      <c r="Q459" t="inlineStr"/>
      <c r="R459" t="inlineStr">
        <is>
          <t>Schließen, erhabene Buchbeschläge, Halbledereinband</t>
        </is>
      </c>
      <c r="S459" t="inlineStr">
        <is>
          <t>bis 35 cm</t>
        </is>
      </c>
      <c r="T459" t="inlineStr">
        <is>
          <t>180°</t>
        </is>
      </c>
      <c r="U459" t="inlineStr">
        <is>
          <t>fester Rücken mit Schmuckprägung</t>
        </is>
      </c>
      <c r="V459" t="inlineStr"/>
      <c r="W459" t="inlineStr">
        <is>
          <t>Kassette</t>
        </is>
      </c>
      <c r="X459" t="inlineStr">
        <is>
          <t>Nein</t>
        </is>
      </c>
      <c r="Y459" t="n">
        <v>2</v>
      </c>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n">
        <v>0</v>
      </c>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t>
        </is>
      </c>
      <c r="B460" t="b">
        <v>1</v>
      </c>
      <c r="C460" t="inlineStr"/>
      <c r="D460" t="inlineStr"/>
      <c r="E460" t="n">
        <v>450</v>
      </c>
      <c r="F460">
        <f>HYPERLINK("https://portal.dnb.de/opac.htm?method=simpleSearch&amp;cqlMode=true&amp;query=idn%3D1066969132", "Portal")</f>
        <v/>
      </c>
      <c r="G460" t="inlineStr">
        <is>
          <t>Aa</t>
        </is>
      </c>
      <c r="H460" t="inlineStr">
        <is>
          <t>L-1490-315499435</t>
        </is>
      </c>
      <c r="I460" t="inlineStr">
        <is>
          <t>1066969132</t>
        </is>
      </c>
      <c r="J460" t="inlineStr">
        <is>
          <t>II 30,13k</t>
        </is>
      </c>
      <c r="K460" t="inlineStr">
        <is>
          <t>II 30,13k</t>
        </is>
      </c>
      <c r="L460" t="inlineStr">
        <is>
          <t>II 30,13k</t>
        </is>
      </c>
      <c r="M460" t="inlineStr"/>
      <c r="N460" t="inlineStr">
        <is>
          <t xml:space="preserve">Liber Discipuli de eruditione Christifidelium : </t>
        </is>
      </c>
      <c r="O460" t="inlineStr">
        <is>
          <t xml:space="preserve"> : </t>
        </is>
      </c>
      <c r="P460" t="inlineStr">
        <is>
          <t>X</t>
        </is>
      </c>
      <c r="Q460" t="inlineStr"/>
      <c r="R460" t="inlineStr">
        <is>
          <t>Ledereinband, Schließen, erhabene Buchbeschläge</t>
        </is>
      </c>
      <c r="S460" t="inlineStr">
        <is>
          <t>bis 35 cm</t>
        </is>
      </c>
      <c r="T460" t="inlineStr">
        <is>
          <t>80° bis 110°, einseitig digitalisierbar?</t>
        </is>
      </c>
      <c r="U460" t="inlineStr">
        <is>
          <t>fester Rücken mit Schmuckprägung, erhabene Illuminationen</t>
        </is>
      </c>
      <c r="V460" t="inlineStr">
        <is>
          <t>nicht auflegen</t>
        </is>
      </c>
      <c r="W460" t="inlineStr">
        <is>
          <t>Kassette</t>
        </is>
      </c>
      <c r="X460" t="inlineStr">
        <is>
          <t>Nein</t>
        </is>
      </c>
      <c r="Y460" t="n">
        <v>0</v>
      </c>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n">
        <v>0</v>
      </c>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t>
        </is>
      </c>
      <c r="B461" t="b">
        <v>1</v>
      </c>
      <c r="C461" t="inlineStr"/>
      <c r="D461" t="inlineStr"/>
      <c r="E461" t="n">
        <v>451</v>
      </c>
      <c r="F461">
        <f>HYPERLINK("https://portal.dnb.de/opac.htm?method=simpleSearch&amp;cqlMode=true&amp;query=idn%3D1066969434", "Portal")</f>
        <v/>
      </c>
      <c r="G461" t="inlineStr">
        <is>
          <t>Aaf</t>
        </is>
      </c>
      <c r="H461" t="inlineStr">
        <is>
          <t>L-1483-315499761</t>
        </is>
      </c>
      <c r="I461" t="inlineStr">
        <is>
          <t>1066969434</t>
        </is>
      </c>
      <c r="J461" t="inlineStr">
        <is>
          <t>II 30,14a</t>
        </is>
      </c>
      <c r="K461" t="inlineStr">
        <is>
          <t>II 30,14a</t>
        </is>
      </c>
      <c r="L461" t="inlineStr">
        <is>
          <t>II 30,14a</t>
        </is>
      </c>
      <c r="M461" t="inlineStr"/>
      <c r="N461" t="inlineStr">
        <is>
          <t xml:space="preserve">Postillae de tempore et sermones : </t>
        </is>
      </c>
      <c r="O461" t="inlineStr">
        <is>
          <t xml:space="preserve"> : </t>
        </is>
      </c>
      <c r="P461" t="inlineStr"/>
      <c r="Q461" t="inlineStr"/>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t>
        </is>
      </c>
      <c r="B462" t="b">
        <v>1</v>
      </c>
      <c r="C462" t="inlineStr"/>
      <c r="D462" t="inlineStr"/>
      <c r="E462" t="n">
        <v>452</v>
      </c>
      <c r="F462">
        <f>HYPERLINK("https://portal.dnb.de/opac.htm?method=simpleSearch&amp;cqlMode=true&amp;query=idn%3D106696601X", "Portal")</f>
        <v/>
      </c>
      <c r="G462" t="inlineStr">
        <is>
          <t>Aa</t>
        </is>
      </c>
      <c r="H462" t="inlineStr">
        <is>
          <t>L-1483-315496312</t>
        </is>
      </c>
      <c r="I462" t="inlineStr">
        <is>
          <t>106696601X</t>
        </is>
      </c>
      <c r="J462" t="inlineStr">
        <is>
          <t>II 30,14b</t>
        </is>
      </c>
      <c r="K462" t="inlineStr">
        <is>
          <t>II 30,14b</t>
        </is>
      </c>
      <c r="L462" t="inlineStr">
        <is>
          <t>II 30,14b</t>
        </is>
      </c>
      <c r="M462" t="inlineStr"/>
      <c r="N462" t="inlineStr">
        <is>
          <t xml:space="preserve">De proprietatibus rerum : </t>
        </is>
      </c>
      <c r="O462" t="inlineStr">
        <is>
          <t xml:space="preserve"> : </t>
        </is>
      </c>
      <c r="P462" t="inlineStr">
        <is>
          <t>X</t>
        </is>
      </c>
      <c r="Q462" t="inlineStr"/>
      <c r="R462" t="inlineStr">
        <is>
          <t>Halbledereinband, Schließen, erhabene Buchbeschläge</t>
        </is>
      </c>
      <c r="S462" t="inlineStr">
        <is>
          <t>bis 35 cm</t>
        </is>
      </c>
      <c r="T462" t="inlineStr">
        <is>
          <t>80° bis 110°, einseitig digitalisierbar?</t>
        </is>
      </c>
      <c r="U462" t="inlineStr">
        <is>
          <t>fester Rücken mit Schmuckprägung, erhabene Illuminationen</t>
        </is>
      </c>
      <c r="V462" t="inlineStr">
        <is>
          <t>nicht auflegen</t>
        </is>
      </c>
      <c r="W462" t="inlineStr">
        <is>
          <t>Kassette</t>
        </is>
      </c>
      <c r="X462" t="inlineStr">
        <is>
          <t>Nein</t>
        </is>
      </c>
      <c r="Y462" t="n">
        <v>1</v>
      </c>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t>
        </is>
      </c>
      <c r="B463" t="b">
        <v>1</v>
      </c>
      <c r="C463" t="inlineStr">
        <is>
          <t>x</t>
        </is>
      </c>
      <c r="D463" t="inlineStr"/>
      <c r="E463" t="n">
        <v>453</v>
      </c>
      <c r="F463">
        <f>HYPERLINK("https://portal.dnb.de/opac.htm?method=simpleSearch&amp;cqlMode=true&amp;query=idn%3D1066971439", "Portal")</f>
        <v/>
      </c>
      <c r="G463" t="inlineStr">
        <is>
          <t>Aal</t>
        </is>
      </c>
      <c r="H463" t="inlineStr">
        <is>
          <t>L-1483-315501804</t>
        </is>
      </c>
      <c r="I463" t="inlineStr">
        <is>
          <t>1066971439</t>
        </is>
      </c>
      <c r="J463" t="inlineStr">
        <is>
          <t>II 30,14c</t>
        </is>
      </c>
      <c r="K463" t="inlineStr">
        <is>
          <t>II 30,14c</t>
        </is>
      </c>
      <c r="L463" t="inlineStr">
        <is>
          <t>II 30,14c</t>
        </is>
      </c>
      <c r="M463" t="inlineStr"/>
      <c r="N463" t="inlineStr">
        <is>
          <t xml:space="preserve">Historia scholastica : </t>
        </is>
      </c>
      <c r="O463" t="inlineStr">
        <is>
          <t xml:space="preserve"> : </t>
        </is>
      </c>
      <c r="P463" t="inlineStr">
        <is>
          <t>X</t>
        </is>
      </c>
      <c r="Q463" t="inlineStr">
        <is>
          <t>4500,00 EUR</t>
        </is>
      </c>
      <c r="R463" t="inlineStr">
        <is>
          <t>Halbledereinband</t>
        </is>
      </c>
      <c r="S463" t="inlineStr">
        <is>
          <t>bis 35 cm</t>
        </is>
      </c>
      <c r="T463" t="inlineStr">
        <is>
          <t>80° bis 110°, einseitig digitalisierbar?</t>
        </is>
      </c>
      <c r="U463" t="inlineStr">
        <is>
          <t>hohler Rücken, erhabene Illuminationen</t>
        </is>
      </c>
      <c r="V463" t="inlineStr">
        <is>
          <t>nicht auflegen</t>
        </is>
      </c>
      <c r="W463" t="inlineStr">
        <is>
          <t>Kassette</t>
        </is>
      </c>
      <c r="X463" t="inlineStr">
        <is>
          <t>Nein</t>
        </is>
      </c>
      <c r="Y463" t="n">
        <v>0</v>
      </c>
      <c r="Z463" t="inlineStr"/>
      <c r="AA463" t="inlineStr"/>
      <c r="AB463" t="inlineStr"/>
      <c r="AC463" t="inlineStr"/>
      <c r="AD463" t="inlineStr"/>
      <c r="AE463" t="inlineStr"/>
      <c r="AF463" t="inlineStr"/>
      <c r="AG463" t="inlineStr"/>
      <c r="AH463" t="inlineStr"/>
      <c r="AI463" t="inlineStr">
        <is>
          <t>HL</t>
        </is>
      </c>
      <c r="AJ463" t="inlineStr"/>
      <c r="AK463" t="inlineStr"/>
      <c r="AL463" t="inlineStr"/>
      <c r="AM463" t="inlineStr">
        <is>
          <t>h/E</t>
        </is>
      </c>
      <c r="AN463" t="inlineStr"/>
      <c r="AO463" t="inlineStr"/>
      <c r="AP463" t="inlineStr"/>
      <c r="AQ463" t="inlineStr"/>
      <c r="AR463" t="inlineStr"/>
      <c r="AS463" t="inlineStr">
        <is>
          <t>Pa</t>
        </is>
      </c>
      <c r="AT463" t="inlineStr"/>
      <c r="AU463" t="inlineStr"/>
      <c r="AV463" t="inlineStr"/>
      <c r="AW463" t="inlineStr"/>
      <c r="AX463" t="inlineStr"/>
      <c r="AY463" t="inlineStr"/>
      <c r="AZ463" t="inlineStr"/>
      <c r="BA463" t="inlineStr"/>
      <c r="BB463" t="inlineStr"/>
      <c r="BC463" t="inlineStr">
        <is>
          <t>I/R</t>
        </is>
      </c>
      <c r="BD463" t="inlineStr">
        <is>
          <t>x</t>
        </is>
      </c>
      <c r="BE463" t="inlineStr"/>
      <c r="BF463" t="inlineStr"/>
      <c r="BG463" t="n">
        <v>45</v>
      </c>
      <c r="BH463" t="inlineStr"/>
      <c r="BI463" t="inlineStr"/>
      <c r="BJ463" t="inlineStr"/>
      <c r="BK463" t="inlineStr"/>
      <c r="BL463" t="inlineStr"/>
      <c r="BM463" t="inlineStr">
        <is>
          <t>ja vor</t>
        </is>
      </c>
      <c r="BN463" t="n">
        <v>2</v>
      </c>
      <c r="BO463" t="inlineStr"/>
      <c r="BP463" t="inlineStr">
        <is>
          <t>Wellpappe</t>
        </is>
      </c>
      <c r="BQ463" t="inlineStr"/>
      <c r="BR463" t="inlineStr"/>
      <c r="BS463" t="inlineStr"/>
      <c r="BT463" t="inlineStr"/>
      <c r="BU463" t="inlineStr"/>
      <c r="BV463" t="inlineStr"/>
      <c r="BW463" t="inlineStr"/>
      <c r="BX463" t="inlineStr"/>
      <c r="BY463" t="inlineStr"/>
      <c r="BZ463" t="inlineStr">
        <is>
          <t>x</t>
        </is>
      </c>
      <c r="CA463" t="inlineStr">
        <is>
          <t>x</t>
        </is>
      </c>
      <c r="CB463" t="inlineStr">
        <is>
          <t>x</t>
        </is>
      </c>
      <c r="CC463" t="inlineStr"/>
      <c r="CD463" t="inlineStr">
        <is>
          <t>h</t>
        </is>
      </c>
      <c r="CE463" t="inlineStr"/>
      <c r="CF463" t="inlineStr"/>
      <c r="CG463" t="inlineStr"/>
      <c r="CH463" t="inlineStr"/>
      <c r="CI463" t="inlineStr"/>
      <c r="CJ463" t="inlineStr"/>
      <c r="CK463" t="inlineStr"/>
      <c r="CL463" t="inlineStr"/>
      <c r="CM463" t="n">
        <v>2</v>
      </c>
      <c r="CN463" t="inlineStr">
        <is>
          <t>Titelschild und Ledernarben sichern, Gelenke mit JP überfangen, im Gelenk hinten Fehltstelle ergänzen, Einschlag oben mit JP sichern</t>
        </is>
      </c>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t>
        </is>
      </c>
      <c r="B464" t="b">
        <v>1</v>
      </c>
      <c r="C464" t="inlineStr"/>
      <c r="D464" t="inlineStr"/>
      <c r="E464" t="n">
        <v>454</v>
      </c>
      <c r="F464">
        <f>HYPERLINK("https://portal.dnb.de/opac.htm?method=simpleSearch&amp;cqlMode=true&amp;query=idn%3D1066970092", "Portal")</f>
        <v/>
      </c>
      <c r="G464" t="inlineStr">
        <is>
          <t>Aa</t>
        </is>
      </c>
      <c r="H464" t="inlineStr">
        <is>
          <t>L-1483-315500441</t>
        </is>
      </c>
      <c r="I464" t="inlineStr">
        <is>
          <t>1066970092</t>
        </is>
      </c>
      <c r="J464" t="inlineStr">
        <is>
          <t>II 30,14d</t>
        </is>
      </c>
      <c r="K464" t="inlineStr">
        <is>
          <t>II 30,14d</t>
        </is>
      </c>
      <c r="L464" t="inlineStr">
        <is>
          <t>II 30,14d</t>
        </is>
      </c>
      <c r="M464" t="inlineStr"/>
      <c r="N464" t="inlineStr">
        <is>
          <t xml:space="preserve">Sermones Dormi secure de tempore et de sanctis : </t>
        </is>
      </c>
      <c r="O464" t="inlineStr">
        <is>
          <t xml:space="preserve"> : </t>
        </is>
      </c>
      <c r="P464" t="inlineStr">
        <is>
          <t>X</t>
        </is>
      </c>
      <c r="Q464" t="inlineStr"/>
      <c r="R464" t="inlineStr">
        <is>
          <t>Gewebeeinband</t>
        </is>
      </c>
      <c r="S464" t="inlineStr">
        <is>
          <t>bis 35 cm</t>
        </is>
      </c>
      <c r="T464" t="inlineStr">
        <is>
          <t>80° bis 110°, einseitig digitalisierbar?</t>
        </is>
      </c>
      <c r="U464" t="inlineStr">
        <is>
          <t>fester Rücken mit Schmuckprägung, erhabene Illuminationen</t>
        </is>
      </c>
      <c r="V464" t="inlineStr">
        <is>
          <t>nicht auflegen</t>
        </is>
      </c>
      <c r="W464" t="inlineStr">
        <is>
          <t>Kassette</t>
        </is>
      </c>
      <c r="X464" t="inlineStr">
        <is>
          <t>Nein</t>
        </is>
      </c>
      <c r="Y464" t="n">
        <v>0</v>
      </c>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t>
        </is>
      </c>
      <c r="B465" t="b">
        <v>1</v>
      </c>
      <c r="C465" t="inlineStr">
        <is>
          <t>x</t>
        </is>
      </c>
      <c r="D465" t="inlineStr"/>
      <c r="E465" t="n">
        <v>455</v>
      </c>
      <c r="F465">
        <f>HYPERLINK("https://portal.dnb.de/opac.htm?method=simpleSearch&amp;cqlMode=true&amp;query=idn%3D1066970076", "Portal")</f>
        <v/>
      </c>
      <c r="G465" t="inlineStr">
        <is>
          <t>Aa</t>
        </is>
      </c>
      <c r="H465" t="inlineStr">
        <is>
          <t>L-1483-315500425</t>
        </is>
      </c>
      <c r="I465" t="inlineStr">
        <is>
          <t>1066970076</t>
        </is>
      </c>
      <c r="J465" t="inlineStr">
        <is>
          <t>II 30,14e</t>
        </is>
      </c>
      <c r="K465" t="inlineStr">
        <is>
          <t>II 30,14e</t>
        </is>
      </c>
      <c r="L465" t="inlineStr">
        <is>
          <t>II 30,14e</t>
        </is>
      </c>
      <c r="M465" t="inlineStr"/>
      <c r="N465" t="inlineStr">
        <is>
          <t xml:space="preserve">Expositio super toto psalterio : </t>
        </is>
      </c>
      <c r="O465" t="inlineStr">
        <is>
          <t xml:space="preserve"> : </t>
        </is>
      </c>
      <c r="P465" t="inlineStr">
        <is>
          <t>X</t>
        </is>
      </c>
      <c r="Q465" t="inlineStr">
        <is>
          <t>1700,00 EUR</t>
        </is>
      </c>
      <c r="R465" t="inlineStr">
        <is>
          <t>Gewebeeinband</t>
        </is>
      </c>
      <c r="S465" t="inlineStr">
        <is>
          <t>bis 35 cm</t>
        </is>
      </c>
      <c r="T465" t="inlineStr">
        <is>
          <t>80° bis 110°, einseitig digitalisierbar?</t>
        </is>
      </c>
      <c r="U465" t="inlineStr">
        <is>
          <t>fester Rücken mit Schmuckprägung, erhabene Illuminationen</t>
        </is>
      </c>
      <c r="V465" t="inlineStr">
        <is>
          <t>nicht auflegen</t>
        </is>
      </c>
      <c r="W465" t="inlineStr">
        <is>
          <t>Kassette</t>
        </is>
      </c>
      <c r="X465" t="inlineStr">
        <is>
          <t>Nein</t>
        </is>
      </c>
      <c r="Y465" t="n">
        <v>2</v>
      </c>
      <c r="Z465" t="inlineStr"/>
      <c r="AA465" t="inlineStr"/>
      <c r="AB465" t="inlineStr"/>
      <c r="AC465" t="inlineStr"/>
      <c r="AD465" t="inlineStr"/>
      <c r="AE465" t="inlineStr"/>
      <c r="AF465" t="inlineStr"/>
      <c r="AG465" t="inlineStr"/>
      <c r="AH465" t="inlineStr"/>
      <c r="AI465" t="inlineStr">
        <is>
          <t>G</t>
        </is>
      </c>
      <c r="AJ465" t="inlineStr"/>
      <c r="AK465" t="inlineStr">
        <is>
          <t>x</t>
        </is>
      </c>
      <c r="AL465" t="inlineStr"/>
      <c r="AM465" t="inlineStr">
        <is>
          <t>h/E</t>
        </is>
      </c>
      <c r="AN465" t="inlineStr"/>
      <c r="AO465" t="inlineStr"/>
      <c r="AP465" t="inlineStr"/>
      <c r="AQ465" t="inlineStr"/>
      <c r="AR465" t="inlineStr"/>
      <c r="AS465" t="inlineStr">
        <is>
          <t>Pa</t>
        </is>
      </c>
      <c r="AT465" t="inlineStr"/>
      <c r="AU465" t="inlineStr"/>
      <c r="AV465" t="inlineStr"/>
      <c r="AW465" t="inlineStr"/>
      <c r="AX465" t="inlineStr"/>
      <c r="AY465" t="inlineStr"/>
      <c r="AZ465" t="inlineStr"/>
      <c r="BA465" t="inlineStr"/>
      <c r="BB465" t="inlineStr"/>
      <c r="BC465" t="inlineStr"/>
      <c r="BD465" t="inlineStr"/>
      <c r="BE465" t="inlineStr"/>
      <c r="BF465" t="inlineStr"/>
      <c r="BG465" t="n">
        <v>60</v>
      </c>
      <c r="BH465" t="inlineStr"/>
      <c r="BI465" t="inlineStr"/>
      <c r="BJ465" t="inlineStr"/>
      <c r="BK465" t="inlineStr"/>
      <c r="BL465" t="inlineStr"/>
      <c r="BM465" t="inlineStr">
        <is>
          <t>ja vor</t>
        </is>
      </c>
      <c r="BN465" t="n">
        <v>2</v>
      </c>
      <c r="BO465" t="inlineStr"/>
      <c r="BP465" t="inlineStr">
        <is>
          <t>Wellpappe</t>
        </is>
      </c>
      <c r="BQ465" t="inlineStr"/>
      <c r="BR465" t="inlineStr"/>
      <c r="BS465" t="inlineStr"/>
      <c r="BT465" t="inlineStr"/>
      <c r="BU465" t="inlineStr"/>
      <c r="BV465" t="inlineStr"/>
      <c r="BW465" t="inlineStr"/>
      <c r="BX465" t="inlineStr"/>
      <c r="BY465" t="inlineStr"/>
      <c r="BZ465" t="inlineStr">
        <is>
          <t>x</t>
        </is>
      </c>
      <c r="CA465" t="inlineStr"/>
      <c r="CB465" t="inlineStr">
        <is>
          <t>x</t>
        </is>
      </c>
      <c r="CC465" t="inlineStr"/>
      <c r="CD465" t="inlineStr">
        <is>
          <t>v/h</t>
        </is>
      </c>
      <c r="CE465" t="inlineStr"/>
      <c r="CF465" t="inlineStr"/>
      <c r="CG465" t="inlineStr"/>
      <c r="CH465" t="inlineStr"/>
      <c r="CI465" t="inlineStr"/>
      <c r="CJ465" t="inlineStr"/>
      <c r="CK465" t="inlineStr"/>
      <c r="CL465" t="inlineStr"/>
      <c r="CM465" t="n">
        <v>2</v>
      </c>
      <c r="CN465" t="inlineStr">
        <is>
          <t>Rücken an Kopf und Fuß mit JP einfassen, RD im Gelenkbereich mit Spiegel verkleben, loses Gewebe in den Gelenken fixieren und ggf. mit JP überfangen</t>
        </is>
      </c>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t>
        </is>
      </c>
      <c r="B466" t="b">
        <v>1</v>
      </c>
      <c r="C466" t="inlineStr">
        <is>
          <t>x</t>
        </is>
      </c>
      <c r="D466" t="inlineStr"/>
      <c r="E466" t="n">
        <v>456</v>
      </c>
      <c r="F466">
        <f>HYPERLINK("https://portal.dnb.de/opac.htm?method=simpleSearch&amp;cqlMode=true&amp;query=idn%3D1066967695", "Portal")</f>
        <v/>
      </c>
      <c r="G466" t="inlineStr">
        <is>
          <t>Aaf</t>
        </is>
      </c>
      <c r="H466" t="inlineStr">
        <is>
          <t>L-1483-315497955</t>
        </is>
      </c>
      <c r="I466" t="inlineStr">
        <is>
          <t>1066967695</t>
        </is>
      </c>
      <c r="J466" t="inlineStr">
        <is>
          <t>II 30,14f</t>
        </is>
      </c>
      <c r="K466" t="inlineStr">
        <is>
          <t>II 30,14f</t>
        </is>
      </c>
      <c r="L466" t="inlineStr">
        <is>
          <t>II 30,14f</t>
        </is>
      </c>
      <c r="M466" t="inlineStr"/>
      <c r="N466" t="inlineStr">
        <is>
          <t xml:space="preserve">Ruralia commoda : </t>
        </is>
      </c>
      <c r="O466" t="inlineStr">
        <is>
          <t xml:space="preserve"> : </t>
        </is>
      </c>
      <c r="P466" t="inlineStr">
        <is>
          <t>X</t>
        </is>
      </c>
      <c r="Q466" t="inlineStr">
        <is>
          <t>5000,00 EUR</t>
        </is>
      </c>
      <c r="R466" t="inlineStr">
        <is>
          <t>Halbledereinband, Schließen, erhabene Buchbeschläge</t>
        </is>
      </c>
      <c r="S466" t="inlineStr">
        <is>
          <t>bis 35 cm</t>
        </is>
      </c>
      <c r="T466" t="inlineStr">
        <is>
          <t>80° bis 110°, einseitig digitalisierbar?</t>
        </is>
      </c>
      <c r="U466" t="inlineStr">
        <is>
          <t>fester Rücken mit Schmuckprägung, welliger Buchblock, erhabene Illuminationen, stark brüchiges Einbandmaterial</t>
        </is>
      </c>
      <c r="V466" t="inlineStr">
        <is>
          <t>nicht auflegen</t>
        </is>
      </c>
      <c r="W466" t="inlineStr">
        <is>
          <t>Kassette</t>
        </is>
      </c>
      <c r="X466" t="inlineStr">
        <is>
          <t>Nein</t>
        </is>
      </c>
      <c r="Y466" t="n">
        <v>3</v>
      </c>
      <c r="Z466" t="inlineStr"/>
      <c r="AA466" t="inlineStr">
        <is>
          <t>Holzdeckel</t>
        </is>
      </c>
      <c r="AB466" t="inlineStr"/>
      <c r="AC466" t="inlineStr"/>
      <c r="AD466" t="inlineStr"/>
      <c r="AE466" t="inlineStr"/>
      <c r="AF466" t="inlineStr"/>
      <c r="AG466" t="inlineStr"/>
      <c r="AH466" t="inlineStr"/>
      <c r="AI466" t="inlineStr">
        <is>
          <t>HD</t>
        </is>
      </c>
      <c r="AJ466" t="inlineStr"/>
      <c r="AK466" t="inlineStr">
        <is>
          <t>x</t>
        </is>
      </c>
      <c r="AL466" t="inlineStr"/>
      <c r="AM466" t="inlineStr">
        <is>
          <t>f/V</t>
        </is>
      </c>
      <c r="AN466" t="inlineStr"/>
      <c r="AO466" t="inlineStr"/>
      <c r="AP466" t="inlineStr"/>
      <c r="AQ466" t="inlineStr"/>
      <c r="AR466" t="inlineStr"/>
      <c r="AS466" t="inlineStr">
        <is>
          <t>Pa</t>
        </is>
      </c>
      <c r="AT466" t="inlineStr"/>
      <c r="AU466" t="inlineStr"/>
      <c r="AV466" t="inlineStr"/>
      <c r="AW466" t="inlineStr">
        <is>
          <t>x</t>
        </is>
      </c>
      <c r="AX466" t="inlineStr"/>
      <c r="AY466" t="inlineStr"/>
      <c r="AZ466" t="inlineStr"/>
      <c r="BA466" t="inlineStr"/>
      <c r="BB466" t="inlineStr"/>
      <c r="BC466" t="inlineStr">
        <is>
          <t>I/R</t>
        </is>
      </c>
      <c r="BD466" t="inlineStr">
        <is>
          <t>x</t>
        </is>
      </c>
      <c r="BE466" t="inlineStr"/>
      <c r="BF466" t="inlineStr"/>
      <c r="BG466" t="n">
        <v>45</v>
      </c>
      <c r="BH466" t="inlineStr"/>
      <c r="BI466" t="inlineStr"/>
      <c r="BJ466" t="inlineStr"/>
      <c r="BK466" t="inlineStr"/>
      <c r="BL466" t="inlineStr"/>
      <c r="BM466" t="inlineStr">
        <is>
          <t>ja vor</t>
        </is>
      </c>
      <c r="BN466" t="n">
        <v>3</v>
      </c>
      <c r="BO466" t="inlineStr"/>
      <c r="BP466" t="inlineStr">
        <is>
          <t>Wellpappe</t>
        </is>
      </c>
      <c r="BQ466" t="inlineStr"/>
      <c r="BR466" t="inlineStr"/>
      <c r="BS466" t="inlineStr"/>
      <c r="BT466" t="inlineStr"/>
      <c r="BU466" t="inlineStr"/>
      <c r="BV466" t="inlineStr"/>
      <c r="BW466" t="inlineStr"/>
      <c r="BX466" t="inlineStr"/>
      <c r="BY466" t="inlineStr"/>
      <c r="BZ466" t="inlineStr">
        <is>
          <t>x</t>
        </is>
      </c>
      <c r="CA466" t="inlineStr">
        <is>
          <t>x</t>
        </is>
      </c>
      <c r="CB466" t="inlineStr">
        <is>
          <t>x</t>
        </is>
      </c>
      <c r="CC466" t="inlineStr"/>
      <c r="CD466" t="inlineStr"/>
      <c r="CE466" t="inlineStr"/>
      <c r="CF466" t="inlineStr"/>
      <c r="CG466" t="inlineStr"/>
      <c r="CH466" t="inlineStr"/>
      <c r="CI466" t="inlineStr"/>
      <c r="CJ466" t="inlineStr"/>
      <c r="CK466" t="inlineStr"/>
      <c r="CL466" t="inlineStr"/>
      <c r="CM466" t="n">
        <v>3</v>
      </c>
      <c r="CN466" t="inlineStr">
        <is>
          <t>Leder an Kopf und Fuß mit JP/JP-Gewebe-Laminat stabilisieren, Titelschilder und Narben festigen, ggf. mit JP überfangen</t>
        </is>
      </c>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t>
        </is>
      </c>
      <c r="B467" t="b">
        <v>1</v>
      </c>
      <c r="C467" t="inlineStr"/>
      <c r="D467" t="inlineStr"/>
      <c r="E467" t="n">
        <v>457</v>
      </c>
      <c r="F467">
        <f>HYPERLINK("https://portal.dnb.de/opac.htm?method=simpleSearch&amp;cqlMode=true&amp;query=idn%3D1066969213", "Portal")</f>
        <v/>
      </c>
      <c r="G467" t="inlineStr">
        <is>
          <t>Aaf</t>
        </is>
      </c>
      <c r="H467" t="inlineStr">
        <is>
          <t>L-1483-315499524</t>
        </is>
      </c>
      <c r="I467" t="inlineStr">
        <is>
          <t>1066969213</t>
        </is>
      </c>
      <c r="J467" t="inlineStr">
        <is>
          <t>II 30,14h</t>
        </is>
      </c>
      <c r="K467" t="inlineStr">
        <is>
          <t>II 30,14h</t>
        </is>
      </c>
      <c r="L467" t="inlineStr">
        <is>
          <t>II 30,14h</t>
        </is>
      </c>
      <c r="M467" t="inlineStr"/>
      <c r="N467" t="inlineStr">
        <is>
          <t xml:space="preserve">Historia Alexandri Magni : </t>
        </is>
      </c>
      <c r="O467" t="inlineStr">
        <is>
          <t xml:space="preserve"> : </t>
        </is>
      </c>
      <c r="P467" t="inlineStr">
        <is>
          <t>X</t>
        </is>
      </c>
      <c r="Q467" t="inlineStr"/>
      <c r="R467" t="inlineStr">
        <is>
          <t>Halbledereinband, Schließen, erhabene Buchbeschläge</t>
        </is>
      </c>
      <c r="S467" t="inlineStr">
        <is>
          <t>bis 35 cm</t>
        </is>
      </c>
      <c r="T467" t="inlineStr">
        <is>
          <t>180°</t>
        </is>
      </c>
      <c r="U467" t="inlineStr">
        <is>
          <t>hohler Rücken</t>
        </is>
      </c>
      <c r="V467" t="inlineStr"/>
      <c r="W467" t="inlineStr">
        <is>
          <t>Kassette</t>
        </is>
      </c>
      <c r="X467" t="inlineStr">
        <is>
          <t>Nein</t>
        </is>
      </c>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t>
        </is>
      </c>
      <c r="B468" t="b">
        <v>1</v>
      </c>
      <c r="C468" t="inlineStr"/>
      <c r="D468" t="inlineStr"/>
      <c r="E468" t="n">
        <v>458</v>
      </c>
      <c r="F468">
        <f>HYPERLINK("https://portal.dnb.de/opac.htm?method=simpleSearch&amp;cqlMode=true&amp;query=idn%3D1066972249", "Portal")</f>
        <v/>
      </c>
      <c r="G468" t="inlineStr">
        <is>
          <t>Aaf</t>
        </is>
      </c>
      <c r="H468" t="inlineStr">
        <is>
          <t>L-1484-315502657</t>
        </is>
      </c>
      <c r="I468" t="inlineStr">
        <is>
          <t>1066972249</t>
        </is>
      </c>
      <c r="J468" t="inlineStr">
        <is>
          <t>II 30,14i</t>
        </is>
      </c>
      <c r="K468" t="inlineStr">
        <is>
          <t>II 30,14i</t>
        </is>
      </c>
      <c r="L468" t="inlineStr">
        <is>
          <t>II 30,14i</t>
        </is>
      </c>
      <c r="M468" t="inlineStr"/>
      <c r="N468" t="inlineStr">
        <is>
          <t xml:space="preserve">Statuta provincialia Moguntinensia : </t>
        </is>
      </c>
      <c r="O468" t="inlineStr">
        <is>
          <t xml:space="preserve"> : </t>
        </is>
      </c>
      <c r="P468" t="inlineStr">
        <is>
          <t>X</t>
        </is>
      </c>
      <c r="Q468" t="inlineStr"/>
      <c r="R468" t="inlineStr">
        <is>
          <t>Ledereinband, Schließen, erhabene Buchbeschläge</t>
        </is>
      </c>
      <c r="S468" t="inlineStr">
        <is>
          <t>bis 35 cm</t>
        </is>
      </c>
      <c r="T468" t="inlineStr">
        <is>
          <t>80° bis 110°, einseitig digitalisierbar?</t>
        </is>
      </c>
      <c r="U468" t="inlineStr">
        <is>
          <t>hohler Rücken, welliger Buchblock, erhabene Illuminationen</t>
        </is>
      </c>
      <c r="V468" t="inlineStr">
        <is>
          <t>nicht auflegen</t>
        </is>
      </c>
      <c r="W468" t="inlineStr">
        <is>
          <t>Kassette</t>
        </is>
      </c>
      <c r="X468" t="inlineStr">
        <is>
          <t>Nein</t>
        </is>
      </c>
      <c r="Y468" t="n">
        <v>0</v>
      </c>
      <c r="Z468" t="inlineStr"/>
      <c r="AA468" t="inlineStr"/>
      <c r="AB468" t="inlineStr"/>
      <c r="AC468" t="inlineStr"/>
      <c r="AD468" t="inlineStr"/>
      <c r="AE468" t="inlineStr"/>
      <c r="AF468" t="inlineStr"/>
      <c r="AG468" t="inlineStr"/>
      <c r="AH468" t="inlineStr"/>
      <c r="AI468" t="inlineStr">
        <is>
          <t>HD</t>
        </is>
      </c>
      <c r="AJ468" t="inlineStr"/>
      <c r="AK468" t="inlineStr">
        <is>
          <t>x</t>
        </is>
      </c>
      <c r="AL468" t="inlineStr"/>
      <c r="AM468" t="inlineStr">
        <is>
          <t>f/V</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is>
          <t>I/R</t>
        </is>
      </c>
      <c r="BD468" t="inlineStr">
        <is>
          <t>x</t>
        </is>
      </c>
      <c r="BE468" t="inlineStr"/>
      <c r="BF468" t="inlineStr"/>
      <c r="BG468" t="n">
        <v>0</v>
      </c>
      <c r="BH468" t="inlineStr">
        <is>
          <t xml:space="preserve">
sehr geringer ÖW (ca. 30°)</t>
        </is>
      </c>
      <c r="BI468" t="inlineStr"/>
      <c r="BJ468" t="inlineStr"/>
      <c r="BK468" t="inlineStr"/>
      <c r="BL468" t="inlineStr"/>
      <c r="BM468" t="inlineStr">
        <is>
          <t>n</t>
        </is>
      </c>
      <c r="BN468" t="n">
        <v>0</v>
      </c>
      <c r="BO468" t="inlineStr"/>
      <c r="BP468" t="inlineStr">
        <is>
          <t>Wellpappe</t>
        </is>
      </c>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t>
        </is>
      </c>
      <c r="B469" t="b">
        <v>1</v>
      </c>
      <c r="C469" t="inlineStr"/>
      <c r="D469" t="inlineStr"/>
      <c r="E469" t="n">
        <v>459</v>
      </c>
      <c r="F469">
        <f>HYPERLINK("https://portal.dnb.de/opac.htm?method=simpleSearch&amp;cqlMode=true&amp;query=idn%3D1066964890", "Portal")</f>
        <v/>
      </c>
      <c r="G469" t="inlineStr">
        <is>
          <t>Aaf</t>
        </is>
      </c>
      <c r="H469" t="inlineStr">
        <is>
          <t>L-1489-315495065</t>
        </is>
      </c>
      <c r="I469" t="inlineStr">
        <is>
          <t>1066964890</t>
        </is>
      </c>
      <c r="J469" t="inlineStr">
        <is>
          <t>II 30,14k</t>
        </is>
      </c>
      <c r="K469" t="inlineStr">
        <is>
          <t>II 30,14k</t>
        </is>
      </c>
      <c r="L469" t="inlineStr">
        <is>
          <t>II 30,14k</t>
        </is>
      </c>
      <c r="M469" t="inlineStr"/>
      <c r="N469" t="inlineStr">
        <is>
          <t xml:space="preserve">Historia Alexandri Magni : </t>
        </is>
      </c>
      <c r="O469" t="inlineStr">
        <is>
          <t xml:space="preserve"> : </t>
        </is>
      </c>
      <c r="P469" t="inlineStr">
        <is>
          <t>X</t>
        </is>
      </c>
      <c r="Q469" t="inlineStr"/>
      <c r="R469" t="inlineStr">
        <is>
          <t>Gewebeeinband, Schließen, erhabene Buchbeschläge</t>
        </is>
      </c>
      <c r="S469" t="inlineStr">
        <is>
          <t>bis 35 cm</t>
        </is>
      </c>
      <c r="T469" t="inlineStr">
        <is>
          <t>180°</t>
        </is>
      </c>
      <c r="U469" t="inlineStr">
        <is>
          <t>hohler Rücken, welliger Buchblock</t>
        </is>
      </c>
      <c r="V469" t="inlineStr"/>
      <c r="W469" t="inlineStr">
        <is>
          <t>Kassette</t>
        </is>
      </c>
      <c r="X469" t="inlineStr">
        <is>
          <t>Nein</t>
        </is>
      </c>
      <c r="Y469" t="n">
        <v>0</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t>
        </is>
      </c>
      <c r="B470" t="b">
        <v>1</v>
      </c>
      <c r="C470" t="inlineStr"/>
      <c r="D470" t="inlineStr"/>
      <c r="E470" t="n">
        <v>460</v>
      </c>
      <c r="F470">
        <f>HYPERLINK("https://portal.dnb.de/opac.htm?method=simpleSearch&amp;cqlMode=true&amp;query=idn%3D1066970106", "Portal")</f>
        <v/>
      </c>
      <c r="G470" t="inlineStr">
        <is>
          <t>Aa</t>
        </is>
      </c>
      <c r="H470" t="inlineStr">
        <is>
          <t>L-1483-31550045X</t>
        </is>
      </c>
      <c r="I470" t="inlineStr">
        <is>
          <t>1066970106</t>
        </is>
      </c>
      <c r="J470" t="inlineStr">
        <is>
          <t>II 30,14l</t>
        </is>
      </c>
      <c r="K470" t="inlineStr">
        <is>
          <t>II 30,14l</t>
        </is>
      </c>
      <c r="L470" t="inlineStr">
        <is>
          <t>II 30,14l</t>
        </is>
      </c>
      <c r="M470" t="inlineStr"/>
      <c r="N470" t="inlineStr">
        <is>
          <t xml:space="preserve">Sermones Dormi secure de tempore et de sanctis : </t>
        </is>
      </c>
      <c r="O470" t="inlineStr">
        <is>
          <t xml:space="preserve"> : </t>
        </is>
      </c>
      <c r="P470" t="inlineStr">
        <is>
          <t>X</t>
        </is>
      </c>
      <c r="Q470" t="inlineStr"/>
      <c r="R470" t="inlineStr">
        <is>
          <t>Gewebeeinband</t>
        </is>
      </c>
      <c r="S470" t="inlineStr">
        <is>
          <t>bis 35 cm</t>
        </is>
      </c>
      <c r="T470" t="inlineStr">
        <is>
          <t>80° bis 110°, einseitig digitalisierbar?</t>
        </is>
      </c>
      <c r="U470" t="inlineStr">
        <is>
          <t>hohler Rücken, welliger Buchblock, erhabene Illuminationen</t>
        </is>
      </c>
      <c r="V470" t="inlineStr">
        <is>
          <t>nicht auflegen</t>
        </is>
      </c>
      <c r="W470" t="inlineStr">
        <is>
          <t>Kassette</t>
        </is>
      </c>
      <c r="X470" t="inlineStr">
        <is>
          <t>Nein</t>
        </is>
      </c>
      <c r="Y470" t="n">
        <v>0</v>
      </c>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t>
        </is>
      </c>
      <c r="B471" t="b">
        <v>1</v>
      </c>
      <c r="C471" t="inlineStr"/>
      <c r="D471" t="inlineStr"/>
      <c r="E471" t="n">
        <v>461</v>
      </c>
      <c r="F471">
        <f>HYPERLINK("https://portal.dnb.de/opac.htm?method=simpleSearch&amp;cqlMode=true&amp;query=idn%3D1066970157", "Portal")</f>
        <v/>
      </c>
      <c r="G471" t="inlineStr">
        <is>
          <t>Aa</t>
        </is>
      </c>
      <c r="H471" t="inlineStr">
        <is>
          <t>L-1483-315500506</t>
        </is>
      </c>
      <c r="I471" t="inlineStr">
        <is>
          <t>1066970157</t>
        </is>
      </c>
      <c r="J471" t="inlineStr">
        <is>
          <t>II 30,14m</t>
        </is>
      </c>
      <c r="K471" t="inlineStr">
        <is>
          <t>II 30,14m</t>
        </is>
      </c>
      <c r="L471" t="inlineStr">
        <is>
          <t>II 30,14m</t>
        </is>
      </c>
      <c r="M471" t="inlineStr"/>
      <c r="N471" t="inlineStr">
        <is>
          <t xml:space="preserve">Summa collationum sive Communiloquium : </t>
        </is>
      </c>
      <c r="O471" t="inlineStr">
        <is>
          <t xml:space="preserve"> : </t>
        </is>
      </c>
      <c r="P471" t="inlineStr">
        <is>
          <t>X</t>
        </is>
      </c>
      <c r="Q471" t="inlineStr"/>
      <c r="R471" t="inlineStr">
        <is>
          <t>Halbledereinband, Schließen, erhabene Buchbeschläge</t>
        </is>
      </c>
      <c r="S471" t="inlineStr">
        <is>
          <t>bis 35 cm</t>
        </is>
      </c>
      <c r="T471" t="inlineStr">
        <is>
          <t>180°</t>
        </is>
      </c>
      <c r="U471" t="inlineStr">
        <is>
          <t>hohler Rücken, stark brüchiges Einbandmaterial, erhabene Illuminationen</t>
        </is>
      </c>
      <c r="V471" t="inlineStr">
        <is>
          <t>nicht auflegen</t>
        </is>
      </c>
      <c r="W471" t="inlineStr">
        <is>
          <t>Kassette</t>
        </is>
      </c>
      <c r="X471" t="inlineStr">
        <is>
          <t>Nein</t>
        </is>
      </c>
      <c r="Y471" t="n">
        <v>1</v>
      </c>
      <c r="Z471" t="inlineStr"/>
      <c r="AA471" t="inlineStr">
        <is>
          <t>Fragment in Sammelbox</t>
        </is>
      </c>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t>
        </is>
      </c>
      <c r="B472" t="b">
        <v>1</v>
      </c>
      <c r="C472" t="inlineStr"/>
      <c r="D472" t="inlineStr"/>
      <c r="E472" t="n">
        <v>462</v>
      </c>
      <c r="F472">
        <f>HYPERLINK("https://portal.dnb.de/opac.htm?method=simpleSearch&amp;cqlMode=true&amp;query=idn%3D106697098X", "Portal")</f>
        <v/>
      </c>
      <c r="G472" t="inlineStr">
        <is>
          <t>Aaf</t>
        </is>
      </c>
      <c r="H472" t="inlineStr">
        <is>
          <t>L-1483-315501340</t>
        </is>
      </c>
      <c r="I472" t="inlineStr">
        <is>
          <t>106697098X</t>
        </is>
      </c>
      <c r="J472" t="inlineStr">
        <is>
          <t>II 30,14o</t>
        </is>
      </c>
      <c r="K472" t="inlineStr">
        <is>
          <t>II 30,14o</t>
        </is>
      </c>
      <c r="L472" t="inlineStr">
        <is>
          <t>II 30,14o</t>
        </is>
      </c>
      <c r="M472" t="inlineStr"/>
      <c r="N472" t="inlineStr">
        <is>
          <t xml:space="preserve">Modus legendi abbreviaturas [u.a.] : </t>
        </is>
      </c>
      <c r="O472" t="inlineStr">
        <is>
          <t xml:space="preserve"> : </t>
        </is>
      </c>
      <c r="P472" t="inlineStr">
        <is>
          <t>X</t>
        </is>
      </c>
      <c r="Q472" t="inlineStr"/>
      <c r="R472" t="inlineStr">
        <is>
          <t>Halbledereinband, Schließen, erhabene Buchbeschläge</t>
        </is>
      </c>
      <c r="S472" t="inlineStr">
        <is>
          <t>bis 35 cm</t>
        </is>
      </c>
      <c r="T472" t="inlineStr">
        <is>
          <t>nur sehr geringer Öffnungswinkel</t>
        </is>
      </c>
      <c r="U472" t="inlineStr">
        <is>
          <t>fester Rücken mit Schmuckprägung, welliger Buchblock</t>
        </is>
      </c>
      <c r="V472" t="inlineStr"/>
      <c r="W472" t="inlineStr">
        <is>
          <t>Kassette</t>
        </is>
      </c>
      <c r="X472" t="inlineStr">
        <is>
          <t>Nein</t>
        </is>
      </c>
      <c r="Y472" t="n">
        <v>1</v>
      </c>
      <c r="Z472" t="inlineStr"/>
      <c r="AA472" t="inlineStr">
        <is>
          <t>Holzdeckel</t>
        </is>
      </c>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t>
        </is>
      </c>
      <c r="B473" t="b">
        <v>1</v>
      </c>
      <c r="C473" t="inlineStr"/>
      <c r="D473" t="inlineStr"/>
      <c r="E473" t="n">
        <v>463</v>
      </c>
      <c r="F473">
        <f>HYPERLINK("https://portal.dnb.de/opac.htm?method=simpleSearch&amp;cqlMode=true&amp;query=idn%3D1066971196", "Portal")</f>
        <v/>
      </c>
      <c r="G473" t="inlineStr">
        <is>
          <t>Aal</t>
        </is>
      </c>
      <c r="H473" t="inlineStr">
        <is>
          <t>L-1483-315501561</t>
        </is>
      </c>
      <c r="I473" t="inlineStr">
        <is>
          <t>1066971196</t>
        </is>
      </c>
      <c r="J473" t="inlineStr">
        <is>
          <t>II 30,14oa</t>
        </is>
      </c>
      <c r="K473" t="inlineStr">
        <is>
          <t>II 30,14oa</t>
        </is>
      </c>
      <c r="L473" t="inlineStr">
        <is>
          <t>II 30,14oa</t>
        </is>
      </c>
      <c r="M473" t="inlineStr"/>
      <c r="N473" t="inlineStr">
        <is>
          <t xml:space="preserve">Sermones de tempore et de sanctis sive Viridarius : </t>
        </is>
      </c>
      <c r="O473" t="inlineStr">
        <is>
          <t xml:space="preserve"> : </t>
        </is>
      </c>
      <c r="P473" t="inlineStr">
        <is>
          <t>X</t>
        </is>
      </c>
      <c r="Q473" t="inlineStr"/>
      <c r="R473" t="inlineStr">
        <is>
          <t>Ledereinband, Schließen, erhabene Buchbeschläge</t>
        </is>
      </c>
      <c r="S473" t="inlineStr">
        <is>
          <t>bis 35 cm</t>
        </is>
      </c>
      <c r="T473" t="inlineStr">
        <is>
          <t>80° bis 110°, einseitig digitalisierbar?</t>
        </is>
      </c>
      <c r="U473" t="inlineStr">
        <is>
          <t>Tintenfraß</t>
        </is>
      </c>
      <c r="V473" t="inlineStr"/>
      <c r="W473" t="inlineStr">
        <is>
          <t>Kassette</t>
        </is>
      </c>
      <c r="X473" t="inlineStr">
        <is>
          <t>Nein</t>
        </is>
      </c>
      <c r="Y473" t="n">
        <v>0</v>
      </c>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t>
        </is>
      </c>
      <c r="B474" t="b">
        <v>1</v>
      </c>
      <c r="C474" t="inlineStr">
        <is>
          <t>x</t>
        </is>
      </c>
      <c r="D474" t="inlineStr"/>
      <c r="E474" t="n">
        <v>464</v>
      </c>
      <c r="F474">
        <f>HYPERLINK("https://portal.dnb.de/opac.htm?method=simpleSearch&amp;cqlMode=true&amp;query=idn%3D106696694X", "Portal")</f>
        <v/>
      </c>
      <c r="G474" t="inlineStr">
        <is>
          <t>Aaf</t>
        </is>
      </c>
      <c r="H474" t="inlineStr">
        <is>
          <t>L-1483-315497246</t>
        </is>
      </c>
      <c r="I474" t="inlineStr">
        <is>
          <t>106696694X</t>
        </is>
      </c>
      <c r="J474" t="inlineStr">
        <is>
          <t>II 30,14p</t>
        </is>
      </c>
      <c r="K474" t="inlineStr">
        <is>
          <t>II 30,14p</t>
        </is>
      </c>
      <c r="L474" t="inlineStr">
        <is>
          <t>II 30,14p</t>
        </is>
      </c>
      <c r="M474" t="inlineStr"/>
      <c r="N474" t="inlineStr">
        <is>
          <t xml:space="preserve">Sermones mediocres de tempore : </t>
        </is>
      </c>
      <c r="O474" t="inlineStr">
        <is>
          <t xml:space="preserve"> : </t>
        </is>
      </c>
      <c r="P474" t="inlineStr">
        <is>
          <t>X</t>
        </is>
      </c>
      <c r="Q474" t="inlineStr">
        <is>
          <t>4560,00 EUR</t>
        </is>
      </c>
      <c r="R474" t="inlineStr">
        <is>
          <t>Halbledereinband, Schließen, erhabene Buchbeschläge</t>
        </is>
      </c>
      <c r="S474" t="inlineStr">
        <is>
          <t>bis 25 cm</t>
        </is>
      </c>
      <c r="T474" t="inlineStr">
        <is>
          <t>80° bis 110°, einseitig digitalisierbar?</t>
        </is>
      </c>
      <c r="U474" t="inlineStr">
        <is>
          <t>hohler Rücken, stark brüchiges Einbandmaterial</t>
        </is>
      </c>
      <c r="V474" t="inlineStr"/>
      <c r="W474" t="inlineStr">
        <is>
          <t>Kassette</t>
        </is>
      </c>
      <c r="X474" t="inlineStr">
        <is>
          <t>Nein</t>
        </is>
      </c>
      <c r="Y474" t="n">
        <v>2</v>
      </c>
      <c r="Z474" t="inlineStr"/>
      <c r="AA474" t="inlineStr"/>
      <c r="AB474" t="inlineStr"/>
      <c r="AC474" t="inlineStr"/>
      <c r="AD474" t="inlineStr"/>
      <c r="AE474" t="inlineStr"/>
      <c r="AF474" t="inlineStr"/>
      <c r="AG474" t="inlineStr"/>
      <c r="AH474" t="inlineStr"/>
      <c r="AI474" t="inlineStr">
        <is>
          <t>HL</t>
        </is>
      </c>
      <c r="AJ474" t="inlineStr"/>
      <c r="AK474" t="inlineStr">
        <is>
          <t>x</t>
        </is>
      </c>
      <c r="AL474" t="inlineStr"/>
      <c r="AM474" t="inlineStr">
        <is>
          <t>h/E</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110</v>
      </c>
      <c r="BH474" t="inlineStr"/>
      <c r="BI474" t="inlineStr">
        <is>
          <t>x</t>
        </is>
      </c>
      <c r="BJ474" t="inlineStr">
        <is>
          <t xml:space="preserve">
Buch ist beschädigt, Rücken muss frei hängen, nachher Rest.</t>
        </is>
      </c>
      <c r="BK474" t="inlineStr"/>
      <c r="BL474" t="inlineStr"/>
      <c r="BM474" t="inlineStr">
        <is>
          <t>ja nach</t>
        </is>
      </c>
      <c r="BN474" t="n">
        <v>3</v>
      </c>
      <c r="BO474" t="inlineStr"/>
      <c r="BP474" t="inlineStr">
        <is>
          <t>Wellpappe</t>
        </is>
      </c>
      <c r="BQ474" t="inlineStr"/>
      <c r="BR474" t="inlineStr"/>
      <c r="BS474" t="inlineStr"/>
      <c r="BT474" t="inlineStr"/>
      <c r="BU474" t="inlineStr"/>
      <c r="BV474" t="inlineStr"/>
      <c r="BW474" t="inlineStr"/>
      <c r="BX474" t="inlineStr"/>
      <c r="BY474" t="inlineStr"/>
      <c r="BZ474" t="inlineStr">
        <is>
          <t>x</t>
        </is>
      </c>
      <c r="CA474" t="inlineStr">
        <is>
          <t>x</t>
        </is>
      </c>
      <c r="CB474" t="inlineStr">
        <is>
          <t>x</t>
        </is>
      </c>
      <c r="CC474" t="inlineStr"/>
      <c r="CD474" t="inlineStr">
        <is>
          <t>h</t>
        </is>
      </c>
      <c r="CE474" t="inlineStr"/>
      <c r="CF474" t="inlineStr"/>
      <c r="CG474" t="inlineStr"/>
      <c r="CH474" t="inlineStr"/>
      <c r="CI474" t="inlineStr"/>
      <c r="CJ474" t="inlineStr"/>
      <c r="CK474" t="inlineStr"/>
      <c r="CL474" t="inlineStr"/>
      <c r="CM474" t="n">
        <v>3</v>
      </c>
      <c r="CN474"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t>
        </is>
      </c>
      <c r="B475" t="b">
        <v>1</v>
      </c>
      <c r="C475" t="inlineStr"/>
      <c r="D475" t="inlineStr"/>
      <c r="E475" t="n">
        <v>465</v>
      </c>
      <c r="F475">
        <f>HYPERLINK("https://portal.dnb.de/opac.htm?method=simpleSearch&amp;cqlMode=true&amp;query=idn%3D1066967539", "Portal")</f>
        <v/>
      </c>
      <c r="G475" t="inlineStr">
        <is>
          <t>Aaf</t>
        </is>
      </c>
      <c r="H475" t="inlineStr">
        <is>
          <t>L-1483-315497785</t>
        </is>
      </c>
      <c r="I475" t="inlineStr">
        <is>
          <t>1066967539</t>
        </is>
      </c>
      <c r="J475" t="inlineStr">
        <is>
          <t>II 30,14q</t>
        </is>
      </c>
      <c r="K475" t="inlineStr">
        <is>
          <t>II 30,14q</t>
        </is>
      </c>
      <c r="L475" t="inlineStr">
        <is>
          <t>II 30,14q</t>
        </is>
      </c>
      <c r="M475" t="inlineStr"/>
      <c r="N475" t="inlineStr">
        <is>
          <t xml:space="preserve">Compendium iuris canonici : </t>
        </is>
      </c>
      <c r="O475" t="inlineStr">
        <is>
          <t xml:space="preserve"> : </t>
        </is>
      </c>
      <c r="P475" t="inlineStr">
        <is>
          <t>X</t>
        </is>
      </c>
      <c r="Q475" t="inlineStr"/>
      <c r="R475" t="inlineStr">
        <is>
          <t>Halbledereinband, Schließen, erhabene Buchbeschläge</t>
        </is>
      </c>
      <c r="S475" t="inlineStr">
        <is>
          <t>bis 35 cm</t>
        </is>
      </c>
      <c r="T475" t="inlineStr">
        <is>
          <t>180°</t>
        </is>
      </c>
      <c r="U475" t="inlineStr">
        <is>
          <t>hohler Rücken</t>
        </is>
      </c>
      <c r="V475" t="inlineStr"/>
      <c r="W475" t="inlineStr">
        <is>
          <t>Kassette</t>
        </is>
      </c>
      <c r="X475" t="inlineStr">
        <is>
          <t>Nein</t>
        </is>
      </c>
      <c r="Y475" t="n">
        <v>1</v>
      </c>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t>
        </is>
      </c>
      <c r="B476" t="b">
        <v>1</v>
      </c>
      <c r="C476" t="inlineStr"/>
      <c r="D476" t="inlineStr"/>
      <c r="E476" t="n">
        <v>466</v>
      </c>
      <c r="F476">
        <f>HYPERLINK("https://portal.dnb.de/opac.htm?method=simpleSearch&amp;cqlMode=true&amp;query=idn%3D106696534X", "Portal")</f>
        <v/>
      </c>
      <c r="G476" t="inlineStr">
        <is>
          <t>Aa</t>
        </is>
      </c>
      <c r="H476" t="inlineStr">
        <is>
          <t>L-1488-315495510</t>
        </is>
      </c>
      <c r="I476" t="inlineStr">
        <is>
          <t>106696534X</t>
        </is>
      </c>
      <c r="J476" t="inlineStr">
        <is>
          <t>II 30,15a</t>
        </is>
      </c>
      <c r="K476" t="inlineStr">
        <is>
          <t>II 30,15a</t>
        </is>
      </c>
      <c r="L476" t="inlineStr">
        <is>
          <t>II 30,15a</t>
        </is>
      </c>
      <c r="M476" t="inlineStr"/>
      <c r="N476" t="inlineStr">
        <is>
          <t xml:space="preserve">Confessionale Defecerunt scrutantes scrutinio : </t>
        </is>
      </c>
      <c r="O476" t="inlineStr">
        <is>
          <t xml:space="preserve"> : </t>
        </is>
      </c>
      <c r="P476" t="inlineStr">
        <is>
          <t>X</t>
        </is>
      </c>
      <c r="Q476" t="inlineStr"/>
      <c r="R476" t="inlineStr">
        <is>
          <t>Halbledereinband</t>
        </is>
      </c>
      <c r="S476" t="inlineStr">
        <is>
          <t>bis 25 cm</t>
        </is>
      </c>
      <c r="T476" t="inlineStr">
        <is>
          <t>80° bis 110°, einseitig digitalisierbar?</t>
        </is>
      </c>
      <c r="U476" t="inlineStr">
        <is>
          <t>hohler Rücken, erhabene Illuminationen</t>
        </is>
      </c>
      <c r="V476" t="inlineStr">
        <is>
          <t>nicht auflegen</t>
        </is>
      </c>
      <c r="W476" t="inlineStr">
        <is>
          <t>Kassette</t>
        </is>
      </c>
      <c r="X476" t="inlineStr">
        <is>
          <t>Nein</t>
        </is>
      </c>
      <c r="Y476" t="n">
        <v>1</v>
      </c>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t>
        </is>
      </c>
      <c r="B477" t="b">
        <v>1</v>
      </c>
      <c r="C477" t="inlineStr"/>
      <c r="D477" t="inlineStr"/>
      <c r="E477" t="n">
        <v>467</v>
      </c>
      <c r="F477">
        <f>HYPERLINK("https://portal.dnb.de/opac.htm?method=simpleSearch&amp;cqlMode=true&amp;query=idn%3D1066965293", "Portal")</f>
        <v/>
      </c>
      <c r="G477" t="inlineStr">
        <is>
          <t>Aa</t>
        </is>
      </c>
      <c r="H477" t="inlineStr">
        <is>
          <t>L-1489-315495472</t>
        </is>
      </c>
      <c r="I477" t="inlineStr">
        <is>
          <t>1066965293</t>
        </is>
      </c>
      <c r="J477" t="inlineStr">
        <is>
          <t>II 30,15b</t>
        </is>
      </c>
      <c r="K477" t="inlineStr">
        <is>
          <t>II 30,15b</t>
        </is>
      </c>
      <c r="L477" t="inlineStr">
        <is>
          <t>II 30,15b</t>
        </is>
      </c>
      <c r="M477" t="inlineStr"/>
      <c r="N477" t="inlineStr">
        <is>
          <t xml:space="preserve">Summa angelica de casibus conscientiae : </t>
        </is>
      </c>
      <c r="O477" t="inlineStr">
        <is>
          <t xml:space="preserve"> : </t>
        </is>
      </c>
      <c r="P477" t="inlineStr">
        <is>
          <t>X</t>
        </is>
      </c>
      <c r="Q477" t="inlineStr"/>
      <c r="R477" t="inlineStr">
        <is>
          <t>Ledereinband</t>
        </is>
      </c>
      <c r="S477" t="inlineStr">
        <is>
          <t>bis 35 cm</t>
        </is>
      </c>
      <c r="T477" t="inlineStr">
        <is>
          <t>180°</t>
        </is>
      </c>
      <c r="U477" t="inlineStr">
        <is>
          <t>hohler Rücken, erhabene Illuminationen</t>
        </is>
      </c>
      <c r="V477" t="inlineStr">
        <is>
          <t>nicht auflegen</t>
        </is>
      </c>
      <c r="W477" t="inlineStr">
        <is>
          <t>Kassette</t>
        </is>
      </c>
      <c r="X477" t="inlineStr">
        <is>
          <t>Nein</t>
        </is>
      </c>
      <c r="Y477" t="n">
        <v>0</v>
      </c>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t>
        </is>
      </c>
      <c r="B478" t="b">
        <v>1</v>
      </c>
      <c r="C478" t="inlineStr"/>
      <c r="D478" t="inlineStr"/>
      <c r="E478" t="n">
        <v>468</v>
      </c>
      <c r="F478">
        <f>HYPERLINK("https://portal.dnb.de/opac.htm?method=simpleSearch&amp;cqlMode=true&amp;query=idn%3D1066966931", "Portal")</f>
        <v/>
      </c>
      <c r="G478" t="inlineStr">
        <is>
          <t>Aaf</t>
        </is>
      </c>
      <c r="H478" t="inlineStr">
        <is>
          <t>L-1489-315497238</t>
        </is>
      </c>
      <c r="I478" t="inlineStr">
        <is>
          <t>1066966931</t>
        </is>
      </c>
      <c r="J478" t="inlineStr">
        <is>
          <t>II 30,15c</t>
        </is>
      </c>
      <c r="K478" t="inlineStr">
        <is>
          <t>II 30,15c</t>
        </is>
      </c>
      <c r="L478" t="inlineStr">
        <is>
          <t>II 30,15c</t>
        </is>
      </c>
      <c r="M478" t="inlineStr"/>
      <c r="N478" t="inlineStr">
        <is>
          <t xml:space="preserve">Opuscula : </t>
        </is>
      </c>
      <c r="O478" t="inlineStr">
        <is>
          <t xml:space="preserve"> : </t>
        </is>
      </c>
      <c r="P478" t="inlineStr">
        <is>
          <t>X</t>
        </is>
      </c>
      <c r="Q478" t="inlineStr"/>
      <c r="R478" t="inlineStr">
        <is>
          <t>Ledereinband, Schließen, erhabene Buchbeschläge</t>
        </is>
      </c>
      <c r="S478" t="inlineStr">
        <is>
          <t>bis 35 cm</t>
        </is>
      </c>
      <c r="T478" t="inlineStr">
        <is>
          <t>80° bis 110°, einseitig digitalisierbar?</t>
        </is>
      </c>
      <c r="U478" t="inlineStr">
        <is>
          <t>hohler Rücken, erhabene Illuminationen</t>
        </is>
      </c>
      <c r="V478" t="inlineStr">
        <is>
          <t>nicht auflegen</t>
        </is>
      </c>
      <c r="W478" t="inlineStr">
        <is>
          <t>Kassette</t>
        </is>
      </c>
      <c r="X478" t="inlineStr">
        <is>
          <t>Nein</t>
        </is>
      </c>
      <c r="Y478" t="n">
        <v>0</v>
      </c>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t>
        </is>
      </c>
      <c r="B479" t="b">
        <v>1</v>
      </c>
      <c r="C479" t="inlineStr"/>
      <c r="D479" t="inlineStr"/>
      <c r="E479" t="n">
        <v>469</v>
      </c>
      <c r="F479">
        <f>HYPERLINK("https://portal.dnb.de/opac.htm?method=simpleSearch&amp;cqlMode=true&amp;query=idn%3D1066965862", "Portal")</f>
        <v/>
      </c>
      <c r="G479" t="inlineStr">
        <is>
          <t>Aaf</t>
        </is>
      </c>
      <c r="H479" t="inlineStr">
        <is>
          <t>L-1491-315496134</t>
        </is>
      </c>
      <c r="I479" t="inlineStr">
        <is>
          <t>1066965862</t>
        </is>
      </c>
      <c r="J479" t="inlineStr">
        <is>
          <t>II 30,15d</t>
        </is>
      </c>
      <c r="K479" t="inlineStr">
        <is>
          <t>II 30,15d</t>
        </is>
      </c>
      <c r="L479" t="inlineStr">
        <is>
          <t>II 30,15d</t>
        </is>
      </c>
      <c r="M479" t="inlineStr"/>
      <c r="N479" t="inlineStr">
        <is>
          <t xml:space="preserve">Opuscula plurima : </t>
        </is>
      </c>
      <c r="O479" t="inlineStr">
        <is>
          <t xml:space="preserve"> : </t>
        </is>
      </c>
      <c r="P479" t="inlineStr"/>
      <c r="Q479" t="inlineStr"/>
      <c r="R479" t="inlineStr">
        <is>
          <t>Ledereinband, Schließen, erhabene Buchbeschläge</t>
        </is>
      </c>
      <c r="S479" t="inlineStr">
        <is>
          <t>bis 35 cm</t>
        </is>
      </c>
      <c r="T479" t="inlineStr">
        <is>
          <t>80° bis 110°, einseitig digitalisierbar?</t>
        </is>
      </c>
      <c r="U479" t="inlineStr">
        <is>
          <t>fester Rücken mit Schmuckprägung, erhabene Illuminationen</t>
        </is>
      </c>
      <c r="V479" t="inlineStr">
        <is>
          <t>nicht auflegen</t>
        </is>
      </c>
      <c r="W479" t="inlineStr">
        <is>
          <t>Kassette</t>
        </is>
      </c>
      <c r="X479" t="inlineStr">
        <is>
          <t>Nein</t>
        </is>
      </c>
      <c r="Y479" t="n">
        <v>1</v>
      </c>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n">
        <v>0</v>
      </c>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t>
        </is>
      </c>
      <c r="B480" t="b">
        <v>1</v>
      </c>
      <c r="C480" t="inlineStr">
        <is>
          <t>x</t>
        </is>
      </c>
      <c r="D480" t="inlineStr"/>
      <c r="E480" t="inlineStr"/>
      <c r="F480">
        <f>HYPERLINK("https://portal.dnb.de/opac.htm?method=simpleSearch&amp;cqlMode=true&amp;query=idn%3D1268947474", "Portal")</f>
        <v/>
      </c>
      <c r="G480" t="inlineStr">
        <is>
          <t>Qd</t>
        </is>
      </c>
      <c r="H480" t="inlineStr">
        <is>
          <t>L-1491-834329794</t>
        </is>
      </c>
      <c r="I480" t="inlineStr">
        <is>
          <t>1268947474</t>
        </is>
      </c>
      <c r="J480" t="inlineStr">
        <is>
          <t>II 30,15f</t>
        </is>
      </c>
      <c r="K480" t="inlineStr">
        <is>
          <t>II 30,15f</t>
        </is>
      </c>
      <c r="L480" t="inlineStr">
        <is>
          <t>II 30,15f</t>
        </is>
      </c>
      <c r="M480" t="inlineStr"/>
      <c r="N480" t="inlineStr">
        <is>
          <t xml:space="preserve">Sammelband mit zwei Inkunabeln, gedruckt in Strassburg von Martin Flach : </t>
        </is>
      </c>
      <c r="O480" t="inlineStr">
        <is>
          <t xml:space="preserve"> : </t>
        </is>
      </c>
      <c r="P480" t="inlineStr">
        <is>
          <t>X</t>
        </is>
      </c>
      <c r="Q480" t="inlineStr">
        <is>
          <t>1200,00 EUR</t>
        </is>
      </c>
      <c r="R480" t="inlineStr">
        <is>
          <t>Ledereinband, Schließen, erhabene Buchbeschläge</t>
        </is>
      </c>
      <c r="S480" t="inlineStr">
        <is>
          <t>bis 35 cm</t>
        </is>
      </c>
      <c r="T480" t="inlineStr">
        <is>
          <t>80° bis 110°, einseitig digitalisierbar?</t>
        </is>
      </c>
      <c r="U480" t="inlineStr">
        <is>
          <t>fester Rücken mit Schmuckprägung</t>
        </is>
      </c>
      <c r="V480" t="inlineStr"/>
      <c r="W480" t="inlineStr">
        <is>
          <t>Kassette</t>
        </is>
      </c>
      <c r="X480" t="inlineStr">
        <is>
          <t>Nein</t>
        </is>
      </c>
      <c r="Y480" t="n">
        <v>1</v>
      </c>
      <c r="Z480" t="inlineStr"/>
      <c r="AA480" t="inlineStr">
        <is>
          <t>Fragment in Sammelbox</t>
        </is>
      </c>
      <c r="AB480" t="inlineStr"/>
      <c r="AC480" t="inlineStr"/>
      <c r="AD480" t="inlineStr"/>
      <c r="AE480" t="inlineStr"/>
      <c r="AF480" t="inlineStr"/>
      <c r="AG480" t="inlineStr"/>
      <c r="AH480" t="inlineStr"/>
      <c r="AI480" t="inlineStr">
        <is>
          <t>L</t>
        </is>
      </c>
      <c r="AJ480" t="inlineStr"/>
      <c r="AK480" t="inlineStr">
        <is>
          <t>x</t>
        </is>
      </c>
      <c r="AL480" t="inlineStr"/>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0</v>
      </c>
      <c r="BH480" t="inlineStr">
        <is>
          <t xml:space="preserve">
Rücken bröselig</t>
        </is>
      </c>
      <c r="BI480" t="inlineStr"/>
      <c r="BJ480" t="inlineStr"/>
      <c r="BK480" t="inlineStr"/>
      <c r="BL480" t="inlineStr"/>
      <c r="BM480" t="inlineStr">
        <is>
          <t>ja ÖW=0</t>
        </is>
      </c>
      <c r="BN480" t="n">
        <v>1</v>
      </c>
      <c r="BO480" t="inlineStr"/>
      <c r="BP480" t="inlineStr">
        <is>
          <t>Wellpappe</t>
        </is>
      </c>
      <c r="BQ480" t="inlineStr"/>
      <c r="BR480" t="inlineStr"/>
      <c r="BS480" t="inlineStr"/>
      <c r="BT480" t="inlineStr"/>
      <c r="BU480" t="inlineStr"/>
      <c r="BV480" t="inlineStr"/>
      <c r="BW480" t="inlineStr"/>
      <c r="BX480" t="inlineStr"/>
      <c r="BY480" t="inlineStr"/>
      <c r="BZ480" t="inlineStr">
        <is>
          <t>x Minieingriff</t>
        </is>
      </c>
      <c r="CA480" t="inlineStr">
        <is>
          <t>x</t>
        </is>
      </c>
      <c r="CB480" t="inlineStr">
        <is>
          <t>x</t>
        </is>
      </c>
      <c r="CC480" t="inlineStr"/>
      <c r="CD480" t="inlineStr"/>
      <c r="CE480" t="inlineStr"/>
      <c r="CF480" t="inlineStr"/>
      <c r="CG480" t="inlineStr"/>
      <c r="CH480" t="inlineStr"/>
      <c r="CI480" t="inlineStr"/>
      <c r="CJ480" t="inlineStr"/>
      <c r="CK480" t="inlineStr"/>
      <c r="CL480" t="inlineStr"/>
      <c r="CM480" t="n">
        <v>1</v>
      </c>
      <c r="CN480" t="inlineStr">
        <is>
          <t>Rücken an Kopf und Fuß sichern mit JP, Gelenke belassen (Deckel sitzen fest)</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t>
        </is>
      </c>
      <c r="B481" t="b">
        <v>1</v>
      </c>
      <c r="C481" t="inlineStr"/>
      <c r="D481" t="inlineStr"/>
      <c r="E481" t="n">
        <v>472</v>
      </c>
      <c r="F481">
        <f>HYPERLINK("https://portal.dnb.de/opac.htm?method=simpleSearch&amp;cqlMode=true&amp;query=idn%3D1066968861", "Portal")</f>
        <v/>
      </c>
      <c r="G481" t="inlineStr">
        <is>
          <t>Aaf</t>
        </is>
      </c>
      <c r="H481" t="inlineStr">
        <is>
          <t>L-1493-315499133</t>
        </is>
      </c>
      <c r="I481" t="inlineStr">
        <is>
          <t>1066968861</t>
        </is>
      </c>
      <c r="J481" t="inlineStr">
        <is>
          <t>II 30,15g</t>
        </is>
      </c>
      <c r="K481" t="inlineStr">
        <is>
          <t>II 30,15g</t>
        </is>
      </c>
      <c r="L481" t="inlineStr">
        <is>
          <t>II 30,15g</t>
        </is>
      </c>
      <c r="M481" t="inlineStr"/>
      <c r="N481" t="inlineStr">
        <is>
          <t xml:space="preserve">Manipulus curatorum : </t>
        </is>
      </c>
      <c r="O481" t="inlineStr">
        <is>
          <t xml:space="preserve"> : </t>
        </is>
      </c>
      <c r="P481" t="inlineStr">
        <is>
          <t>X</t>
        </is>
      </c>
      <c r="Q481" t="inlineStr"/>
      <c r="R481" t="inlineStr">
        <is>
          <t>Halbledereinband, Schließen, erhabene Buchbeschläge</t>
        </is>
      </c>
      <c r="S481" t="inlineStr">
        <is>
          <t>bis 25 cm</t>
        </is>
      </c>
      <c r="T481" t="inlineStr">
        <is>
          <t>80° bis 110°, einseitig digitalisierbar?</t>
        </is>
      </c>
      <c r="U481" t="inlineStr">
        <is>
          <t>hohler Rücken, erhabene Illuminationen</t>
        </is>
      </c>
      <c r="V481" t="inlineStr">
        <is>
          <t>nicht auflegen</t>
        </is>
      </c>
      <c r="W481" t="inlineStr">
        <is>
          <t>Kassette</t>
        </is>
      </c>
      <c r="X481" t="inlineStr">
        <is>
          <t>Nein</t>
        </is>
      </c>
      <c r="Y481" t="n">
        <v>0</v>
      </c>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n">
        <v>0</v>
      </c>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t>
        </is>
      </c>
      <c r="B482" t="b">
        <v>1</v>
      </c>
      <c r="C482" t="inlineStr"/>
      <c r="D482" t="inlineStr"/>
      <c r="E482" t="n">
        <v>473</v>
      </c>
      <c r="F482">
        <f>HYPERLINK("https://portal.dnb.de/opac.htm?method=simpleSearch&amp;cqlMode=true&amp;query=idn%3D1066971978", "Portal")</f>
        <v/>
      </c>
      <c r="G482" t="inlineStr">
        <is>
          <t>Aaf</t>
        </is>
      </c>
      <c r="H482" t="inlineStr">
        <is>
          <t>L-1493-31550238X</t>
        </is>
      </c>
      <c r="I482" t="inlineStr">
        <is>
          <t>1066971978</t>
        </is>
      </c>
      <c r="J482" t="inlineStr">
        <is>
          <t>II 30,15h</t>
        </is>
      </c>
      <c r="K482" t="inlineStr">
        <is>
          <t>II 30,15h</t>
        </is>
      </c>
      <c r="L482" t="inlineStr">
        <is>
          <t>II 30,15h</t>
        </is>
      </c>
      <c r="M482" t="inlineStr"/>
      <c r="N482" t="inlineStr">
        <is>
          <t xml:space="preserve">De laudibus Mariae : </t>
        </is>
      </c>
      <c r="O482" t="inlineStr">
        <is>
          <t xml:space="preserve"> : </t>
        </is>
      </c>
      <c r="P482" t="inlineStr">
        <is>
          <t>X</t>
        </is>
      </c>
      <c r="Q482" t="inlineStr"/>
      <c r="R482" t="inlineStr">
        <is>
          <t>Ledereinband, Schließen, erhabene Buchbeschläge</t>
        </is>
      </c>
      <c r="S482" t="inlineStr">
        <is>
          <t>bis 35 cm</t>
        </is>
      </c>
      <c r="T482" t="inlineStr">
        <is>
          <t>80° bis 110°, einseitig digitalisierbar?</t>
        </is>
      </c>
      <c r="U482" t="inlineStr">
        <is>
          <t>hohler Rücken, welliger Buchblock, erhabene Illuminationen</t>
        </is>
      </c>
      <c r="V482" t="inlineStr">
        <is>
          <t>nicht auflegen</t>
        </is>
      </c>
      <c r="W482" t="inlineStr">
        <is>
          <t>Kassette</t>
        </is>
      </c>
      <c r="X482" t="inlineStr">
        <is>
          <t>Nein</t>
        </is>
      </c>
      <c r="Y482" t="n">
        <v>1</v>
      </c>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t>
        </is>
      </c>
      <c r="B483" t="b">
        <v>1</v>
      </c>
      <c r="C483" t="inlineStr"/>
      <c r="D483" t="inlineStr"/>
      <c r="E483" t="n">
        <v>474</v>
      </c>
      <c r="F483">
        <f>HYPERLINK("https://portal.dnb.de/opac.htm?method=simpleSearch&amp;cqlMode=true&amp;query=idn%3D106697148X", "Portal")</f>
        <v/>
      </c>
      <c r="G483" t="inlineStr">
        <is>
          <t>Aa</t>
        </is>
      </c>
      <c r="H483" t="inlineStr">
        <is>
          <t>L-1493-315501863</t>
        </is>
      </c>
      <c r="I483" t="inlineStr">
        <is>
          <t>106697148X</t>
        </is>
      </c>
      <c r="J483" t="inlineStr">
        <is>
          <t>II 30,15ha</t>
        </is>
      </c>
      <c r="K483" t="inlineStr">
        <is>
          <t>II 30,15ha</t>
        </is>
      </c>
      <c r="L483" t="inlineStr">
        <is>
          <t>II 30,15ha</t>
        </is>
      </c>
      <c r="M483" t="inlineStr"/>
      <c r="N483" t="inlineStr">
        <is>
          <t xml:space="preserve">Sermones thesauri novi de sanctis : </t>
        </is>
      </c>
      <c r="O483" t="inlineStr">
        <is>
          <t xml:space="preserve"> : </t>
        </is>
      </c>
      <c r="P483" t="inlineStr"/>
      <c r="Q483" t="inlineStr"/>
      <c r="R483" t="inlineStr">
        <is>
          <t>Ledereinband, Schließen, erhabene Buchbeschläge</t>
        </is>
      </c>
      <c r="S483" t="inlineStr">
        <is>
          <t>bis 35 cm</t>
        </is>
      </c>
      <c r="T483" t="inlineStr">
        <is>
          <t>80° bis 110°, einseitig digitalisierbar?</t>
        </is>
      </c>
      <c r="U483" t="inlineStr"/>
      <c r="V483" t="inlineStr"/>
      <c r="W483" t="inlineStr">
        <is>
          <t>Kassette</t>
        </is>
      </c>
      <c r="X483" t="inlineStr">
        <is>
          <t>Nein</t>
        </is>
      </c>
      <c r="Y483" t="n">
        <v>0</v>
      </c>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t>
        </is>
      </c>
      <c r="B484" t="b">
        <v>1</v>
      </c>
      <c r="C484" t="inlineStr"/>
      <c r="D484" t="inlineStr"/>
      <c r="E484" t="n">
        <v>475</v>
      </c>
      <c r="F484">
        <f>HYPERLINK("https://portal.dnb.de/opac.htm?method=simpleSearch&amp;cqlMode=true&amp;query=idn%3D1066965307", "Portal")</f>
        <v/>
      </c>
      <c r="G484" t="inlineStr">
        <is>
          <t>Aa</t>
        </is>
      </c>
      <c r="H484" t="inlineStr">
        <is>
          <t>L-1495-315495480</t>
        </is>
      </c>
      <c r="I484" t="inlineStr">
        <is>
          <t>1066965307</t>
        </is>
      </c>
      <c r="J484" t="inlineStr">
        <is>
          <t>II 30,15i</t>
        </is>
      </c>
      <c r="K484" t="inlineStr">
        <is>
          <t>II 30,15i</t>
        </is>
      </c>
      <c r="L484" t="inlineStr">
        <is>
          <t>II 30,15i</t>
        </is>
      </c>
      <c r="M484" t="inlineStr"/>
      <c r="N484" t="inlineStr">
        <is>
          <t xml:space="preserve">Summa angelica de casibus conscientiae : </t>
        </is>
      </c>
      <c r="O484" t="inlineStr">
        <is>
          <t xml:space="preserve"> : </t>
        </is>
      </c>
      <c r="P484" t="inlineStr">
        <is>
          <t>X</t>
        </is>
      </c>
      <c r="Q484" t="inlineStr"/>
      <c r="R484" t="inlineStr">
        <is>
          <t>Ledereinband, Schließen, erhabene Buchbeschläge</t>
        </is>
      </c>
      <c r="S484" t="inlineStr">
        <is>
          <t>bis 35 cm</t>
        </is>
      </c>
      <c r="T484" t="inlineStr">
        <is>
          <t>nur sehr geringer Öffnungswinkel</t>
        </is>
      </c>
      <c r="U484" t="inlineStr">
        <is>
          <t>fester Rücken mit Schmuckprägung, welliger Buchblock, erhabene Illuminationen</t>
        </is>
      </c>
      <c r="V484" t="inlineStr">
        <is>
          <t>nicht auflegen</t>
        </is>
      </c>
      <c r="W484" t="inlineStr">
        <is>
          <t>Kassette</t>
        </is>
      </c>
      <c r="X484" t="inlineStr">
        <is>
          <t>Nein</t>
        </is>
      </c>
      <c r="Y484" t="n">
        <v>1</v>
      </c>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t>
        </is>
      </c>
      <c r="B485" t="b">
        <v>1</v>
      </c>
      <c r="C485" t="inlineStr">
        <is>
          <t>x</t>
        </is>
      </c>
      <c r="D485" t="inlineStr"/>
      <c r="E485" t="n">
        <v>476</v>
      </c>
      <c r="F485">
        <f>HYPERLINK("https://portal.dnb.de/opac.htm?method=simpleSearch&amp;cqlMode=true&amp;query=idn%3D1066971870", "Portal")</f>
        <v/>
      </c>
      <c r="G485" t="inlineStr">
        <is>
          <t>Aaf</t>
        </is>
      </c>
      <c r="H485" t="inlineStr">
        <is>
          <t>L-1496-315502274</t>
        </is>
      </c>
      <c r="I485" t="inlineStr">
        <is>
          <t>1066971870</t>
        </is>
      </c>
      <c r="J485" t="inlineStr">
        <is>
          <t>II 30,15k</t>
        </is>
      </c>
      <c r="K485" t="inlineStr">
        <is>
          <t>II 30,15k</t>
        </is>
      </c>
      <c r="L485" t="inlineStr">
        <is>
          <t>II 30,15k</t>
        </is>
      </c>
      <c r="M485" t="inlineStr"/>
      <c r="N485" t="inlineStr">
        <is>
          <t xml:space="preserve">Theologia naturalis sive Liber creaturarum : </t>
        </is>
      </c>
      <c r="O485" t="inlineStr">
        <is>
          <t xml:space="preserve"> : </t>
        </is>
      </c>
      <c r="P485" t="inlineStr">
        <is>
          <t>X</t>
        </is>
      </c>
      <c r="Q485" t="inlineStr">
        <is>
          <t>8000,00 EUR</t>
        </is>
      </c>
      <c r="R485" t="inlineStr">
        <is>
          <t>Halbledereinband, Schließen, erhabene Buchbeschläge</t>
        </is>
      </c>
      <c r="S485" t="inlineStr">
        <is>
          <t>bis 35 cm</t>
        </is>
      </c>
      <c r="T485" t="inlineStr">
        <is>
          <t>80° bis 110°, einseitig digitalisierbar?</t>
        </is>
      </c>
      <c r="U485" t="inlineStr">
        <is>
          <t>hohler Rücken, erhabene Illuminationen</t>
        </is>
      </c>
      <c r="V485" t="inlineStr">
        <is>
          <t>nicht auflegen</t>
        </is>
      </c>
      <c r="W485" t="inlineStr">
        <is>
          <t>Kassette</t>
        </is>
      </c>
      <c r="X485" t="inlineStr">
        <is>
          <t>Nein</t>
        </is>
      </c>
      <c r="Y485" t="n">
        <v>1</v>
      </c>
      <c r="Z485" t="inlineStr"/>
      <c r="AA485" t="inlineStr"/>
      <c r="AB485" t="inlineStr"/>
      <c r="AC485" t="inlineStr"/>
      <c r="AD485" t="inlineStr"/>
      <c r="AE485" t="inlineStr"/>
      <c r="AF485" t="inlineStr"/>
      <c r="AG485" t="inlineStr"/>
      <c r="AH485" t="inlineStr"/>
      <c r="AI485" t="inlineStr">
        <is>
          <t>HL</t>
        </is>
      </c>
      <c r="AJ485" t="inlineStr"/>
      <c r="AK485" t="inlineStr">
        <is>
          <t>x</t>
        </is>
      </c>
      <c r="AL485" t="inlineStr"/>
      <c r="AM485" t="inlineStr">
        <is>
          <t>h/E</t>
        </is>
      </c>
      <c r="AN485" t="inlineStr"/>
      <c r="AO485" t="inlineStr"/>
      <c r="AP485" t="inlineStr"/>
      <c r="AQ485" t="inlineStr"/>
      <c r="AR485" t="inlineStr"/>
      <c r="AS485" t="inlineStr">
        <is>
          <t>Pa</t>
        </is>
      </c>
      <c r="AT485" t="inlineStr"/>
      <c r="AU485" t="inlineStr"/>
      <c r="AV485" t="inlineStr"/>
      <c r="AW485" t="inlineStr"/>
      <c r="AX485" t="inlineStr"/>
      <c r="AY485" t="inlineStr"/>
      <c r="AZ485" t="inlineStr"/>
      <c r="BA485" t="inlineStr"/>
      <c r="BB485" t="inlineStr"/>
      <c r="BC485" t="inlineStr">
        <is>
          <t>I/R</t>
        </is>
      </c>
      <c r="BD485" t="inlineStr">
        <is>
          <t>x</t>
        </is>
      </c>
      <c r="BE485" t="inlineStr"/>
      <c r="BF485" t="inlineStr"/>
      <c r="BG485" t="n">
        <v>45</v>
      </c>
      <c r="BH485" t="inlineStr"/>
      <c r="BI485" t="inlineStr"/>
      <c r="BJ485" t="inlineStr"/>
      <c r="BK485" t="inlineStr"/>
      <c r="BL485" t="inlineStr"/>
      <c r="BM485" t="inlineStr">
        <is>
          <t>ja vor</t>
        </is>
      </c>
      <c r="BN485" t="n">
        <v>1</v>
      </c>
      <c r="BO485" t="inlineStr"/>
      <c r="BP485" t="inlineStr">
        <is>
          <t>Wellpappe</t>
        </is>
      </c>
      <c r="BQ485" t="inlineStr"/>
      <c r="BR485" t="inlineStr"/>
      <c r="BS485" t="inlineStr"/>
      <c r="BT485" t="inlineStr"/>
      <c r="BU485" t="inlineStr"/>
      <c r="BV485" t="inlineStr"/>
      <c r="BW485" t="inlineStr"/>
      <c r="BX485" t="inlineStr"/>
      <c r="BY485" t="inlineStr"/>
      <c r="BZ485" t="inlineStr">
        <is>
          <t>x Minieingriff</t>
        </is>
      </c>
      <c r="CA485" t="inlineStr">
        <is>
          <t>x</t>
        </is>
      </c>
      <c r="CB485" t="inlineStr">
        <is>
          <t>x</t>
        </is>
      </c>
      <c r="CC485" t="inlineStr"/>
      <c r="CD485" t="inlineStr">
        <is>
          <t>v/h</t>
        </is>
      </c>
      <c r="CE485" t="inlineStr"/>
      <c r="CF485" t="inlineStr"/>
      <c r="CG485" t="inlineStr"/>
      <c r="CH485" t="inlineStr"/>
      <c r="CI485" t="inlineStr"/>
      <c r="CJ485" t="inlineStr"/>
      <c r="CK485" t="inlineStr"/>
      <c r="CL485" t="inlineStr"/>
      <c r="CM485" t="n">
        <v>1</v>
      </c>
      <c r="CN485" t="inlineStr">
        <is>
          <t>Leder im Gelenk sichern durch "Pflaster" (JP drüberkleben)</t>
        </is>
      </c>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t>
        </is>
      </c>
      <c r="B486" t="b">
        <v>1</v>
      </c>
      <c r="C486" t="inlineStr">
        <is>
          <t>x</t>
        </is>
      </c>
      <c r="D486" t="inlineStr"/>
      <c r="E486" t="n">
        <v>477</v>
      </c>
      <c r="F486">
        <f>HYPERLINK("https://portal.dnb.de/opac.htm?method=simpleSearch&amp;cqlMode=true&amp;query=idn%3D1066966214", "Portal")</f>
        <v/>
      </c>
      <c r="G486" t="inlineStr">
        <is>
          <t>Aaf</t>
        </is>
      </c>
      <c r="H486" t="inlineStr">
        <is>
          <t>L-1496-315496509</t>
        </is>
      </c>
      <c r="I486" t="inlineStr">
        <is>
          <t>1066966214</t>
        </is>
      </c>
      <c r="J486" t="inlineStr">
        <is>
          <t>II 30,15l</t>
        </is>
      </c>
      <c r="K486" t="inlineStr">
        <is>
          <t>II 30,15l</t>
        </is>
      </c>
      <c r="L486" t="inlineStr">
        <is>
          <t>II 30,15l</t>
        </is>
      </c>
      <c r="M486" t="inlineStr"/>
      <c r="N486" t="inlineStr">
        <is>
          <t xml:space="preserve">Mariale : </t>
        </is>
      </c>
      <c r="O486" t="inlineStr">
        <is>
          <t xml:space="preserve"> : </t>
        </is>
      </c>
      <c r="P486" t="inlineStr">
        <is>
          <t>X</t>
        </is>
      </c>
      <c r="Q486" t="inlineStr">
        <is>
          <t>3300,00 EUR</t>
        </is>
      </c>
      <c r="R486" t="inlineStr">
        <is>
          <t>Ledereinband, Schließen, erhabene Buchbeschläge</t>
        </is>
      </c>
      <c r="S486" t="inlineStr">
        <is>
          <t>bis 35 cm</t>
        </is>
      </c>
      <c r="T486" t="inlineStr">
        <is>
          <t>nur sehr geringer Öffnungswinkel</t>
        </is>
      </c>
      <c r="U486" t="inlineStr">
        <is>
          <t>fester Rücken mit Schmuckprägung, erhabene Illuminationen</t>
        </is>
      </c>
      <c r="V486" t="inlineStr">
        <is>
          <t>nicht auflegen</t>
        </is>
      </c>
      <c r="W486" t="inlineStr">
        <is>
          <t>Kassette</t>
        </is>
      </c>
      <c r="X486" t="inlineStr">
        <is>
          <t>Nein</t>
        </is>
      </c>
      <c r="Y486" t="n">
        <v>1</v>
      </c>
      <c r="Z486" t="inlineStr"/>
      <c r="AA486" t="inlineStr"/>
      <c r="AB486" t="inlineStr"/>
      <c r="AC486" t="inlineStr"/>
      <c r="AD486" t="inlineStr"/>
      <c r="AE486" t="inlineStr"/>
      <c r="AF486" t="inlineStr"/>
      <c r="AG486" t="inlineStr"/>
      <c r="AH486" t="inlineStr"/>
      <c r="AI486" t="inlineStr">
        <is>
          <t>HD</t>
        </is>
      </c>
      <c r="AJ486" t="inlineStr"/>
      <c r="AK486" t="inlineStr">
        <is>
          <t>x</t>
        </is>
      </c>
      <c r="AL486" t="inlineStr"/>
      <c r="AM486" t="inlineStr">
        <is>
          <t>f/V</t>
        </is>
      </c>
      <c r="AN486" t="inlineStr"/>
      <c r="AO486" t="inlineStr"/>
      <c r="AP486" t="inlineStr"/>
      <c r="AQ486" t="inlineStr"/>
      <c r="AR486" t="inlineStr"/>
      <c r="AS486" t="inlineStr">
        <is>
          <t>Pa</t>
        </is>
      </c>
      <c r="AT486" t="inlineStr"/>
      <c r="AU486" t="inlineStr"/>
      <c r="AV486" t="inlineStr"/>
      <c r="AW486" t="inlineStr"/>
      <c r="AX486" t="inlineStr"/>
      <c r="AY486" t="inlineStr"/>
      <c r="AZ486" t="inlineStr"/>
      <c r="BA486" t="inlineStr"/>
      <c r="BB486" t="inlineStr"/>
      <c r="BC486" t="inlineStr">
        <is>
          <t>I/R</t>
        </is>
      </c>
      <c r="BD486" t="inlineStr">
        <is>
          <t>x</t>
        </is>
      </c>
      <c r="BE486" t="inlineStr"/>
      <c r="BF486" t="inlineStr"/>
      <c r="BG486" t="n">
        <v>60</v>
      </c>
      <c r="BH486" t="inlineStr"/>
      <c r="BI486" t="inlineStr"/>
      <c r="BJ486" t="inlineStr"/>
      <c r="BK486" t="inlineStr"/>
      <c r="BL486" t="inlineStr"/>
      <c r="BM486" t="inlineStr">
        <is>
          <t>ja vor</t>
        </is>
      </c>
      <c r="BN486" t="n">
        <v>1</v>
      </c>
      <c r="BO486" t="inlineStr"/>
      <c r="BP486" t="inlineStr">
        <is>
          <t>Wellpappe</t>
        </is>
      </c>
      <c r="BQ486" t="inlineStr"/>
      <c r="BR486" t="inlineStr"/>
      <c r="BS486" t="inlineStr"/>
      <c r="BT486" t="inlineStr"/>
      <c r="BU486" t="inlineStr"/>
      <c r="BV486" t="inlineStr"/>
      <c r="BW486" t="inlineStr"/>
      <c r="BX486" t="inlineStr"/>
      <c r="BY486" t="inlineStr"/>
      <c r="BZ486" t="inlineStr">
        <is>
          <t>x</t>
        </is>
      </c>
      <c r="CA486" t="inlineStr">
        <is>
          <t>x</t>
        </is>
      </c>
      <c r="CB486" t="inlineStr">
        <is>
          <t>x</t>
        </is>
      </c>
      <c r="CC486" t="inlineStr"/>
      <c r="CD486" t="inlineStr"/>
      <c r="CE486" t="inlineStr"/>
      <c r="CF486" t="inlineStr"/>
      <c r="CG486" t="inlineStr"/>
      <c r="CH486" t="inlineStr">
        <is>
          <t>x</t>
        </is>
      </c>
      <c r="CI486" t="inlineStr"/>
      <c r="CJ486" t="inlineStr"/>
      <c r="CK486" t="inlineStr"/>
      <c r="CL486" t="inlineStr"/>
      <c r="CM486" t="n">
        <v>1</v>
      </c>
      <c r="CN486" t="inlineStr">
        <is>
          <t>Titelschilder fixieren, Schließenriemen festigen (zusammenkleben) und sonst belassen</t>
        </is>
      </c>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t>
        </is>
      </c>
      <c r="B487" t="b">
        <v>1</v>
      </c>
      <c r="C487" t="inlineStr">
        <is>
          <t>x</t>
        </is>
      </c>
      <c r="D487" t="inlineStr"/>
      <c r="E487" t="n">
        <v>478</v>
      </c>
      <c r="F487">
        <f>HYPERLINK("https://portal.dnb.de/opac.htm?method=simpleSearch&amp;cqlMode=true&amp;query=idn%3D1066966311", "Portal")</f>
        <v/>
      </c>
      <c r="G487" t="inlineStr">
        <is>
          <t>Aaf</t>
        </is>
      </c>
      <c r="H487" t="inlineStr">
        <is>
          <t>L-1497-315496592</t>
        </is>
      </c>
      <c r="I487" t="inlineStr">
        <is>
          <t>1066966311</t>
        </is>
      </c>
      <c r="J487" t="inlineStr">
        <is>
          <t>II 30,15m</t>
        </is>
      </c>
      <c r="K487" t="inlineStr">
        <is>
          <t>II 30,15m</t>
        </is>
      </c>
      <c r="L487" t="inlineStr">
        <is>
          <t>II 30,15m</t>
        </is>
      </c>
      <c r="M487" t="inlineStr"/>
      <c r="N487" t="inlineStr">
        <is>
          <t xml:space="preserve">Sermones super Cantica canticorum : </t>
        </is>
      </c>
      <c r="O487" t="inlineStr">
        <is>
          <t xml:space="preserve"> : </t>
        </is>
      </c>
      <c r="P487" t="inlineStr">
        <is>
          <t>X</t>
        </is>
      </c>
      <c r="Q487" t="inlineStr">
        <is>
          <t>1400,00 EUR</t>
        </is>
      </c>
      <c r="R487" t="inlineStr">
        <is>
          <t>Halbledereinband, Schließen, erhabene Buchbeschläge</t>
        </is>
      </c>
      <c r="S487" t="inlineStr">
        <is>
          <t>bis 35 cm</t>
        </is>
      </c>
      <c r="T487" t="inlineStr">
        <is>
          <t>nur sehr geringer Öffnungswinkel</t>
        </is>
      </c>
      <c r="U487" t="inlineStr">
        <is>
          <t>fester Rücken mit Schmuckprägung, welliger Buchblock, erhabene Illuminationen, stark brüchiges Einbandmaterial</t>
        </is>
      </c>
      <c r="V487" t="inlineStr">
        <is>
          <t>nicht auflegen</t>
        </is>
      </c>
      <c r="W487" t="inlineStr">
        <is>
          <t>Kassette</t>
        </is>
      </c>
      <c r="X487" t="inlineStr">
        <is>
          <t>Nein</t>
        </is>
      </c>
      <c r="Y487" t="n">
        <v>1</v>
      </c>
      <c r="Z487" t="inlineStr"/>
      <c r="AA487" t="inlineStr"/>
      <c r="AB487" t="inlineStr"/>
      <c r="AC487" t="inlineStr"/>
      <c r="AD487" t="inlineStr"/>
      <c r="AE487" t="inlineStr"/>
      <c r="AF487" t="inlineStr"/>
      <c r="AG487" t="inlineStr"/>
      <c r="AH487" t="inlineStr"/>
      <c r="AI487" t="inlineStr">
        <is>
          <t>HL</t>
        </is>
      </c>
      <c r="AJ487" t="inlineStr"/>
      <c r="AK487" t="inlineStr">
        <is>
          <t>x</t>
        </is>
      </c>
      <c r="AL487" t="inlineStr"/>
      <c r="AM487" t="inlineStr">
        <is>
          <t>f/V</t>
        </is>
      </c>
      <c r="AN487" t="inlineStr"/>
      <c r="AO487" t="inlineStr"/>
      <c r="AP487" t="inlineStr"/>
      <c r="AQ487" t="inlineStr"/>
      <c r="AR487" t="inlineStr"/>
      <c r="AS487" t="inlineStr">
        <is>
          <t>Pa</t>
        </is>
      </c>
      <c r="AT487" t="inlineStr"/>
      <c r="AU487" t="inlineStr"/>
      <c r="AV487" t="inlineStr"/>
      <c r="AW487" t="inlineStr">
        <is>
          <t>x</t>
        </is>
      </c>
      <c r="AX487" t="inlineStr"/>
      <c r="AY487" t="inlineStr"/>
      <c r="AZ487" t="inlineStr"/>
      <c r="BA487" t="inlineStr"/>
      <c r="BB487" t="inlineStr"/>
      <c r="BC487" t="inlineStr"/>
      <c r="BD487" t="inlineStr"/>
      <c r="BE487" t="inlineStr"/>
      <c r="BF487" t="inlineStr"/>
      <c r="BG487" t="n">
        <v>60</v>
      </c>
      <c r="BH487" t="inlineStr"/>
      <c r="BI487" t="inlineStr"/>
      <c r="BJ487" t="inlineStr"/>
      <c r="BK487" t="inlineStr"/>
      <c r="BL487" t="inlineStr"/>
      <c r="BM487" t="inlineStr">
        <is>
          <t>ja vor</t>
        </is>
      </c>
      <c r="BN487" t="n">
        <v>1</v>
      </c>
      <c r="BO487" t="inlineStr"/>
      <c r="BP487" t="inlineStr">
        <is>
          <t>Wellpappe</t>
        </is>
      </c>
      <c r="BQ487" t="inlineStr"/>
      <c r="BR487" t="inlineStr"/>
      <c r="BS487" t="inlineStr"/>
      <c r="BT487" t="inlineStr"/>
      <c r="BU487" t="inlineStr"/>
      <c r="BV487" t="inlineStr">
        <is>
          <t>nach rest. Eingriff ist Schaden stabil genug</t>
        </is>
      </c>
      <c r="BW487" t="inlineStr"/>
      <c r="BX487" t="inlineStr"/>
      <c r="BY487" t="inlineStr"/>
      <c r="BZ487" t="inlineStr">
        <is>
          <t>x Minieingriff</t>
        </is>
      </c>
      <c r="CA487" t="inlineStr">
        <is>
          <t>x</t>
        </is>
      </c>
      <c r="CB487" t="inlineStr">
        <is>
          <t>x</t>
        </is>
      </c>
      <c r="CC487" t="inlineStr"/>
      <c r="CD487" t="inlineStr"/>
      <c r="CE487" t="inlineStr"/>
      <c r="CF487" t="inlineStr"/>
      <c r="CG487" t="inlineStr"/>
      <c r="CH487" t="inlineStr"/>
      <c r="CI487" t="inlineStr"/>
      <c r="CJ487" t="inlineStr"/>
      <c r="CK487" t="inlineStr"/>
      <c r="CL487" t="inlineStr"/>
      <c r="CM487" t="n">
        <v>1</v>
      </c>
      <c r="CN487" t="inlineStr">
        <is>
          <t>Rücken am Kopf mit JP stabilisieren, Gelenke belassen (Deckel sitzen fest)</t>
        </is>
      </c>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t>
        </is>
      </c>
      <c r="B488" t="b">
        <v>1</v>
      </c>
      <c r="C488" t="inlineStr"/>
      <c r="D488" t="inlineStr"/>
      <c r="E488" t="n">
        <v>479</v>
      </c>
      <c r="F488">
        <f>HYPERLINK("https://portal.dnb.de/opac.htm?method=simpleSearch&amp;cqlMode=true&amp;query=idn%3D1072320894", "Portal")</f>
        <v/>
      </c>
      <c r="G488" t="inlineStr">
        <is>
          <t>Aa</t>
        </is>
      </c>
      <c r="H488" t="inlineStr">
        <is>
          <t>L-1499-327280379</t>
        </is>
      </c>
      <c r="I488" t="inlineStr">
        <is>
          <t>1072320894</t>
        </is>
      </c>
      <c r="J488" t="inlineStr">
        <is>
          <t>II 30,15o</t>
        </is>
      </c>
      <c r="K488" t="inlineStr">
        <is>
          <t>II 30,15o</t>
        </is>
      </c>
      <c r="L488" t="inlineStr">
        <is>
          <t>II 30,15o</t>
        </is>
      </c>
      <c r="M488" t="inlineStr"/>
      <c r="N488" t="inlineStr">
        <is>
          <t xml:space="preserve">De sacramentis : </t>
        </is>
      </c>
      <c r="O488" t="inlineStr">
        <is>
          <t xml:space="preserve"> : </t>
        </is>
      </c>
      <c r="P488" t="inlineStr"/>
      <c r="Q488" t="inlineStr"/>
      <c r="R488" t="inlineStr">
        <is>
          <t>Ledereinband</t>
        </is>
      </c>
      <c r="S488" t="inlineStr">
        <is>
          <t>bis 25 cm</t>
        </is>
      </c>
      <c r="T488" t="inlineStr">
        <is>
          <t>80° bis 110°, einseitig digitalisierbar?</t>
        </is>
      </c>
      <c r="U488" t="inlineStr"/>
      <c r="V488" t="inlineStr"/>
      <c r="W488" t="inlineStr">
        <is>
          <t>Kassette</t>
        </is>
      </c>
      <c r="X488" t="inlineStr">
        <is>
          <t>Nein</t>
        </is>
      </c>
      <c r="Y488" t="n">
        <v>0</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t>
        </is>
      </c>
      <c r="B489" t="b">
        <v>1</v>
      </c>
      <c r="C489" t="inlineStr"/>
      <c r="D489" t="inlineStr"/>
      <c r="E489" t="n">
        <v>480</v>
      </c>
      <c r="F489">
        <f>HYPERLINK("https://portal.dnb.de/opac.htm?method=simpleSearch&amp;cqlMode=true&amp;query=idn%3D1072321378", "Portal")</f>
        <v/>
      </c>
      <c r="G489" t="inlineStr">
        <is>
          <t>Aa</t>
        </is>
      </c>
      <c r="H489" t="inlineStr">
        <is>
          <t>L-1487-327280646</t>
        </is>
      </c>
      <c r="I489" t="inlineStr">
        <is>
          <t>1072321378</t>
        </is>
      </c>
      <c r="J489" t="inlineStr">
        <is>
          <t>II 30,15p</t>
        </is>
      </c>
      <c r="K489" t="inlineStr">
        <is>
          <t>II 30,15p</t>
        </is>
      </c>
      <c r="L489" t="inlineStr">
        <is>
          <t>II 30,15p</t>
        </is>
      </c>
      <c r="M489" t="inlineStr"/>
      <c r="N489" t="inlineStr">
        <is>
          <t xml:space="preserve">Sermones de tempore et de sanctis : </t>
        </is>
      </c>
      <c r="O489" t="inlineStr">
        <is>
          <t xml:space="preserve"> : </t>
        </is>
      </c>
      <c r="P489" t="inlineStr"/>
      <c r="Q489" t="inlineStr"/>
      <c r="R489" t="inlineStr">
        <is>
          <t>Ledereinband</t>
        </is>
      </c>
      <c r="S489" t="inlineStr">
        <is>
          <t>bis 25 cm</t>
        </is>
      </c>
      <c r="T489" t="inlineStr">
        <is>
          <t>nur sehr geringer Öffnungswinkel</t>
        </is>
      </c>
      <c r="U489" t="inlineStr">
        <is>
          <t>Schrift bis in den Falz, erhabene Illuminationen</t>
        </is>
      </c>
      <c r="V489" t="inlineStr">
        <is>
          <t>nicht auflegen</t>
        </is>
      </c>
      <c r="W489" t="inlineStr">
        <is>
          <t>Kassette</t>
        </is>
      </c>
      <c r="X489" t="inlineStr">
        <is>
          <t>Nein</t>
        </is>
      </c>
      <c r="Y489" t="n">
        <v>0</v>
      </c>
      <c r="Z489" t="inlineStr"/>
      <c r="AA489" t="inlineStr">
        <is>
          <t>alte Vorsätze+Rücken mit in Kassette</t>
        </is>
      </c>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t>
        </is>
      </c>
      <c r="B490" t="b">
        <v>1</v>
      </c>
      <c r="C490" t="inlineStr"/>
      <c r="D490" t="inlineStr"/>
      <c r="E490" t="n">
        <v>481</v>
      </c>
      <c r="F490">
        <f>HYPERLINK("https://portal.dnb.de/opac.htm?method=simpleSearch&amp;cqlMode=true&amp;query=idn%3D1066967806", "Portal")</f>
        <v/>
      </c>
      <c r="G490" t="inlineStr">
        <is>
          <t>Aaf</t>
        </is>
      </c>
      <c r="H490" t="inlineStr">
        <is>
          <t>L-1489-315498072</t>
        </is>
      </c>
      <c r="I490" t="inlineStr">
        <is>
          <t>1066967806</t>
        </is>
      </c>
      <c r="J490" t="inlineStr">
        <is>
          <t>II 30,16a</t>
        </is>
      </c>
      <c r="K490" t="inlineStr">
        <is>
          <t>II 30,16a</t>
        </is>
      </c>
      <c r="L490" t="inlineStr">
        <is>
          <t>II 30,16a</t>
        </is>
      </c>
      <c r="M490" t="inlineStr"/>
      <c r="N490" t="inlineStr">
        <is>
          <t xml:space="preserve">Directorium statuum seu verius Tribulatio seculi : </t>
        </is>
      </c>
      <c r="O490" t="inlineStr">
        <is>
          <t xml:space="preserve"> : </t>
        </is>
      </c>
      <c r="P490" t="inlineStr">
        <is>
          <t>X</t>
        </is>
      </c>
      <c r="Q490" t="inlineStr"/>
      <c r="R490" t="inlineStr">
        <is>
          <t>Halbledereinband, Schließen, erhabene Buchbeschläge</t>
        </is>
      </c>
      <c r="S490" t="inlineStr">
        <is>
          <t>bis 25 cm</t>
        </is>
      </c>
      <c r="T490" t="inlineStr">
        <is>
          <t>180°</t>
        </is>
      </c>
      <c r="U490" t="inlineStr">
        <is>
          <t>hohler Rücken, erhabene Illuminationen</t>
        </is>
      </c>
      <c r="V490" t="inlineStr">
        <is>
          <t>nicht auflegen</t>
        </is>
      </c>
      <c r="W490" t="inlineStr">
        <is>
          <t>Kassette</t>
        </is>
      </c>
      <c r="X490" t="inlineStr">
        <is>
          <t>Nein</t>
        </is>
      </c>
      <c r="Y490" t="n">
        <v>0</v>
      </c>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n">
        <v>0</v>
      </c>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t>
        </is>
      </c>
      <c r="B491" t="b">
        <v>1</v>
      </c>
      <c r="C491" t="inlineStr"/>
      <c r="D491" t="inlineStr"/>
      <c r="E491" t="n">
        <v>482</v>
      </c>
      <c r="F491">
        <f>HYPERLINK("https://portal.dnb.de/opac.htm?method=simpleSearch&amp;cqlMode=true&amp;query=idn%3D1066971323", "Portal")</f>
        <v/>
      </c>
      <c r="G491" t="inlineStr">
        <is>
          <t>Aaf</t>
        </is>
      </c>
      <c r="H491" t="inlineStr">
        <is>
          <t>L-1500-315501693</t>
        </is>
      </c>
      <c r="I491" t="inlineStr">
        <is>
          <t>1066971323</t>
        </is>
      </c>
      <c r="J491" t="inlineStr">
        <is>
          <t>II 30,18a</t>
        </is>
      </c>
      <c r="K491" t="inlineStr">
        <is>
          <t>II 30,18a</t>
        </is>
      </c>
      <c r="L491" t="inlineStr">
        <is>
          <t>II 30,18a</t>
        </is>
      </c>
      <c r="M491" t="inlineStr"/>
      <c r="N491" t="inlineStr">
        <is>
          <t xml:space="preserve">Die @vierundzwanzig Alten oder Der goldne Thron : </t>
        </is>
      </c>
      <c r="O491" t="inlineStr">
        <is>
          <t xml:space="preserve"> : </t>
        </is>
      </c>
      <c r="P491" t="inlineStr">
        <is>
          <t>X</t>
        </is>
      </c>
      <c r="Q491" t="inlineStr"/>
      <c r="R491" t="inlineStr">
        <is>
          <t>Pergamentband</t>
        </is>
      </c>
      <c r="S491" t="inlineStr">
        <is>
          <t>bis 35 cm</t>
        </is>
      </c>
      <c r="T491" t="inlineStr">
        <is>
          <t>80° bis 110°, einseitig digitalisierbar?</t>
        </is>
      </c>
      <c r="U491" t="inlineStr">
        <is>
          <t>hohler Rücken</t>
        </is>
      </c>
      <c r="V491" t="inlineStr"/>
      <c r="W491" t="inlineStr">
        <is>
          <t>Kassette</t>
        </is>
      </c>
      <c r="X491" t="inlineStr">
        <is>
          <t>Nein</t>
        </is>
      </c>
      <c r="Y491" t="n">
        <v>0</v>
      </c>
      <c r="Z491" t="inlineStr"/>
      <c r="AA491" t="inlineStr">
        <is>
          <t>alter Einband in extra Mappe</t>
        </is>
      </c>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t>
        </is>
      </c>
      <c r="B492" t="b">
        <v>1</v>
      </c>
      <c r="C492" t="inlineStr"/>
      <c r="D492" t="inlineStr"/>
      <c r="E492" t="n">
        <v>483</v>
      </c>
      <c r="F492">
        <f>HYPERLINK("https://portal.dnb.de/opac.htm?method=simpleSearch&amp;cqlMode=true&amp;query=idn%3D1066966842", "Portal")</f>
        <v/>
      </c>
      <c r="G492" t="inlineStr">
        <is>
          <t>Aaf</t>
        </is>
      </c>
      <c r="H492" t="inlineStr">
        <is>
          <t>L-1500-315497149</t>
        </is>
      </c>
      <c r="I492" t="inlineStr">
        <is>
          <t>1066966842</t>
        </is>
      </c>
      <c r="J492" t="inlineStr">
        <is>
          <t>II 30,18b</t>
        </is>
      </c>
      <c r="K492" t="inlineStr">
        <is>
          <t>II 30,18b</t>
        </is>
      </c>
      <c r="L492" t="inlineStr">
        <is>
          <t>II 30,18b</t>
        </is>
      </c>
      <c r="M492" t="inlineStr"/>
      <c r="N492" t="inlineStr">
        <is>
          <t xml:space="preserve">Von dem trost der weißheit : </t>
        </is>
      </c>
      <c r="O492" t="inlineStr">
        <is>
          <t xml:space="preserve"> : </t>
        </is>
      </c>
      <c r="P492" t="inlineStr">
        <is>
          <t>X</t>
        </is>
      </c>
      <c r="Q492" t="inlineStr"/>
      <c r="R492" t="inlineStr">
        <is>
          <t>Ledereinband, Schließen, erhabene Buchbeschläge</t>
        </is>
      </c>
      <c r="S492" t="inlineStr">
        <is>
          <t>bis 25 cm</t>
        </is>
      </c>
      <c r="T492" t="inlineStr">
        <is>
          <t>80° bis 110°, einseitig digitalisierbar?</t>
        </is>
      </c>
      <c r="U492" t="inlineStr">
        <is>
          <t>hohler Rücken, welliger Buchblock, erhabene Illuminationen</t>
        </is>
      </c>
      <c r="V492" t="inlineStr">
        <is>
          <t>nicht auflegen</t>
        </is>
      </c>
      <c r="W492" t="inlineStr">
        <is>
          <t>Kassette</t>
        </is>
      </c>
      <c r="X492" t="inlineStr">
        <is>
          <t>Nein</t>
        </is>
      </c>
      <c r="Y492" t="n">
        <v>0</v>
      </c>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t>
        </is>
      </c>
      <c r="B493" t="b">
        <v>1</v>
      </c>
      <c r="C493" t="inlineStr"/>
      <c r="D493" t="inlineStr"/>
      <c r="E493" t="n">
        <v>484</v>
      </c>
      <c r="F493">
        <f>HYPERLINK("https://portal.dnb.de/opac.htm?method=simpleSearch&amp;cqlMode=true&amp;query=idn%3D1066968977", "Portal")</f>
        <v/>
      </c>
      <c r="G493" t="inlineStr">
        <is>
          <t>Aaf</t>
        </is>
      </c>
      <c r="H493" t="inlineStr">
        <is>
          <t>L-1499-315499249</t>
        </is>
      </c>
      <c r="I493" t="inlineStr">
        <is>
          <t>1066968977</t>
        </is>
      </c>
      <c r="J493" t="inlineStr">
        <is>
          <t>II 31,1a</t>
        </is>
      </c>
      <c r="K493" t="inlineStr">
        <is>
          <t>II 31,1a</t>
        </is>
      </c>
      <c r="L493" t="inlineStr">
        <is>
          <t>II 31,1a</t>
        </is>
      </c>
      <c r="M493" t="inlineStr"/>
      <c r="N493" t="inlineStr">
        <is>
          <t xml:space="preserve">Sermones de tempore et de sanctis : </t>
        </is>
      </c>
      <c r="O493" t="inlineStr">
        <is>
          <t xml:space="preserve"> : </t>
        </is>
      </c>
      <c r="P493" t="inlineStr">
        <is>
          <t>X</t>
        </is>
      </c>
      <c r="Q493" t="inlineStr"/>
      <c r="R493" t="inlineStr">
        <is>
          <t>Ledereinband, Schließen, erhabene Buchbeschläge</t>
        </is>
      </c>
      <c r="S493" t="inlineStr">
        <is>
          <t>bis 35 cm</t>
        </is>
      </c>
      <c r="T493" t="inlineStr">
        <is>
          <t>80° bis 110°, einseitig digitalisierbar?</t>
        </is>
      </c>
      <c r="U493" t="inlineStr">
        <is>
          <t>fester Rücken mit Schmuckprägung, welliger Buchblock</t>
        </is>
      </c>
      <c r="V493" t="inlineStr"/>
      <c r="W493" t="inlineStr">
        <is>
          <t>Kassette</t>
        </is>
      </c>
      <c r="X493" t="inlineStr">
        <is>
          <t>Nein</t>
        </is>
      </c>
      <c r="Y493" t="n">
        <v>1</v>
      </c>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t>
        </is>
      </c>
      <c r="B494" t="b">
        <v>1</v>
      </c>
      <c r="C494" t="inlineStr"/>
      <c r="D494" t="inlineStr"/>
      <c r="E494" t="n">
        <v>485</v>
      </c>
      <c r="F494">
        <f>HYPERLINK("https://portal.dnb.de/opac.htm?method=simpleSearch&amp;cqlMode=true&amp;query=idn%3D1066966729", "Portal")</f>
        <v/>
      </c>
      <c r="G494" t="inlineStr">
        <is>
          <t>Aaf</t>
        </is>
      </c>
      <c r="H494" t="inlineStr">
        <is>
          <t>L-1500-315497025</t>
        </is>
      </c>
      <c r="I494" t="inlineStr">
        <is>
          <t>1066966729</t>
        </is>
      </c>
      <c r="J494" t="inlineStr">
        <is>
          <t>II 31,1b</t>
        </is>
      </c>
      <c r="K494" t="inlineStr">
        <is>
          <t>II 31,1b</t>
        </is>
      </c>
      <c r="L494" t="inlineStr">
        <is>
          <t>II 31,1b</t>
        </is>
      </c>
      <c r="M494" t="inlineStr"/>
      <c r="N494" t="inlineStr">
        <is>
          <t xml:space="preserve">Epitoma expositionis sacri canonis missae : </t>
        </is>
      </c>
      <c r="O494" t="inlineStr">
        <is>
          <t xml:space="preserve"> : </t>
        </is>
      </c>
      <c r="P494" t="inlineStr">
        <is>
          <t>X</t>
        </is>
      </c>
      <c r="Q494" t="inlineStr"/>
      <c r="R494" t="inlineStr">
        <is>
          <t>Halbledereinband, Schließen, erhabene Buchbeschläge</t>
        </is>
      </c>
      <c r="S494" t="inlineStr">
        <is>
          <t>bis 25 cm</t>
        </is>
      </c>
      <c r="T494" t="inlineStr">
        <is>
          <t>80° bis 110°, einseitig digitalisierbar?</t>
        </is>
      </c>
      <c r="U494" t="inlineStr">
        <is>
          <t>hohler Rücken</t>
        </is>
      </c>
      <c r="V494" t="inlineStr"/>
      <c r="W494" t="inlineStr">
        <is>
          <t>Kassette</t>
        </is>
      </c>
      <c r="X494" t="inlineStr">
        <is>
          <t>Nein</t>
        </is>
      </c>
      <c r="Y494" t="n">
        <v>1</v>
      </c>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t>
        </is>
      </c>
      <c r="B495" t="b">
        <v>1</v>
      </c>
      <c r="C495" t="inlineStr"/>
      <c r="D495" t="inlineStr"/>
      <c r="E495" t="n">
        <v>486</v>
      </c>
      <c r="F495">
        <f>HYPERLINK("https://portal.dnb.de/opac.htm?method=simpleSearch&amp;cqlMode=true&amp;query=idn%3D1066972354", "Portal")</f>
        <v/>
      </c>
      <c r="G495" t="inlineStr">
        <is>
          <t>Aaf</t>
        </is>
      </c>
      <c r="H495" t="inlineStr">
        <is>
          <t>L-1498-315502789</t>
        </is>
      </c>
      <c r="I495" t="inlineStr">
        <is>
          <t>1066972354</t>
        </is>
      </c>
      <c r="J495" t="inlineStr">
        <is>
          <t>II 31,1c</t>
        </is>
      </c>
      <c r="K495" t="inlineStr">
        <is>
          <t>II 31,1c</t>
        </is>
      </c>
      <c r="L495" t="inlineStr">
        <is>
          <t>II 31,1c</t>
        </is>
      </c>
      <c r="M495" t="inlineStr"/>
      <c r="N495" t="inlineStr">
        <is>
          <t xml:space="preserve">Tractatus bipartitus de Deo homine facto : </t>
        </is>
      </c>
      <c r="O495" t="inlineStr">
        <is>
          <t xml:space="preserve"> : </t>
        </is>
      </c>
      <c r="P495" t="inlineStr">
        <is>
          <t>X</t>
        </is>
      </c>
      <c r="Q495" t="inlineStr"/>
      <c r="R495" t="inlineStr">
        <is>
          <t>Halbgewebeband</t>
        </is>
      </c>
      <c r="S495" t="inlineStr">
        <is>
          <t>bis 25 cm</t>
        </is>
      </c>
      <c r="T495" t="inlineStr">
        <is>
          <t>80° bis 110°, einseitig digitalisierbar?</t>
        </is>
      </c>
      <c r="U495" t="inlineStr">
        <is>
          <t>hohler Rücken, welliger Buchblock</t>
        </is>
      </c>
      <c r="V495" t="inlineStr"/>
      <c r="W495" t="inlineStr">
        <is>
          <t>Kassette</t>
        </is>
      </c>
      <c r="X495" t="inlineStr">
        <is>
          <t>Nein</t>
        </is>
      </c>
      <c r="Y495" t="n">
        <v>0</v>
      </c>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t>
        </is>
      </c>
      <c r="B496" t="b">
        <v>1</v>
      </c>
      <c r="C496" t="inlineStr">
        <is>
          <t>x</t>
        </is>
      </c>
      <c r="D496" t="inlineStr"/>
      <c r="E496" t="n">
        <v>487</v>
      </c>
      <c r="F496">
        <f>HYPERLINK("https://portal.dnb.de/opac.htm?method=simpleSearch&amp;cqlMode=true&amp;query=idn%3D1066966176", "Portal")</f>
        <v/>
      </c>
      <c r="G496" t="inlineStr">
        <is>
          <t>Aaf</t>
        </is>
      </c>
      <c r="H496" t="inlineStr">
        <is>
          <t>L-1474-315496479</t>
        </is>
      </c>
      <c r="I496" t="inlineStr">
        <is>
          <t>1066966176</t>
        </is>
      </c>
      <c r="J496" t="inlineStr">
        <is>
          <t>II 32,1 b</t>
        </is>
      </c>
      <c r="K496" t="inlineStr">
        <is>
          <t>II 32,1 b</t>
        </is>
      </c>
      <c r="L496" t="inlineStr">
        <is>
          <t>II 32,1 b</t>
        </is>
      </c>
      <c r="M496" t="inlineStr"/>
      <c r="N496" t="inlineStr">
        <is>
          <t xml:space="preserve">Liber Bibliae moralis : </t>
        </is>
      </c>
      <c r="O496" t="inlineStr">
        <is>
          <t xml:space="preserve"> : </t>
        </is>
      </c>
      <c r="P496" t="inlineStr"/>
      <c r="Q496" t="inlineStr">
        <is>
          <t>24000,00 EUR</t>
        </is>
      </c>
      <c r="R496" t="inlineStr"/>
      <c r="S496" t="inlineStr">
        <is>
          <t>bis 42 cm</t>
        </is>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is>
          <t>HL</t>
        </is>
      </c>
      <c r="AJ496" t="inlineStr"/>
      <c r="AK496" t="inlineStr">
        <is>
          <t>x</t>
        </is>
      </c>
      <c r="AL496" t="inlineStr"/>
      <c r="AM496" t="inlineStr">
        <is>
          <t>h/E</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is>
          <t>B</t>
        </is>
      </c>
      <c r="BD496" t="inlineStr">
        <is>
          <t>x</t>
        </is>
      </c>
      <c r="BE496" t="inlineStr"/>
      <c r="BF496" t="inlineStr"/>
      <c r="BG496" t="n">
        <v>45</v>
      </c>
      <c r="BH496" t="inlineStr"/>
      <c r="BI496" t="inlineStr"/>
      <c r="BJ496" t="inlineStr"/>
      <c r="BK496" t="inlineStr"/>
      <c r="BL496" t="inlineStr"/>
      <c r="BM496" t="inlineStr">
        <is>
          <t>ja vor</t>
        </is>
      </c>
      <c r="BN496" t="n">
        <v>3.5</v>
      </c>
      <c r="BO496" t="inlineStr"/>
      <c r="BP496" t="inlineStr"/>
      <c r="BQ496" t="inlineStr"/>
      <c r="BR496" t="inlineStr">
        <is>
          <t>x</t>
        </is>
      </c>
      <c r="BS496" t="inlineStr"/>
      <c r="BT496" t="inlineStr"/>
      <c r="BU496" t="inlineStr"/>
      <c r="BV496" t="inlineStr"/>
      <c r="BW496" t="inlineStr"/>
      <c r="BX496" t="inlineStr"/>
      <c r="BY496" t="inlineStr"/>
      <c r="BZ496" t="inlineStr">
        <is>
          <t>x</t>
        </is>
      </c>
      <c r="CA496" t="inlineStr">
        <is>
          <t>x</t>
        </is>
      </c>
      <c r="CB496" t="inlineStr">
        <is>
          <t>x</t>
        </is>
      </c>
      <c r="CC496" t="inlineStr"/>
      <c r="CD496" t="inlineStr">
        <is>
          <t>v/h</t>
        </is>
      </c>
      <c r="CE496" t="inlineStr"/>
      <c r="CF496" t="inlineStr"/>
      <c r="CG496" t="inlineStr"/>
      <c r="CH496" t="inlineStr"/>
      <c r="CI496" t="inlineStr"/>
      <c r="CJ496" t="inlineStr"/>
      <c r="CK496" t="inlineStr"/>
      <c r="CL496" t="inlineStr">
        <is>
          <t>u</t>
        </is>
      </c>
      <c r="CM496" t="n">
        <v>3.5</v>
      </c>
      <c r="CN496" t="inlineStr">
        <is>
          <t>Kapital fixieren, Gelenke mit JP stabilisieren (oben unterlegen, beide Gelenke mit JP überfangen und so stabilisieren), Anmerkung: Deckel sind fest, es geht lediglich darum das lose Leder zu fixieren</t>
        </is>
      </c>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t>
        </is>
      </c>
      <c r="B497" t="b">
        <v>1</v>
      </c>
      <c r="C497" t="inlineStr"/>
      <c r="D497" t="inlineStr"/>
      <c r="E497" t="n">
        <v>488</v>
      </c>
      <c r="F497">
        <f>HYPERLINK("https://portal.dnb.de/opac.htm?method=simpleSearch&amp;cqlMode=true&amp;query=idn%3D1066967911", "Portal")</f>
        <v/>
      </c>
      <c r="G497" t="inlineStr">
        <is>
          <t>Aaf</t>
        </is>
      </c>
      <c r="H497" t="inlineStr">
        <is>
          <t>L-1473-315498161</t>
        </is>
      </c>
      <c r="I497" t="inlineStr">
        <is>
          <t>1066967911</t>
        </is>
      </c>
      <c r="J497" t="inlineStr">
        <is>
          <t>II 32,1a</t>
        </is>
      </c>
      <c r="K497" t="inlineStr">
        <is>
          <t>II 32,1a</t>
        </is>
      </c>
      <c r="L497" t="inlineStr">
        <is>
          <t>II 32,1a</t>
        </is>
      </c>
      <c r="M497" t="inlineStr"/>
      <c r="N497" t="inlineStr">
        <is>
          <t xml:space="preserve">Rationale divinorum officiorum : </t>
        </is>
      </c>
      <c r="O497" t="inlineStr">
        <is>
          <t xml:space="preserve"> : </t>
        </is>
      </c>
      <c r="P497" t="inlineStr"/>
      <c r="Q497" t="inlineStr"/>
      <c r="R497" t="inlineStr"/>
      <c r="S497" t="inlineStr"/>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t>
        </is>
      </c>
      <c r="B498" t="b">
        <v>1</v>
      </c>
      <c r="C498" t="inlineStr"/>
      <c r="D498" t="inlineStr"/>
      <c r="E498" t="n">
        <v>489</v>
      </c>
      <c r="F498">
        <f>HYPERLINK("https://portal.dnb.de/opac.htm?method=simpleSearch&amp;cqlMode=true&amp;query=idn%3D106696792X", "Portal")</f>
        <v/>
      </c>
      <c r="G498" t="inlineStr">
        <is>
          <t>Aaf</t>
        </is>
      </c>
      <c r="H498" t="inlineStr">
        <is>
          <t>L-1475-315498188</t>
        </is>
      </c>
      <c r="I498" t="inlineStr">
        <is>
          <t>106696792X</t>
        </is>
      </c>
      <c r="J498" t="inlineStr">
        <is>
          <t>II 32,1c</t>
        </is>
      </c>
      <c r="K498" t="inlineStr">
        <is>
          <t>II 32,1c</t>
        </is>
      </c>
      <c r="L498" t="inlineStr">
        <is>
          <t>II 32,1c</t>
        </is>
      </c>
      <c r="M498" t="inlineStr"/>
      <c r="N498" t="inlineStr">
        <is>
          <t xml:space="preserve">Rationale divinorum officiorum : </t>
        </is>
      </c>
      <c r="O498" t="inlineStr">
        <is>
          <t xml:space="preserve"> : </t>
        </is>
      </c>
      <c r="P498" t="inlineStr"/>
      <c r="Q498" t="inlineStr"/>
      <c r="R498" t="inlineStr"/>
      <c r="S498" t="inlineStr"/>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t>
        </is>
      </c>
      <c r="B499" t="b">
        <v>1</v>
      </c>
      <c r="C499" t="inlineStr"/>
      <c r="D499" t="inlineStr"/>
      <c r="E499" t="n">
        <v>490</v>
      </c>
      <c r="F499">
        <f>HYPERLINK("https://portal.dnb.de/opac.htm?method=simpleSearch&amp;cqlMode=true&amp;query=idn%3D106696792X", "Portal")</f>
        <v/>
      </c>
      <c r="G499" t="inlineStr">
        <is>
          <t>Aaf</t>
        </is>
      </c>
      <c r="H499" t="inlineStr">
        <is>
          <t>L-1475-315498196</t>
        </is>
      </c>
      <c r="I499" t="inlineStr">
        <is>
          <t>106696792X</t>
        </is>
      </c>
      <c r="J499" t="inlineStr">
        <is>
          <t>II 32,1ca - Fragm.</t>
        </is>
      </c>
      <c r="K499" t="inlineStr">
        <is>
          <t>II 32,1ca - Fragm.</t>
        </is>
      </c>
      <c r="L499" t="inlineStr">
        <is>
          <t>II 32,1ca - Fragm.</t>
        </is>
      </c>
      <c r="M499" t="inlineStr"/>
      <c r="N499" t="inlineStr">
        <is>
          <t xml:space="preserve">Rationale divinorum officiorum : </t>
        </is>
      </c>
      <c r="O499" t="inlineStr">
        <is>
          <t xml:space="preserve"> : </t>
        </is>
      </c>
      <c r="P499" t="inlineStr"/>
      <c r="Q499" t="inlineStr"/>
      <c r="R499" t="inlineStr"/>
      <c r="S499" t="inlineStr"/>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t>
        </is>
      </c>
      <c r="B500" t="b">
        <v>1</v>
      </c>
      <c r="C500" t="inlineStr"/>
      <c r="D500" t="inlineStr"/>
      <c r="E500" t="n">
        <v>491</v>
      </c>
      <c r="F500">
        <f>HYPERLINK("https://portal.dnb.de/opac.htm?method=simpleSearch&amp;cqlMode=true&amp;query=idn%3D1066966753", "Portal")</f>
        <v/>
      </c>
      <c r="G500" t="inlineStr">
        <is>
          <t>Aaf</t>
        </is>
      </c>
      <c r="H500" t="inlineStr">
        <is>
          <t>L-1475-31549705X</t>
        </is>
      </c>
      <c r="I500" t="inlineStr">
        <is>
          <t>1066966753</t>
        </is>
      </c>
      <c r="J500" t="inlineStr">
        <is>
          <t>II 32,1d</t>
        </is>
      </c>
      <c r="K500" t="inlineStr">
        <is>
          <t>II 32,1d</t>
        </is>
      </c>
      <c r="L500" t="inlineStr">
        <is>
          <t>II 32,1d</t>
        </is>
      </c>
      <c r="M500" t="inlineStr"/>
      <c r="N500" t="inlineStr">
        <is>
          <t xml:space="preserve">Aurea Biblia sive Repertorium aureum Bibliorum : </t>
        </is>
      </c>
      <c r="O500" t="inlineStr">
        <is>
          <t xml:space="preserve"> : </t>
        </is>
      </c>
      <c r="P500" t="inlineStr">
        <is>
          <t>X</t>
        </is>
      </c>
      <c r="Q500" t="inlineStr"/>
      <c r="R500" t="inlineStr">
        <is>
          <t>Pergamentband</t>
        </is>
      </c>
      <c r="S500" t="inlineStr">
        <is>
          <t>bis 35 cm</t>
        </is>
      </c>
      <c r="T500" t="inlineStr">
        <is>
          <t>180°</t>
        </is>
      </c>
      <c r="U500" t="inlineStr">
        <is>
          <t>hohler Rücken, erhabene Illuminationen</t>
        </is>
      </c>
      <c r="V500" t="inlineStr">
        <is>
          <t>nicht auflegen</t>
        </is>
      </c>
      <c r="W500" t="inlineStr">
        <is>
          <t>Mappe</t>
        </is>
      </c>
      <c r="X500" t="inlineStr">
        <is>
          <t>Nein</t>
        </is>
      </c>
      <c r="Y500" t="n">
        <v>0</v>
      </c>
      <c r="Z500" t="inlineStr"/>
      <c r="AA500" t="inlineStr">
        <is>
          <t>gereinigt</t>
        </is>
      </c>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t>
        </is>
      </c>
      <c r="B501" t="b">
        <v>1</v>
      </c>
      <c r="C501" t="inlineStr"/>
      <c r="D501" t="inlineStr"/>
      <c r="E501" t="n">
        <v>492</v>
      </c>
      <c r="F501">
        <f>HYPERLINK("https://portal.dnb.de/opac.htm?method=simpleSearch&amp;cqlMode=true&amp;query=idn%3D1066970130", "Portal")</f>
        <v/>
      </c>
      <c r="G501" t="inlineStr">
        <is>
          <t>Aaf</t>
        </is>
      </c>
      <c r="H501" t="inlineStr">
        <is>
          <t>L-1480-315500476</t>
        </is>
      </c>
      <c r="I501" t="inlineStr">
        <is>
          <t>1066970130</t>
        </is>
      </c>
      <c r="J501" t="inlineStr">
        <is>
          <t>II 32,1e</t>
        </is>
      </c>
      <c r="K501" t="inlineStr">
        <is>
          <t>II 32,1e</t>
        </is>
      </c>
      <c r="L501" t="inlineStr">
        <is>
          <t>II 32,1e</t>
        </is>
      </c>
      <c r="M501" t="inlineStr"/>
      <c r="N501" t="inlineStr">
        <is>
          <t xml:space="preserve">Scala coeli : </t>
        </is>
      </c>
      <c r="O501" t="inlineStr">
        <is>
          <t xml:space="preserve"> : </t>
        </is>
      </c>
      <c r="P501" t="inlineStr">
        <is>
          <t>X</t>
        </is>
      </c>
      <c r="Q501" t="inlineStr"/>
      <c r="R501" t="inlineStr">
        <is>
          <t>Halbledereinband, Schließen, erhabene Buchbeschläge</t>
        </is>
      </c>
      <c r="S501" t="inlineStr">
        <is>
          <t>bis 35 cm</t>
        </is>
      </c>
      <c r="T501" t="inlineStr">
        <is>
          <t>80° bis 110°, einseitig digitalisierbar?</t>
        </is>
      </c>
      <c r="U501" t="inlineStr">
        <is>
          <t>fester Rücken mit Schmuckprägung, erhabene Illuminationen</t>
        </is>
      </c>
      <c r="V501" t="inlineStr">
        <is>
          <t>nicht auflegen</t>
        </is>
      </c>
      <c r="W501" t="inlineStr">
        <is>
          <t>Kassette</t>
        </is>
      </c>
      <c r="X501" t="inlineStr">
        <is>
          <t>Nein</t>
        </is>
      </c>
      <c r="Y501" t="n">
        <v>0</v>
      </c>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t>
        </is>
      </c>
      <c r="B502" t="b">
        <v>1</v>
      </c>
      <c r="C502" t="inlineStr">
        <is>
          <t>x</t>
        </is>
      </c>
      <c r="D502" t="inlineStr"/>
      <c r="E502" t="n">
        <v>493</v>
      </c>
      <c r="F502">
        <f>HYPERLINK("https://portal.dnb.de/opac.htm?method=simpleSearch&amp;cqlMode=true&amp;query=idn%3D1066972206", "Portal")</f>
        <v/>
      </c>
      <c r="G502" t="inlineStr">
        <is>
          <t>Aa</t>
        </is>
      </c>
      <c r="H502" t="inlineStr">
        <is>
          <t>L-1481-315502622</t>
        </is>
      </c>
      <c r="I502" t="inlineStr">
        <is>
          <t>1066972206</t>
        </is>
      </c>
      <c r="J502" t="inlineStr">
        <is>
          <t>II 32,1f</t>
        </is>
      </c>
      <c r="K502" t="inlineStr">
        <is>
          <t>II 32,1f</t>
        </is>
      </c>
      <c r="L502" t="inlineStr">
        <is>
          <t>II 32,1f</t>
        </is>
      </c>
      <c r="M502" t="inlineStr"/>
      <c r="N502" t="inlineStr">
        <is>
          <t xml:space="preserve">Sermones de tempore et de sanctis : </t>
        </is>
      </c>
      <c r="O502" t="inlineStr">
        <is>
          <t xml:space="preserve"> : </t>
        </is>
      </c>
      <c r="P502" t="inlineStr">
        <is>
          <t>X</t>
        </is>
      </c>
      <c r="Q502" t="inlineStr">
        <is>
          <t>4500,00 EUR</t>
        </is>
      </c>
      <c r="R502" t="inlineStr">
        <is>
          <t>Ledereinband, Schließen, erhabene Buchbeschläge</t>
        </is>
      </c>
      <c r="S502" t="inlineStr">
        <is>
          <t>bis 35 cm</t>
        </is>
      </c>
      <c r="T502" t="inlineStr">
        <is>
          <t>80° bis 110°, einseitig digitalisierbar?</t>
        </is>
      </c>
      <c r="U502" t="inlineStr">
        <is>
          <t>fester Rücken mit Schmuckprägung, welliger Buchblock, erhabene Illuminationen</t>
        </is>
      </c>
      <c r="V502" t="inlineStr">
        <is>
          <t>nicht auflegen</t>
        </is>
      </c>
      <c r="W502" t="inlineStr">
        <is>
          <t>Kassette</t>
        </is>
      </c>
      <c r="X502" t="inlineStr">
        <is>
          <t>Nein</t>
        </is>
      </c>
      <c r="Y502" t="n">
        <v>0</v>
      </c>
      <c r="Z502" t="inlineStr"/>
      <c r="AA502" t="inlineStr">
        <is>
          <t>T.1 und T.2 jeweils einzeln in e. Kassette</t>
        </is>
      </c>
      <c r="AB502" t="inlineStr"/>
      <c r="AC502" t="inlineStr"/>
      <c r="AD502" t="inlineStr"/>
      <c r="AE502" t="inlineStr"/>
      <c r="AF502" t="inlineStr"/>
      <c r="AG502" t="inlineStr"/>
      <c r="AH502" t="inlineStr"/>
      <c r="AI502" t="inlineStr">
        <is>
          <t>HD</t>
        </is>
      </c>
      <c r="AJ502" t="inlineStr"/>
      <c r="AK502" t="inlineStr">
        <is>
          <t>x</t>
        </is>
      </c>
      <c r="AL502" t="inlineStr"/>
      <c r="AM502" t="inlineStr">
        <is>
          <t>f/V</t>
        </is>
      </c>
      <c r="AN502" t="inlineStr"/>
      <c r="AO502" t="inlineStr"/>
      <c r="AP502" t="inlineStr"/>
      <c r="AQ502" t="inlineStr"/>
      <c r="AR502" t="inlineStr"/>
      <c r="AS502" t="inlineStr">
        <is>
          <t>Pa</t>
        </is>
      </c>
      <c r="AT502" t="inlineStr"/>
      <c r="AU502" t="inlineStr"/>
      <c r="AV502" t="inlineStr"/>
      <c r="AW502" t="inlineStr"/>
      <c r="AX502" t="inlineStr"/>
      <c r="AY502" t="inlineStr"/>
      <c r="AZ502" t="inlineStr"/>
      <c r="BA502" t="inlineStr"/>
      <c r="BB502" t="inlineStr"/>
      <c r="BC502" t="inlineStr">
        <is>
          <t>I/R</t>
        </is>
      </c>
      <c r="BD502" t="inlineStr">
        <is>
          <t>x</t>
        </is>
      </c>
      <c r="BE502" t="inlineStr"/>
      <c r="BF502" t="inlineStr"/>
      <c r="BG502" t="n">
        <v>60</v>
      </c>
      <c r="BH502" t="inlineStr"/>
      <c r="BI502" t="inlineStr"/>
      <c r="BJ502" t="inlineStr"/>
      <c r="BK502" t="inlineStr"/>
      <c r="BL502" t="inlineStr"/>
      <c r="BM502" t="inlineStr">
        <is>
          <t>ja vor</t>
        </is>
      </c>
      <c r="BN502" t="n">
        <v>0.5</v>
      </c>
      <c r="BO502" t="inlineStr"/>
      <c r="BP502" t="inlineStr">
        <is>
          <t>Wellpappe</t>
        </is>
      </c>
      <c r="BQ502" t="inlineStr"/>
      <c r="BR502" t="inlineStr"/>
      <c r="BS502" t="inlineStr"/>
      <c r="BT502" t="inlineStr"/>
      <c r="BU502" t="inlineStr"/>
      <c r="BV502" t="inlineStr"/>
      <c r="BW502" t="inlineStr"/>
      <c r="BX502" t="inlineStr"/>
      <c r="BY502" t="inlineStr"/>
      <c r="BZ502" t="inlineStr">
        <is>
          <t>x TS sichern</t>
        </is>
      </c>
      <c r="CA502" t="inlineStr">
        <is>
          <t>x</t>
        </is>
      </c>
      <c r="CB502" t="inlineStr">
        <is>
          <t>x</t>
        </is>
      </c>
      <c r="CC502" t="inlineStr"/>
      <c r="CD502" t="inlineStr"/>
      <c r="CE502" t="inlineStr"/>
      <c r="CF502" t="inlineStr"/>
      <c r="CG502" t="inlineStr"/>
      <c r="CH502" t="inlineStr"/>
      <c r="CI502" t="inlineStr"/>
      <c r="CJ502" t="inlineStr"/>
      <c r="CK502" t="inlineStr"/>
      <c r="CL502" t="inlineStr"/>
      <c r="CM502" t="n">
        <v>0.5</v>
      </c>
      <c r="CN502" t="inlineStr">
        <is>
          <t>Titelschild sichern</t>
        </is>
      </c>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t>
        </is>
      </c>
      <c r="B503" t="b">
        <v>1</v>
      </c>
      <c r="C503" t="inlineStr"/>
      <c r="D503" t="inlineStr"/>
      <c r="E503" t="n">
        <v>494</v>
      </c>
      <c r="F503">
        <f>HYPERLINK("https://portal.dnb.de/opac.htm?method=simpleSearch&amp;cqlMode=true&amp;query=idn%3D1066969949", "Portal")</f>
        <v/>
      </c>
      <c r="G503" t="inlineStr">
        <is>
          <t>Aaf</t>
        </is>
      </c>
      <c r="H503" t="inlineStr">
        <is>
          <t>L-1473-31550028X</t>
        </is>
      </c>
      <c r="I503" t="inlineStr">
        <is>
          <t>1066969949</t>
        </is>
      </c>
      <c r="J503" t="inlineStr">
        <is>
          <t>II 32,1h</t>
        </is>
      </c>
      <c r="K503" t="inlineStr">
        <is>
          <t>II 32,1h</t>
        </is>
      </c>
      <c r="L503" t="inlineStr">
        <is>
          <t>II 32,1h</t>
        </is>
      </c>
      <c r="M503" t="inlineStr"/>
      <c r="N503" t="inlineStr">
        <is>
          <t xml:space="preserve">De adhaerendo Deo : </t>
        </is>
      </c>
      <c r="O503" t="inlineStr">
        <is>
          <t xml:space="preserve"> : </t>
        </is>
      </c>
      <c r="P503" t="inlineStr">
        <is>
          <t>X</t>
        </is>
      </c>
      <c r="Q503" t="inlineStr"/>
      <c r="R503" t="inlineStr">
        <is>
          <t>Pergamentband</t>
        </is>
      </c>
      <c r="S503" t="inlineStr">
        <is>
          <t>bis 35 cm</t>
        </is>
      </c>
      <c r="T503" t="inlineStr">
        <is>
          <t>80° bis 110°, einseitig digitalisierbar?</t>
        </is>
      </c>
      <c r="U503" t="inlineStr">
        <is>
          <t>hohler Rücken, erhabene Illuminationen</t>
        </is>
      </c>
      <c r="V503" t="inlineStr">
        <is>
          <t>nicht auflegen</t>
        </is>
      </c>
      <c r="W503" t="inlineStr">
        <is>
          <t>Kassette</t>
        </is>
      </c>
      <c r="X503" t="inlineStr">
        <is>
          <t>Nein</t>
        </is>
      </c>
      <c r="Y503" t="n">
        <v>0</v>
      </c>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t>
        </is>
      </c>
      <c r="B504" t="b">
        <v>1</v>
      </c>
      <c r="C504" t="inlineStr"/>
      <c r="D504" t="inlineStr"/>
      <c r="E504" t="n">
        <v>495</v>
      </c>
      <c r="F504">
        <f>HYPERLINK("https://portal.dnb.de/opac.htm?method=simpleSearch&amp;cqlMode=true&amp;query=idn%3D1066969280", "Portal")</f>
        <v/>
      </c>
      <c r="G504" t="inlineStr">
        <is>
          <t>Aa</t>
        </is>
      </c>
      <c r="H504" t="inlineStr">
        <is>
          <t>L-1481-315499591</t>
        </is>
      </c>
      <c r="I504" t="inlineStr">
        <is>
          <t>1066969280</t>
        </is>
      </c>
      <c r="J504" t="inlineStr">
        <is>
          <t>II 32,1i</t>
        </is>
      </c>
      <c r="K504" t="inlineStr">
        <is>
          <t>II 32,1i</t>
        </is>
      </c>
      <c r="L504" t="inlineStr">
        <is>
          <t>II 32,1i</t>
        </is>
      </c>
      <c r="M504" t="inlineStr"/>
      <c r="N504" t="inlineStr">
        <is>
          <t xml:space="preserve">Compendium theologicae veritatis : </t>
        </is>
      </c>
      <c r="O504" t="inlineStr">
        <is>
          <t xml:space="preserve"> : </t>
        </is>
      </c>
      <c r="P504" t="inlineStr">
        <is>
          <t>X</t>
        </is>
      </c>
      <c r="Q504" t="inlineStr"/>
      <c r="R504" t="inlineStr">
        <is>
          <t>Halbledereinband</t>
        </is>
      </c>
      <c r="S504" t="inlineStr">
        <is>
          <t>bis 35 cm</t>
        </is>
      </c>
      <c r="T504" t="inlineStr">
        <is>
          <t>80° bis 110°, einseitig digitalisierbar?</t>
        </is>
      </c>
      <c r="U504" t="inlineStr">
        <is>
          <t>hohler Rücken, stark brüchiges Einbandmaterial, erhabene Illuminationen</t>
        </is>
      </c>
      <c r="V504" t="inlineStr">
        <is>
          <t>nicht auflegen</t>
        </is>
      </c>
      <c r="W504" t="inlineStr">
        <is>
          <t>Kassette</t>
        </is>
      </c>
      <c r="X504" t="inlineStr">
        <is>
          <t>Nein</t>
        </is>
      </c>
      <c r="Y504" t="n">
        <v>2</v>
      </c>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t>
        </is>
      </c>
      <c r="B505" t="b">
        <v>1</v>
      </c>
      <c r="C505" t="inlineStr"/>
      <c r="D505" t="inlineStr"/>
      <c r="E505" t="n">
        <v>496</v>
      </c>
      <c r="F505">
        <f>HYPERLINK("https://portal.dnb.de/opac.htm?method=simpleSearch&amp;cqlMode=true&amp;query=idn%3D1066969965", "Portal")</f>
        <v/>
      </c>
      <c r="G505" t="inlineStr">
        <is>
          <t>Aa</t>
        </is>
      </c>
      <c r="H505" t="inlineStr">
        <is>
          <t>L-1484-315500301</t>
        </is>
      </c>
      <c r="I505" t="inlineStr">
        <is>
          <t>1066969965</t>
        </is>
      </c>
      <c r="J505" t="inlineStr">
        <is>
          <t>II 32,2ab</t>
        </is>
      </c>
      <c r="K505" t="inlineStr">
        <is>
          <t>II 32,2ab</t>
        </is>
      </c>
      <c r="L505" t="inlineStr">
        <is>
          <t>II 32,2ab</t>
        </is>
      </c>
      <c r="M505" t="inlineStr"/>
      <c r="N505" t="inlineStr">
        <is>
          <t xml:space="preserve">Summa confessorum : </t>
        </is>
      </c>
      <c r="O505" t="inlineStr">
        <is>
          <t xml:space="preserve"> : </t>
        </is>
      </c>
      <c r="P505" t="inlineStr">
        <is>
          <t>X</t>
        </is>
      </c>
      <c r="Q505" t="inlineStr"/>
      <c r="R505" t="inlineStr">
        <is>
          <t>Ledereinband, Schließen, erhabene Buchbeschläge</t>
        </is>
      </c>
      <c r="S505" t="inlineStr">
        <is>
          <t>bis 35 cm</t>
        </is>
      </c>
      <c r="T505" t="inlineStr">
        <is>
          <t>80° bis 110°, einseitig digitalisierbar?</t>
        </is>
      </c>
      <c r="U505" t="inlineStr">
        <is>
          <t>fester Rücken mit Schmuckprägung, erhabene Illuminationen</t>
        </is>
      </c>
      <c r="V505" t="inlineStr">
        <is>
          <t>nicht auflegen</t>
        </is>
      </c>
      <c r="W505" t="inlineStr">
        <is>
          <t>Kassette</t>
        </is>
      </c>
      <c r="X505" t="inlineStr">
        <is>
          <t>Nein</t>
        </is>
      </c>
      <c r="Y505" t="n">
        <v>0</v>
      </c>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t>
        </is>
      </c>
      <c r="B506" t="b">
        <v>1</v>
      </c>
      <c r="C506" t="inlineStr"/>
      <c r="D506" t="inlineStr"/>
      <c r="E506" t="n">
        <v>497</v>
      </c>
      <c r="F506">
        <f>HYPERLINK("https://portal.dnb.de/opac.htm?method=simpleSearch&amp;cqlMode=true&amp;query=idn%3D1066968926", "Portal")</f>
        <v/>
      </c>
      <c r="G506" t="inlineStr">
        <is>
          <t>Aa</t>
        </is>
      </c>
      <c r="H506" t="inlineStr">
        <is>
          <t>L-1486-315499206</t>
        </is>
      </c>
      <c r="I506" t="inlineStr">
        <is>
          <t>1066968926</t>
        </is>
      </c>
      <c r="J506" t="inlineStr">
        <is>
          <t>II 32,2b</t>
        </is>
      </c>
      <c r="K506" t="inlineStr">
        <is>
          <t>II 32,2b</t>
        </is>
      </c>
      <c r="L506" t="inlineStr">
        <is>
          <t>II 32,2b</t>
        </is>
      </c>
      <c r="M506" t="inlineStr"/>
      <c r="N506" t="inlineStr">
        <is>
          <t xml:space="preserve">Postilla super epistolas et evangelia : </t>
        </is>
      </c>
      <c r="O506" t="inlineStr">
        <is>
          <t xml:space="preserve"> : </t>
        </is>
      </c>
      <c r="P506" t="inlineStr">
        <is>
          <t>X</t>
        </is>
      </c>
      <c r="Q506" t="inlineStr"/>
      <c r="R506" t="inlineStr">
        <is>
          <t>Ledereinband, Schließen, erhabene Buchbeschläge</t>
        </is>
      </c>
      <c r="S506" t="inlineStr">
        <is>
          <t>bis 35 cm</t>
        </is>
      </c>
      <c r="T506" t="inlineStr">
        <is>
          <t>80° bis 110°, einseitig digitalisierbar?</t>
        </is>
      </c>
      <c r="U506" t="inlineStr">
        <is>
          <t>hohler Rücken, welliger Buchblock, erhabene Illuminationen</t>
        </is>
      </c>
      <c r="V506" t="inlineStr">
        <is>
          <t>nicht auflegen</t>
        </is>
      </c>
      <c r="W506" t="inlineStr">
        <is>
          <t>Kassette</t>
        </is>
      </c>
      <c r="X506" t="inlineStr">
        <is>
          <t>Nein</t>
        </is>
      </c>
      <c r="Y506" t="n">
        <v>0</v>
      </c>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n">
        <v>0</v>
      </c>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t>
        </is>
      </c>
      <c r="B507" t="b">
        <v>1</v>
      </c>
      <c r="C507" t="inlineStr"/>
      <c r="D507" t="inlineStr"/>
      <c r="E507" t="n">
        <v>498</v>
      </c>
      <c r="F507">
        <f>HYPERLINK("https://portal.dnb.de/opac.htm?method=simpleSearch&amp;cqlMode=true&amp;query=idn%3D1066969760", "Portal")</f>
        <v/>
      </c>
      <c r="G507" t="inlineStr">
        <is>
          <t>Aa</t>
        </is>
      </c>
      <c r="H507" t="inlineStr">
        <is>
          <t>L-1488-315500107</t>
        </is>
      </c>
      <c r="I507" t="inlineStr">
        <is>
          <t>1066969760</t>
        </is>
      </c>
      <c r="J507" t="inlineStr">
        <is>
          <t>II 32,2c</t>
        </is>
      </c>
      <c r="K507" t="inlineStr">
        <is>
          <t>II 32,2c</t>
        </is>
      </c>
      <c r="L507" t="inlineStr">
        <is>
          <t>II 32,2c</t>
        </is>
      </c>
      <c r="M507" t="inlineStr"/>
      <c r="N507" t="inlineStr">
        <is>
          <t xml:space="preserve">Legenda aurea sanctorum sive Lombardica historia : </t>
        </is>
      </c>
      <c r="O507" t="inlineStr">
        <is>
          <t xml:space="preserve"> : </t>
        </is>
      </c>
      <c r="P507" t="inlineStr">
        <is>
          <t>X</t>
        </is>
      </c>
      <c r="Q507" t="inlineStr"/>
      <c r="R507" t="inlineStr">
        <is>
          <t>Halbledereinband, Schließen, erhabene Buchbeschläge</t>
        </is>
      </c>
      <c r="S507" t="inlineStr">
        <is>
          <t>bis 35 cm</t>
        </is>
      </c>
      <c r="T507" t="inlineStr">
        <is>
          <t>80° bis 110°, einseitig digitalisierbar?</t>
        </is>
      </c>
      <c r="U507" t="inlineStr">
        <is>
          <t>hohler Rücken, welliger Buchblock, erhabene Illuminationen</t>
        </is>
      </c>
      <c r="V507" t="inlineStr">
        <is>
          <t>nicht auflegen</t>
        </is>
      </c>
      <c r="W507" t="inlineStr">
        <is>
          <t>Kassette</t>
        </is>
      </c>
      <c r="X507" t="inlineStr">
        <is>
          <t>Nein</t>
        </is>
      </c>
      <c r="Y507" t="n">
        <v>0</v>
      </c>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n">
        <v>0</v>
      </c>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t>
        </is>
      </c>
      <c r="B508" t="b">
        <v>1</v>
      </c>
      <c r="C508" t="inlineStr"/>
      <c r="D508" t="inlineStr"/>
      <c r="E508" t="n">
        <v>499</v>
      </c>
      <c r="F508">
        <f>HYPERLINK("https://portal.dnb.de/opac.htm?method=simpleSearch&amp;cqlMode=true&amp;query=idn%3D1066969337", "Portal")</f>
        <v/>
      </c>
      <c r="G508" t="inlineStr">
        <is>
          <t>Aaf</t>
        </is>
      </c>
      <c r="H508" t="inlineStr">
        <is>
          <t>L-1488-315499664</t>
        </is>
      </c>
      <c r="I508" t="inlineStr">
        <is>
          <t>1066969337</t>
        </is>
      </c>
      <c r="J508" t="inlineStr">
        <is>
          <t>II 32,2d</t>
        </is>
      </c>
      <c r="K508" t="inlineStr">
        <is>
          <t>II 32,2d</t>
        </is>
      </c>
      <c r="L508" t="inlineStr">
        <is>
          <t>II 32,2d</t>
        </is>
      </c>
      <c r="M508" t="inlineStr"/>
      <c r="N508" t="inlineStr">
        <is>
          <t xml:space="preserve">Auslegung über Sankt Augustins Regel : </t>
        </is>
      </c>
      <c r="O508" t="inlineStr">
        <is>
          <t xml:space="preserve"> : </t>
        </is>
      </c>
      <c r="P508" t="inlineStr">
        <is>
          <t>X</t>
        </is>
      </c>
      <c r="Q508" t="inlineStr"/>
      <c r="R508" t="inlineStr">
        <is>
          <t>Ledereinband</t>
        </is>
      </c>
      <c r="S508" t="inlineStr">
        <is>
          <t>bis 35 cm</t>
        </is>
      </c>
      <c r="T508" t="inlineStr">
        <is>
          <t>80° bis 110°, einseitig digitalisierbar?</t>
        </is>
      </c>
      <c r="U508" t="inlineStr">
        <is>
          <t>hohler Rücken, welliger Buchblock, erhabene Illuminationen</t>
        </is>
      </c>
      <c r="V508" t="inlineStr">
        <is>
          <t>nicht auflegen</t>
        </is>
      </c>
      <c r="W508" t="inlineStr">
        <is>
          <t>Kassette</t>
        </is>
      </c>
      <c r="X508" t="inlineStr">
        <is>
          <t>Nein</t>
        </is>
      </c>
      <c r="Y508" t="n">
        <v>1</v>
      </c>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t>
        </is>
      </c>
      <c r="B509" t="b">
        <v>1</v>
      </c>
      <c r="C509" t="inlineStr"/>
      <c r="D509" t="inlineStr"/>
      <c r="E509" t="n">
        <v>500</v>
      </c>
      <c r="F509">
        <f>HYPERLINK("https://portal.dnb.de/opac.htm?method=simpleSearch&amp;cqlMode=true&amp;query=idn%3D1066969337", "Portal")</f>
        <v/>
      </c>
      <c r="G509" t="inlineStr">
        <is>
          <t>Aaf</t>
        </is>
      </c>
      <c r="H509" t="inlineStr">
        <is>
          <t>L-1488-444452109</t>
        </is>
      </c>
      <c r="I509" t="inlineStr">
        <is>
          <t>1066969337</t>
        </is>
      </c>
      <c r="J509" t="inlineStr">
        <is>
          <t>II 32,2da</t>
        </is>
      </c>
      <c r="K509" t="inlineStr">
        <is>
          <t>II 32,2da</t>
        </is>
      </c>
      <c r="L509" t="inlineStr">
        <is>
          <t>II 32,2da</t>
        </is>
      </c>
      <c r="M509" t="inlineStr"/>
      <c r="N509" t="inlineStr">
        <is>
          <t xml:space="preserve">Auslegung über Sankt Augustins Regel : </t>
        </is>
      </c>
      <c r="O509" t="inlineStr">
        <is>
          <t xml:space="preserve"> : </t>
        </is>
      </c>
      <c r="P509" t="inlineStr">
        <is>
          <t>X</t>
        </is>
      </c>
      <c r="Q509" t="inlineStr"/>
      <c r="R509" t="inlineStr">
        <is>
          <t>Ledereinband, Schließen, erhabene Buchbeschläge</t>
        </is>
      </c>
      <c r="S509" t="inlineStr">
        <is>
          <t>bis 35 cm</t>
        </is>
      </c>
      <c r="T509" t="inlineStr">
        <is>
          <t>80° bis 110°, einseitig digitalisierbar?</t>
        </is>
      </c>
      <c r="U509" t="inlineStr">
        <is>
          <t>erhabene Illuminationen</t>
        </is>
      </c>
      <c r="V509" t="inlineStr">
        <is>
          <t>nicht auflegen</t>
        </is>
      </c>
      <c r="W509" t="inlineStr">
        <is>
          <t>Kassette</t>
        </is>
      </c>
      <c r="X509" t="inlineStr">
        <is>
          <t>Nein</t>
        </is>
      </c>
      <c r="Y509" t="n">
        <v>0</v>
      </c>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t>
        </is>
      </c>
      <c r="B510" t="b">
        <v>1</v>
      </c>
      <c r="C510" t="inlineStr"/>
      <c r="D510" t="inlineStr"/>
      <c r="E510" t="n">
        <v>501</v>
      </c>
      <c r="F510">
        <f>HYPERLINK("https://portal.dnb.de/opac.htm?method=simpleSearch&amp;cqlMode=true&amp;query=idn%3D106697229X", "Portal")</f>
        <v/>
      </c>
      <c r="G510" t="inlineStr">
        <is>
          <t>Aaf</t>
        </is>
      </c>
      <c r="H510" t="inlineStr">
        <is>
          <t>L-1499-315502738</t>
        </is>
      </c>
      <c r="I510" t="inlineStr">
        <is>
          <t>106697229X</t>
        </is>
      </c>
      <c r="J510" t="inlineStr">
        <is>
          <t>II 32,4a</t>
        </is>
      </c>
      <c r="K510" t="inlineStr">
        <is>
          <t>II 32,4a</t>
        </is>
      </c>
      <c r="L510" t="inlineStr">
        <is>
          <t>II 32,4a</t>
        </is>
      </c>
      <c r="M510" t="inlineStr"/>
      <c r="N510" t="inlineStr">
        <is>
          <t xml:space="preserve">Almanach nova in annos 1499-1531 : </t>
        </is>
      </c>
      <c r="O510" t="inlineStr">
        <is>
          <t xml:space="preserve"> : </t>
        </is>
      </c>
      <c r="P510" t="inlineStr">
        <is>
          <t>X</t>
        </is>
      </c>
      <c r="Q510" t="inlineStr"/>
      <c r="R510" t="inlineStr">
        <is>
          <t>Ledereinband, Schließen, erhabene Buchbeschläge</t>
        </is>
      </c>
      <c r="S510" t="inlineStr">
        <is>
          <t>bis 25 cm</t>
        </is>
      </c>
      <c r="T510" t="inlineStr">
        <is>
          <t>nur sehr geringer Öffnungswinkel</t>
        </is>
      </c>
      <c r="U510" t="inlineStr">
        <is>
          <t>hohler Rücken, welliger Buchblock, Schrift bis in den Falz</t>
        </is>
      </c>
      <c r="V510" t="inlineStr"/>
      <c r="W510" t="inlineStr">
        <is>
          <t>Kassette</t>
        </is>
      </c>
      <c r="X510" t="inlineStr">
        <is>
          <t>Nein</t>
        </is>
      </c>
      <c r="Y510" t="n">
        <v>0</v>
      </c>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t>
        </is>
      </c>
      <c r="B511" t="b">
        <v>1</v>
      </c>
      <c r="C511" t="inlineStr"/>
      <c r="D511" t="inlineStr"/>
      <c r="E511" t="n">
        <v>502</v>
      </c>
      <c r="F511">
        <f>HYPERLINK("https://portal.dnb.de/opac.htm?method=simpleSearch&amp;cqlMode=true&amp;query=idn%3D1066970742", "Portal")</f>
        <v/>
      </c>
      <c r="G511" t="inlineStr">
        <is>
          <t>Aaf</t>
        </is>
      </c>
      <c r="H511" t="inlineStr">
        <is>
          <t>L-1499-31550109X</t>
        </is>
      </c>
      <c r="I511" t="inlineStr">
        <is>
          <t>1066970742</t>
        </is>
      </c>
      <c r="J511" t="inlineStr">
        <is>
          <t>II 32,5a</t>
        </is>
      </c>
      <c r="K511" t="inlineStr">
        <is>
          <t>II 32,5a</t>
        </is>
      </c>
      <c r="L511" t="inlineStr">
        <is>
          <t>II 32,5a</t>
        </is>
      </c>
      <c r="M511" t="inlineStr"/>
      <c r="N511" t="inlineStr">
        <is>
          <t xml:space="preserve">Scribendi orandique modus : </t>
        </is>
      </c>
      <c r="O511" t="inlineStr">
        <is>
          <t xml:space="preserve"> : </t>
        </is>
      </c>
      <c r="P511" t="inlineStr">
        <is>
          <t>X</t>
        </is>
      </c>
      <c r="Q511" t="inlineStr"/>
      <c r="R511" t="inlineStr">
        <is>
          <t>Halbledereinband, Schließen, erhabene Buchbeschläge</t>
        </is>
      </c>
      <c r="S511" t="inlineStr">
        <is>
          <t>bis 25 cm</t>
        </is>
      </c>
      <c r="T511" t="inlineStr">
        <is>
          <t>180°</t>
        </is>
      </c>
      <c r="U511" t="inlineStr">
        <is>
          <t>fester Rücken mit Schmuckprägung, welliger Buchblock</t>
        </is>
      </c>
      <c r="V511" t="inlineStr"/>
      <c r="W511" t="inlineStr">
        <is>
          <t>Kassette</t>
        </is>
      </c>
      <c r="X511" t="inlineStr">
        <is>
          <t>Nein</t>
        </is>
      </c>
      <c r="Y511" t="n">
        <v>1</v>
      </c>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t>
        </is>
      </c>
      <c r="B512" t="b">
        <v>1</v>
      </c>
      <c r="C512" t="inlineStr"/>
      <c r="D512" t="inlineStr"/>
      <c r="E512" t="n">
        <v>503</v>
      </c>
      <c r="F512">
        <f>HYPERLINK("https://portal.dnb.de/opac.htm?method=simpleSearch&amp;cqlMode=true&amp;query=idn%3D1066970246", "Portal")</f>
        <v/>
      </c>
      <c r="G512" t="inlineStr">
        <is>
          <t>Aaf</t>
        </is>
      </c>
      <c r="H512" t="inlineStr">
        <is>
          <t>L-1494-315500581</t>
        </is>
      </c>
      <c r="I512" t="inlineStr">
        <is>
          <t>1066970246</t>
        </is>
      </c>
      <c r="J512" t="inlineStr">
        <is>
          <t>II 33,1a</t>
        </is>
      </c>
      <c r="K512" t="inlineStr">
        <is>
          <t>II 33,1a</t>
        </is>
      </c>
      <c r="L512" t="inlineStr">
        <is>
          <t>II 33,1a</t>
        </is>
      </c>
      <c r="M512" t="inlineStr"/>
      <c r="N512" t="inlineStr">
        <is>
          <t xml:space="preserve">Epigrammata : </t>
        </is>
      </c>
      <c r="O512" t="inlineStr">
        <is>
          <t xml:space="preserve"> : </t>
        </is>
      </c>
      <c r="P512" t="inlineStr">
        <is>
          <t>x</t>
        </is>
      </c>
      <c r="Q512" t="inlineStr"/>
      <c r="R512" t="inlineStr">
        <is>
          <t>Halbledereinband, Schließen, erhabene Buchbeschläge</t>
        </is>
      </c>
      <c r="S512" t="inlineStr">
        <is>
          <t>bis 25 cm</t>
        </is>
      </c>
      <c r="T512" t="inlineStr">
        <is>
          <t>180°</t>
        </is>
      </c>
      <c r="U512" t="inlineStr">
        <is>
          <t>hohler Rücken</t>
        </is>
      </c>
      <c r="V512" t="inlineStr"/>
      <c r="W512" t="inlineStr">
        <is>
          <t>Kassette</t>
        </is>
      </c>
      <c r="X512" t="inlineStr">
        <is>
          <t>Nein</t>
        </is>
      </c>
      <c r="Y512" t="n">
        <v>0</v>
      </c>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t>
        </is>
      </c>
      <c r="B513" t="b">
        <v>1</v>
      </c>
      <c r="C513" t="inlineStr">
        <is>
          <t>x</t>
        </is>
      </c>
      <c r="D513" t="inlineStr"/>
      <c r="E513" t="n">
        <v>504</v>
      </c>
      <c r="F513">
        <f>HYPERLINK("https://portal.dnb.de/opac.htm?method=simpleSearch&amp;cqlMode=true&amp;query=idn%3D1066965137", "Portal")</f>
        <v/>
      </c>
      <c r="G513" t="inlineStr">
        <is>
          <t>Aaf</t>
        </is>
      </c>
      <c r="H513" t="inlineStr">
        <is>
          <t>L-1484-315495278</t>
        </is>
      </c>
      <c r="I513" t="inlineStr">
        <is>
          <t>1066965137</t>
        </is>
      </c>
      <c r="J513" t="inlineStr">
        <is>
          <t>II 34,1a</t>
        </is>
      </c>
      <c r="K513" t="inlineStr">
        <is>
          <t>II 34,1a</t>
        </is>
      </c>
      <c r="L513" t="inlineStr">
        <is>
          <t>II 34,1a</t>
        </is>
      </c>
      <c r="M513" t="inlineStr"/>
      <c r="N513" t="inlineStr">
        <is>
          <t xml:space="preserve">Summa de eucharistiae sacramento : </t>
        </is>
      </c>
      <c r="O513" t="inlineStr">
        <is>
          <t xml:space="preserve"> : </t>
        </is>
      </c>
      <c r="P513" t="inlineStr">
        <is>
          <t>X</t>
        </is>
      </c>
      <c r="Q513" t="inlineStr">
        <is>
          <t>2000,00 EUR</t>
        </is>
      </c>
      <c r="R513" t="inlineStr">
        <is>
          <t>Halbledereinband, Schließen, erhabene Buchbeschläge</t>
        </is>
      </c>
      <c r="S513" t="inlineStr">
        <is>
          <t>bis 35 cm</t>
        </is>
      </c>
      <c r="T513" t="inlineStr">
        <is>
          <t>180°</t>
        </is>
      </c>
      <c r="U513" t="inlineStr">
        <is>
          <t>hohler Rücken, welliger Buchblock, stark brüchiges Einbandmaterial</t>
        </is>
      </c>
      <c r="V513" t="inlineStr"/>
      <c r="W513" t="inlineStr">
        <is>
          <t>Kassette</t>
        </is>
      </c>
      <c r="X513" t="inlineStr">
        <is>
          <t>Nein</t>
        </is>
      </c>
      <c r="Y513" t="n">
        <v>3</v>
      </c>
      <c r="Z513" t="inlineStr"/>
      <c r="AA513" t="inlineStr"/>
      <c r="AB513" t="inlineStr"/>
      <c r="AC513" t="inlineStr"/>
      <c r="AD513" t="inlineStr"/>
      <c r="AE513" t="inlineStr"/>
      <c r="AF513" t="inlineStr"/>
      <c r="AG513" t="inlineStr"/>
      <c r="AH513" t="inlineStr"/>
      <c r="AI513" t="inlineStr">
        <is>
          <t>HL</t>
        </is>
      </c>
      <c r="AJ513" t="inlineStr"/>
      <c r="AK513" t="inlineStr">
        <is>
          <t>x</t>
        </is>
      </c>
      <c r="AL513" t="inlineStr"/>
      <c r="AM513" t="inlineStr">
        <is>
          <t>h/E</t>
        </is>
      </c>
      <c r="AN513" t="inlineStr"/>
      <c r="AO513" t="inlineStr"/>
      <c r="AP513" t="inlineStr"/>
      <c r="AQ513" t="inlineStr"/>
      <c r="AR513" t="inlineStr"/>
      <c r="AS513" t="inlineStr">
        <is>
          <t>Pa</t>
        </is>
      </c>
      <c r="AT513" t="inlineStr"/>
      <c r="AU513" t="inlineStr"/>
      <c r="AV513" t="inlineStr"/>
      <c r="AW513" t="inlineStr"/>
      <c r="AX513" t="inlineStr"/>
      <c r="AY513" t="inlineStr"/>
      <c r="AZ513" t="inlineStr"/>
      <c r="BA513" t="inlineStr"/>
      <c r="BB513" t="inlineStr"/>
      <c r="BC513" t="inlineStr"/>
      <c r="BD513" t="inlineStr"/>
      <c r="BE513" t="inlineStr"/>
      <c r="BF513" t="inlineStr"/>
      <c r="BG513" t="n">
        <v>60</v>
      </c>
      <c r="BH513" t="inlineStr"/>
      <c r="BI513" t="inlineStr"/>
      <c r="BJ513" t="inlineStr"/>
      <c r="BK513" t="inlineStr"/>
      <c r="BL513" t="inlineStr"/>
      <c r="BM513" t="inlineStr">
        <is>
          <t>ja vor</t>
        </is>
      </c>
      <c r="BN513" t="n">
        <v>1</v>
      </c>
      <c r="BO513" t="inlineStr"/>
      <c r="BP513" t="inlineStr">
        <is>
          <t>Wellpappe</t>
        </is>
      </c>
      <c r="BQ513" t="inlineStr"/>
      <c r="BR513" t="inlineStr"/>
      <c r="BS513" t="inlineStr"/>
      <c r="BT513" t="inlineStr"/>
      <c r="BU513" t="inlineStr"/>
      <c r="BV513" t="inlineStr"/>
      <c r="BW513" t="inlineStr"/>
      <c r="BX513" t="inlineStr"/>
      <c r="BY513" t="inlineStr"/>
      <c r="BZ513" t="inlineStr">
        <is>
          <t>x Minieingriff</t>
        </is>
      </c>
      <c r="CA513" t="inlineStr">
        <is>
          <t>x</t>
        </is>
      </c>
      <c r="CB513" t="inlineStr">
        <is>
          <t>x</t>
        </is>
      </c>
      <c r="CC513" t="inlineStr"/>
      <c r="CD513" t="inlineStr">
        <is>
          <t>v/h</t>
        </is>
      </c>
      <c r="CE513" t="inlineStr"/>
      <c r="CF513" t="inlineStr">
        <is>
          <t>x</t>
        </is>
      </c>
      <c r="CG513" t="inlineStr"/>
      <c r="CH513" t="inlineStr"/>
      <c r="CI513" t="inlineStr"/>
      <c r="CJ513" t="inlineStr"/>
      <c r="CK513" t="inlineStr"/>
      <c r="CL513" t="inlineStr"/>
      <c r="CM513" t="n">
        <v>1</v>
      </c>
      <c r="CN513" t="inlineStr">
        <is>
          <t>Hülse, Gelenke belassen, Rücken am Fuß mit JP sichern</t>
        </is>
      </c>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t>
        </is>
      </c>
      <c r="B514" t="b">
        <v>1</v>
      </c>
      <c r="C514" t="inlineStr"/>
      <c r="D514" t="inlineStr"/>
      <c r="E514" t="n">
        <v>505</v>
      </c>
      <c r="F514">
        <f>HYPERLINK("https://portal.dnb.de/opac.htm?method=simpleSearch&amp;cqlMode=true&amp;query=idn%3D1067439234", "Portal")</f>
        <v/>
      </c>
      <c r="G514" t="inlineStr">
        <is>
          <t>Aal</t>
        </is>
      </c>
      <c r="H514" t="inlineStr">
        <is>
          <t>L-1479-316402591</t>
        </is>
      </c>
      <c r="I514" t="inlineStr">
        <is>
          <t>1067439234</t>
        </is>
      </c>
      <c r="J514" t="inlineStr">
        <is>
          <t>II 35,1a - Fragm.</t>
        </is>
      </c>
      <c r="K514" t="inlineStr">
        <is>
          <t>II 35,1a - Fragm.</t>
        </is>
      </c>
      <c r="L514" t="inlineStr">
        <is>
          <t>II 35,1a - Fragm.</t>
        </is>
      </c>
      <c r="M514" t="inlineStr"/>
      <c r="N514" t="inlineStr">
        <is>
          <t xml:space="preserve">Breviarium Herbipolense : </t>
        </is>
      </c>
      <c r="O514" t="inlineStr">
        <is>
          <t xml:space="preserve"> : </t>
        </is>
      </c>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t>
        </is>
      </c>
      <c r="B515" t="b">
        <v>1</v>
      </c>
      <c r="C515" t="inlineStr"/>
      <c r="D515" t="inlineStr"/>
      <c r="E515" t="n">
        <v>506</v>
      </c>
      <c r="F515">
        <f>HYPERLINK("https://portal.dnb.de/opac.htm?method=simpleSearch&amp;cqlMode=true&amp;query=idn%3D1067439250", "Portal")</f>
        <v/>
      </c>
      <c r="G515" t="inlineStr">
        <is>
          <t>Aal</t>
        </is>
      </c>
      <c r="H515" t="inlineStr">
        <is>
          <t>L-1499-316402605</t>
        </is>
      </c>
      <c r="I515" t="inlineStr">
        <is>
          <t>1067439250</t>
        </is>
      </c>
      <c r="J515" t="inlineStr">
        <is>
          <t>II 35,2a - Fragm.</t>
        </is>
      </c>
      <c r="K515" t="inlineStr">
        <is>
          <t>II 35,2a - Fragm.</t>
        </is>
      </c>
      <c r="L515" t="inlineStr">
        <is>
          <t>II 35,2a - Fragm.</t>
        </is>
      </c>
      <c r="M515" t="inlineStr"/>
      <c r="N515" t="inlineStr">
        <is>
          <t xml:space="preserve">Missale Herbipolense : </t>
        </is>
      </c>
      <c r="O515" t="inlineStr">
        <is>
          <t xml:space="preserve"> : </t>
        </is>
      </c>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t>
        </is>
      </c>
      <c r="B516" t="b">
        <v>1</v>
      </c>
      <c r="C516" t="inlineStr"/>
      <c r="D516" t="inlineStr"/>
      <c r="E516" t="n">
        <v>507</v>
      </c>
      <c r="F516">
        <f>HYPERLINK("https://portal.dnb.de/opac.htm?method=simpleSearch&amp;cqlMode=true&amp;query=idn%3D1066965277", "Portal")</f>
        <v/>
      </c>
      <c r="G516" t="inlineStr">
        <is>
          <t>Aaf</t>
        </is>
      </c>
      <c r="H516" t="inlineStr">
        <is>
          <t>L-1474-315495456</t>
        </is>
      </c>
      <c r="I516" t="inlineStr">
        <is>
          <t>1066965277</t>
        </is>
      </c>
      <c r="J516" t="inlineStr">
        <is>
          <t>II 36,1a</t>
        </is>
      </c>
      <c r="K516" t="inlineStr">
        <is>
          <t>II 36,1a</t>
        </is>
      </c>
      <c r="L516" t="inlineStr">
        <is>
          <t>II 36,1a</t>
        </is>
      </c>
      <c r="M516" t="inlineStr"/>
      <c r="N516" t="inlineStr">
        <is>
          <t xml:space="preserve">Modus confitendi : </t>
        </is>
      </c>
      <c r="O516" t="inlineStr">
        <is>
          <t xml:space="preserve"> : </t>
        </is>
      </c>
      <c r="P516" t="inlineStr">
        <is>
          <t>x</t>
        </is>
      </c>
      <c r="Q516" t="inlineStr"/>
      <c r="R516" t="inlineStr">
        <is>
          <t>Halbledereinband</t>
        </is>
      </c>
      <c r="S516" t="inlineStr">
        <is>
          <t>bis 25 cm</t>
        </is>
      </c>
      <c r="T516" t="inlineStr">
        <is>
          <t>180°</t>
        </is>
      </c>
      <c r="U516" t="inlineStr">
        <is>
          <t>hohler Rücken</t>
        </is>
      </c>
      <c r="V516" t="inlineStr"/>
      <c r="W516" t="inlineStr">
        <is>
          <t>Kassette</t>
        </is>
      </c>
      <c r="X516" t="inlineStr">
        <is>
          <t>Nein</t>
        </is>
      </c>
      <c r="Y516" t="n">
        <v>0</v>
      </c>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t>
        </is>
      </c>
      <c r="B517" t="b">
        <v>1</v>
      </c>
      <c r="C517" t="inlineStr"/>
      <c r="D517" t="inlineStr"/>
      <c r="E517" t="inlineStr"/>
      <c r="F517">
        <f>HYPERLINK("https://portal.dnb.de/opac.htm?method=simpleSearch&amp;cqlMode=true&amp;query=idn%3D1072321602", "Portal")</f>
        <v/>
      </c>
      <c r="G517" t="inlineStr">
        <is>
          <t>Aa</t>
        </is>
      </c>
      <c r="H517" t="inlineStr">
        <is>
          <t>L-1505-327280808</t>
        </is>
      </c>
      <c r="I517" t="inlineStr">
        <is>
          <t>1072321602</t>
        </is>
      </c>
      <c r="J517" t="inlineStr">
        <is>
          <t>II 36,1b</t>
        </is>
      </c>
      <c r="K517" t="inlineStr">
        <is>
          <t>II 36,1b</t>
        </is>
      </c>
      <c r="L517" t="inlineStr">
        <is>
          <t>II 36,1b</t>
        </is>
      </c>
      <c r="M517" t="inlineStr"/>
      <c r="N517" t="inlineStr">
        <is>
          <t xml:space="preserve">Modus confitendi et poenitendi (Poeniteas cito) : </t>
        </is>
      </c>
      <c r="O517" t="inlineStr">
        <is>
          <t xml:space="preserve"> : </t>
        </is>
      </c>
      <c r="P517" t="inlineStr">
        <is>
          <t>x</t>
        </is>
      </c>
      <c r="Q517" t="inlineStr"/>
      <c r="R517" t="inlineStr">
        <is>
          <t>Ledereinband</t>
        </is>
      </c>
      <c r="S517" t="inlineStr">
        <is>
          <t>bis 25 cm</t>
        </is>
      </c>
      <c r="T517" t="inlineStr">
        <is>
          <t>180°</t>
        </is>
      </c>
      <c r="U517" t="inlineStr">
        <is>
          <t>hohler Rücken</t>
        </is>
      </c>
      <c r="V517" t="inlineStr"/>
      <c r="W517" t="inlineStr">
        <is>
          <t>Kassette</t>
        </is>
      </c>
      <c r="X517" t="inlineStr">
        <is>
          <t>Nein</t>
        </is>
      </c>
      <c r="Y517" t="n">
        <v>0</v>
      </c>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t>
        </is>
      </c>
      <c r="B518" t="b">
        <v>1</v>
      </c>
      <c r="C518" t="inlineStr"/>
      <c r="D518" t="inlineStr"/>
      <c r="E518" t="n">
        <v>508</v>
      </c>
      <c r="F518">
        <f>HYPERLINK("https://portal.dnb.de/opac.htm?method=simpleSearch&amp;cqlMode=true&amp;query=idn%3D1200511840", "Portal")</f>
        <v/>
      </c>
      <c r="G518" t="inlineStr">
        <is>
          <t>Aa</t>
        </is>
      </c>
      <c r="H518" t="inlineStr">
        <is>
          <t>L-2019-323537</t>
        </is>
      </c>
      <c r="I518" t="inlineStr">
        <is>
          <t>1200511840</t>
        </is>
      </c>
      <c r="J518" t="inlineStr">
        <is>
          <t>II 37, 1a</t>
        </is>
      </c>
      <c r="K518" t="inlineStr">
        <is>
          <t>II 37, 1a</t>
        </is>
      </c>
      <c r="L518" t="inlineStr">
        <is>
          <t>II 37,1a</t>
        </is>
      </c>
      <c r="M518" t="inlineStr"/>
      <c r="N518" t="inlineStr">
        <is>
          <t xml:space="preserve">Rechnung auf alle Kaufmannschaft : </t>
        </is>
      </c>
      <c r="O518" t="inlineStr">
        <is>
          <t xml:space="preserve"> : </t>
        </is>
      </c>
      <c r="P518" t="inlineStr"/>
      <c r="Q518" t="inlineStr">
        <is>
          <t>7248,74 EUR</t>
        </is>
      </c>
      <c r="R518" t="inlineStr">
        <is>
          <t>Ledereinband, Schließen, erhabene Buchbeschläge</t>
        </is>
      </c>
      <c r="S518" t="inlineStr">
        <is>
          <t>bis 25 cm</t>
        </is>
      </c>
      <c r="T518" t="inlineStr">
        <is>
          <t>80° bis 110°, einseitig digitalisierbar?</t>
        </is>
      </c>
      <c r="U518" t="inlineStr">
        <is>
          <t>welliger Buchblock</t>
        </is>
      </c>
      <c r="V518" t="inlineStr"/>
      <c r="W518" t="inlineStr">
        <is>
          <t>Kassette</t>
        </is>
      </c>
      <c r="X518" t="inlineStr">
        <is>
          <t>Nein</t>
        </is>
      </c>
      <c r="Y518" t="n">
        <v>2</v>
      </c>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t>
        </is>
      </c>
      <c r="B519" t="b">
        <v>1</v>
      </c>
      <c r="C519" t="inlineStr"/>
      <c r="D519" t="inlineStr"/>
      <c r="E519" t="n">
        <v>509</v>
      </c>
      <c r="F519">
        <f>HYPERLINK("https://portal.dnb.de/opac.htm?method=simpleSearch&amp;cqlMode=true&amp;query=idn%3D1072321904", "Portal")</f>
        <v/>
      </c>
      <c r="G519" t="inlineStr">
        <is>
          <t>Aa</t>
        </is>
      </c>
      <c r="H519" t="inlineStr">
        <is>
          <t>L-1472-327281049</t>
        </is>
      </c>
      <c r="I519" t="inlineStr">
        <is>
          <t>1072321904</t>
        </is>
      </c>
      <c r="J519" t="inlineStr">
        <is>
          <t>II 43,1a</t>
        </is>
      </c>
      <c r="K519" t="inlineStr">
        <is>
          <t>II 43,1a</t>
        </is>
      </c>
      <c r="L519" t="inlineStr">
        <is>
          <t>II 43,1a</t>
        </is>
      </c>
      <c r="M519" t="inlineStr"/>
      <c r="N519" t="inlineStr">
        <is>
          <t xml:space="preserve">Confessionale [etc.] : </t>
        </is>
      </c>
      <c r="O519" t="inlineStr">
        <is>
          <t xml:space="preserve"> : </t>
        </is>
      </c>
      <c r="P519" t="inlineStr">
        <is>
          <t>x</t>
        </is>
      </c>
      <c r="Q519" t="inlineStr"/>
      <c r="R519" t="inlineStr">
        <is>
          <t>Halbgewebeband</t>
        </is>
      </c>
      <c r="S519" t="inlineStr">
        <is>
          <t>bis 25 cm</t>
        </is>
      </c>
      <c r="T519" t="inlineStr">
        <is>
          <t>nur sehr geringer Öffnungswinkel</t>
        </is>
      </c>
      <c r="U519" t="inlineStr">
        <is>
          <t>hohler Rücken, erhabene Illuminationen, welliger Buchblock</t>
        </is>
      </c>
      <c r="V519" t="inlineStr">
        <is>
          <t>nicht auflegen</t>
        </is>
      </c>
      <c r="W519" t="inlineStr">
        <is>
          <t>Kassette</t>
        </is>
      </c>
      <c r="X519" t="inlineStr">
        <is>
          <t>Nein</t>
        </is>
      </c>
      <c r="Y519" t="n">
        <v>1</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t>
        </is>
      </c>
      <c r="B520" t="b">
        <v>1</v>
      </c>
      <c r="C520" t="inlineStr"/>
      <c r="D520" t="inlineStr"/>
      <c r="E520" t="n">
        <v>510</v>
      </c>
      <c r="F520">
        <f>HYPERLINK("https://portal.dnb.de/opac.htm?method=simpleSearch&amp;cqlMode=true&amp;query=idn%3D1066966877", "Portal")</f>
        <v/>
      </c>
      <c r="G520" t="inlineStr">
        <is>
          <t>Aaf</t>
        </is>
      </c>
      <c r="H520" t="inlineStr">
        <is>
          <t>L-1486-315497173</t>
        </is>
      </c>
      <c r="I520" t="inlineStr">
        <is>
          <t>1066966877</t>
        </is>
      </c>
      <c r="J520" t="inlineStr">
        <is>
          <t>II 43,2a</t>
        </is>
      </c>
      <c r="K520" t="inlineStr">
        <is>
          <t>II 43,2a</t>
        </is>
      </c>
      <c r="L520" t="inlineStr">
        <is>
          <t>II 43,2a</t>
        </is>
      </c>
      <c r="M520" t="inlineStr"/>
      <c r="N520" t="inlineStr">
        <is>
          <t xml:space="preserve">Collectio florum Decretorum : </t>
        </is>
      </c>
      <c r="O520" t="inlineStr">
        <is>
          <t xml:space="preserve"> : </t>
        </is>
      </c>
      <c r="P520" t="inlineStr">
        <is>
          <t>X</t>
        </is>
      </c>
      <c r="Q520" t="inlineStr"/>
      <c r="R520" t="inlineStr">
        <is>
          <t>Ledereinband, Schließen, erhabene Buchbeschläge</t>
        </is>
      </c>
      <c r="S520" t="inlineStr">
        <is>
          <t>bis 35 cm</t>
        </is>
      </c>
      <c r="T520" t="inlineStr">
        <is>
          <t>80° bis 110°, einseitig digitalisierbar?</t>
        </is>
      </c>
      <c r="U520" t="inlineStr">
        <is>
          <t>fester Rücken mit Schmuckprägung, welliger Buchblock, erhabene Illuminationen</t>
        </is>
      </c>
      <c r="V520" t="inlineStr">
        <is>
          <t>nicht auflegen</t>
        </is>
      </c>
      <c r="W520" t="inlineStr">
        <is>
          <t>Kassette</t>
        </is>
      </c>
      <c r="X520" t="inlineStr">
        <is>
          <t>Nein</t>
        </is>
      </c>
      <c r="Y520" t="n">
        <v>2</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t>
        </is>
      </c>
      <c r="B521" t="b">
        <v>1</v>
      </c>
      <c r="C521" t="inlineStr"/>
      <c r="D521" t="inlineStr"/>
      <c r="E521" t="n">
        <v>511</v>
      </c>
      <c r="F521">
        <f>HYPERLINK("https://portal.dnb.de/opac.htm?method=simpleSearch&amp;cqlMode=true&amp;query=idn%3D1066965196", "Portal")</f>
        <v/>
      </c>
      <c r="G521" t="inlineStr">
        <is>
          <t>Aaf</t>
        </is>
      </c>
      <c r="H521" t="inlineStr">
        <is>
          <t>L-1496-315495340</t>
        </is>
      </c>
      <c r="I521" t="inlineStr">
        <is>
          <t>1066965196</t>
        </is>
      </c>
      <c r="J521" t="inlineStr">
        <is>
          <t>II 43,2b</t>
        </is>
      </c>
      <c r="K521" t="inlineStr">
        <is>
          <t>II 43,2b</t>
        </is>
      </c>
      <c r="L521" t="inlineStr">
        <is>
          <t>II 43,2b</t>
        </is>
      </c>
      <c r="M521" t="inlineStr"/>
      <c r="N521" t="inlineStr">
        <is>
          <t xml:space="preserve">Epistola ad Rabbi Isaac seu rationes ad reprobandos Iudaeorum errores : </t>
        </is>
      </c>
      <c r="O521" t="inlineStr">
        <is>
          <t xml:space="preserve"> : </t>
        </is>
      </c>
      <c r="P521" t="inlineStr">
        <is>
          <t>X</t>
        </is>
      </c>
      <c r="Q521" t="inlineStr"/>
      <c r="R521" t="inlineStr">
        <is>
          <t>Halbledereinband, Schließen, erhabene Buchbeschläge</t>
        </is>
      </c>
      <c r="S521" t="inlineStr">
        <is>
          <t>bis 25 cm</t>
        </is>
      </c>
      <c r="T521" t="inlineStr">
        <is>
          <t>80° bis 110°, einseitig digitalisierbar?</t>
        </is>
      </c>
      <c r="U521" t="inlineStr">
        <is>
          <t>fester Rücken mit Schmuckprägung, erhabene Illuminationen, stark brüchiges Einbandmaterial</t>
        </is>
      </c>
      <c r="V521" t="inlineStr">
        <is>
          <t>nicht auflegen</t>
        </is>
      </c>
      <c r="W521" t="inlineStr">
        <is>
          <t>Kassette</t>
        </is>
      </c>
      <c r="X521" t="inlineStr">
        <is>
          <t>Nein</t>
        </is>
      </c>
      <c r="Y521" t="n">
        <v>2</v>
      </c>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n">
        <v>0</v>
      </c>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t>
        </is>
      </c>
      <c r="B522" t="b">
        <v>1</v>
      </c>
      <c r="C522" t="inlineStr"/>
      <c r="D522" t="inlineStr"/>
      <c r="E522" t="n">
        <v>512</v>
      </c>
      <c r="F522">
        <f>HYPERLINK("https://portal.dnb.de/opac.htm?method=simpleSearch&amp;cqlMode=true&amp;query=idn%3D1067439293", "Portal")</f>
        <v/>
      </c>
      <c r="G522" t="inlineStr">
        <is>
          <t>Aal</t>
        </is>
      </c>
      <c r="H522" t="inlineStr">
        <is>
          <t>L-1482-31640263X</t>
        </is>
      </c>
      <c r="I522" t="inlineStr">
        <is>
          <t>1067439293</t>
        </is>
      </c>
      <c r="J522" t="inlineStr">
        <is>
          <t>II 43,3ab - Fragm.</t>
        </is>
      </c>
      <c r="K522" t="inlineStr">
        <is>
          <t>II 43,3ab - Fragm.</t>
        </is>
      </c>
      <c r="L522" t="inlineStr">
        <is>
          <t>II 43,3ab - Fragm.</t>
        </is>
      </c>
      <c r="M522" t="inlineStr"/>
      <c r="N522" t="inlineStr">
        <is>
          <t xml:space="preserve">Pentateuchus : </t>
        </is>
      </c>
      <c r="O522" t="inlineStr">
        <is>
          <t xml:space="preserve"> : </t>
        </is>
      </c>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t>
        </is>
      </c>
      <c r="B523" t="b">
        <v>1</v>
      </c>
      <c r="C523" t="inlineStr"/>
      <c r="D523" t="inlineStr"/>
      <c r="E523" t="n">
        <v>513</v>
      </c>
      <c r="F523">
        <f>HYPERLINK("https://portal.dnb.de/opac.htm?method=simpleSearch&amp;cqlMode=true&amp;query=idn%3D1066966362", "Portal")</f>
        <v/>
      </c>
      <c r="G523" t="inlineStr">
        <is>
          <t>Aaf</t>
        </is>
      </c>
      <c r="H523" t="inlineStr">
        <is>
          <t>L-1495-315496649</t>
        </is>
      </c>
      <c r="I523" t="inlineStr">
        <is>
          <t>1066966362</t>
        </is>
      </c>
      <c r="J523" t="inlineStr">
        <is>
          <t>II 43,5a</t>
        </is>
      </c>
      <c r="K523" t="inlineStr">
        <is>
          <t>II 43,5a</t>
        </is>
      </c>
      <c r="L523" t="inlineStr">
        <is>
          <t>II 43,5a</t>
        </is>
      </c>
      <c r="M523" t="inlineStr"/>
      <c r="N523" t="inlineStr">
        <is>
          <t xml:space="preserve">De felicitate : </t>
        </is>
      </c>
      <c r="O523" t="inlineStr">
        <is>
          <t xml:space="preserve"> : </t>
        </is>
      </c>
      <c r="P523" t="inlineStr">
        <is>
          <t>x</t>
        </is>
      </c>
      <c r="Q523" t="inlineStr"/>
      <c r="R523" t="inlineStr">
        <is>
          <t>Gewebeeinband, Schließen, erhabene Buchbeschläge</t>
        </is>
      </c>
      <c r="S523" t="inlineStr">
        <is>
          <t>bis 25 cm</t>
        </is>
      </c>
      <c r="T523" t="inlineStr">
        <is>
          <t>nur sehr geringer Öffnungswinkel</t>
        </is>
      </c>
      <c r="U523" t="inlineStr">
        <is>
          <t>hohler Rücken</t>
        </is>
      </c>
      <c r="V523" t="inlineStr"/>
      <c r="W523" t="inlineStr">
        <is>
          <t>Kassette</t>
        </is>
      </c>
      <c r="X523" t="inlineStr">
        <is>
          <t>Nein</t>
        </is>
      </c>
      <c r="Y523" t="n">
        <v>0</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t>
        </is>
      </c>
      <c r="B524" t="b">
        <v>1</v>
      </c>
      <c r="C524" t="inlineStr"/>
      <c r="D524" t="inlineStr"/>
      <c r="E524" t="n">
        <v>514</v>
      </c>
      <c r="F524">
        <f>HYPERLINK("https://portal.dnb.de/opac.htm?method=simpleSearch&amp;cqlMode=true&amp;query=idn%3D1066966346", "Portal")</f>
        <v/>
      </c>
      <c r="G524" t="inlineStr">
        <is>
          <t>Aaf</t>
        </is>
      </c>
      <c r="H524" t="inlineStr">
        <is>
          <t>L-1498-315496622</t>
        </is>
      </c>
      <c r="I524" t="inlineStr">
        <is>
          <t>1066966346</t>
        </is>
      </c>
      <c r="J524" t="inlineStr">
        <is>
          <t>II 43,6a</t>
        </is>
      </c>
      <c r="K524" t="inlineStr">
        <is>
          <t>II 43,6a</t>
        </is>
      </c>
      <c r="L524" t="inlineStr">
        <is>
          <t>II 43,6a</t>
        </is>
      </c>
      <c r="M524" t="inlineStr"/>
      <c r="N524" t="inlineStr">
        <is>
          <t xml:space="preserve">Heptalogos : </t>
        </is>
      </c>
      <c r="O524" t="inlineStr">
        <is>
          <t xml:space="preserve"> : </t>
        </is>
      </c>
      <c r="P524" t="inlineStr">
        <is>
          <t>X</t>
        </is>
      </c>
      <c r="Q524" t="inlineStr"/>
      <c r="R524" t="inlineStr">
        <is>
          <t>Halbledereinband, Schließen, erhabene Buchbeschläge</t>
        </is>
      </c>
      <c r="S524" t="inlineStr">
        <is>
          <t>bis 25 cm</t>
        </is>
      </c>
      <c r="T524" t="inlineStr">
        <is>
          <t>80° bis 110°, einseitig digitalisierbar?</t>
        </is>
      </c>
      <c r="U524" t="inlineStr">
        <is>
          <t>hohler Rücken, Schrift bis in den Falz, stark brüchiges Einbandmaterial</t>
        </is>
      </c>
      <c r="V524" t="inlineStr"/>
      <c r="W524" t="inlineStr">
        <is>
          <t>Kassette</t>
        </is>
      </c>
      <c r="X524" t="inlineStr">
        <is>
          <t>Nein</t>
        </is>
      </c>
      <c r="Y524" t="n">
        <v>3</v>
      </c>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t>
        </is>
      </c>
      <c r="B525" t="b">
        <v>1</v>
      </c>
      <c r="C525" t="inlineStr"/>
      <c r="D525" t="inlineStr"/>
      <c r="E525" t="n">
        <v>515</v>
      </c>
      <c r="F525">
        <f>HYPERLINK("https://portal.dnb.de/opac.htm?method=simpleSearch&amp;cqlMode=true&amp;query=idn%3D1066968349", "Portal")</f>
        <v/>
      </c>
      <c r="G525" t="inlineStr">
        <is>
          <t>Aa</t>
        </is>
      </c>
      <c r="H525" t="inlineStr">
        <is>
          <t>L-1485-315498595</t>
        </is>
      </c>
      <c r="I525" t="inlineStr">
        <is>
          <t>1066968349</t>
        </is>
      </c>
      <c r="J525" t="inlineStr">
        <is>
          <t>II 44,1a</t>
        </is>
      </c>
      <c r="K525" t="inlineStr">
        <is>
          <t>II 44,1a</t>
        </is>
      </c>
      <c r="L525" t="inlineStr">
        <is>
          <t>II 44,1a</t>
        </is>
      </c>
      <c r="M525" t="inlineStr"/>
      <c r="N525" t="inlineStr">
        <is>
          <t xml:space="preserve">Noctes Atticae : </t>
        </is>
      </c>
      <c r="O525" t="inlineStr">
        <is>
          <t xml:space="preserve"> : </t>
        </is>
      </c>
      <c r="P525" t="inlineStr">
        <is>
          <t>x</t>
        </is>
      </c>
      <c r="Q525" t="inlineStr"/>
      <c r="R525" t="inlineStr">
        <is>
          <t>Ledereinband, Schließen, erhabene Buchbeschläge</t>
        </is>
      </c>
      <c r="S525" t="inlineStr">
        <is>
          <t>bis 35 cm</t>
        </is>
      </c>
      <c r="T525" t="inlineStr">
        <is>
          <t>80° bis 110°, einseitig digitalisierbar?</t>
        </is>
      </c>
      <c r="U525" t="inlineStr">
        <is>
          <t>hohler Rücken, Schrift bis in den Falz, erhabene Illuminationen</t>
        </is>
      </c>
      <c r="V525" t="inlineStr">
        <is>
          <t>nicht auflegen</t>
        </is>
      </c>
      <c r="W525" t="inlineStr">
        <is>
          <t>Kassette</t>
        </is>
      </c>
      <c r="X525" t="inlineStr">
        <is>
          <t>Nein</t>
        </is>
      </c>
      <c r="Y525" t="n">
        <v>0</v>
      </c>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n">
        <v>0</v>
      </c>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t>
        </is>
      </c>
      <c r="B526" t="b">
        <v>1</v>
      </c>
      <c r="C526" t="inlineStr"/>
      <c r="D526" t="inlineStr"/>
      <c r="E526" t="n">
        <v>516</v>
      </c>
      <c r="F526">
        <f>HYPERLINK("https://portal.dnb.de/opac.htm?method=simpleSearch&amp;cqlMode=true&amp;query=idn%3D1066965897", "Portal")</f>
        <v/>
      </c>
      <c r="G526" t="inlineStr">
        <is>
          <t>Aaf</t>
        </is>
      </c>
      <c r="H526" t="inlineStr">
        <is>
          <t>L-1486-315496177</t>
        </is>
      </c>
      <c r="I526" t="inlineStr">
        <is>
          <t>1066965897</t>
        </is>
      </c>
      <c r="J526" t="inlineStr">
        <is>
          <t>II 44,2a</t>
        </is>
      </c>
      <c r="K526" t="inlineStr">
        <is>
          <t>II 44,2a</t>
        </is>
      </c>
      <c r="L526" t="inlineStr">
        <is>
          <t>II 44,2a</t>
        </is>
      </c>
      <c r="M526" t="inlineStr"/>
      <c r="N526" t="inlineStr">
        <is>
          <t xml:space="preserve">Sermones ad fratres in eremo : </t>
        </is>
      </c>
      <c r="O526" t="inlineStr">
        <is>
          <t xml:space="preserve"> : </t>
        </is>
      </c>
      <c r="P526" t="inlineStr"/>
      <c r="Q526" t="inlineStr"/>
      <c r="R526" t="inlineStr">
        <is>
          <t>Ledereinband</t>
        </is>
      </c>
      <c r="S526" t="inlineStr">
        <is>
          <t>bis 25 cm</t>
        </is>
      </c>
      <c r="T526" t="inlineStr">
        <is>
          <t>80° bis 110°, einseitig digitalisierbar?</t>
        </is>
      </c>
      <c r="U526" t="inlineStr">
        <is>
          <t>hohler Rücken</t>
        </is>
      </c>
      <c r="V526" t="inlineStr"/>
      <c r="W526" t="inlineStr">
        <is>
          <t>Kassette</t>
        </is>
      </c>
      <c r="X526" t="inlineStr">
        <is>
          <t>Nein</t>
        </is>
      </c>
      <c r="Y526" t="n">
        <v>0</v>
      </c>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n">
        <v>0</v>
      </c>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t>
        </is>
      </c>
      <c r="B527" t="b">
        <v>1</v>
      </c>
      <c r="C527" t="inlineStr"/>
      <c r="D527" t="inlineStr"/>
      <c r="E527" t="n">
        <v>517</v>
      </c>
      <c r="F527">
        <f>HYPERLINK("https://portal.dnb.de/opac.htm?method=simpleSearch&amp;cqlMode=true&amp;query=idn%3D1072322234", "Portal")</f>
        <v/>
      </c>
      <c r="G527" t="inlineStr">
        <is>
          <t>Aa</t>
        </is>
      </c>
      <c r="H527" t="inlineStr">
        <is>
          <t>L-1499-327281251</t>
        </is>
      </c>
      <c r="I527" t="inlineStr">
        <is>
          <t>1072322234</t>
        </is>
      </c>
      <c r="J527" t="inlineStr">
        <is>
          <t>II 44,2b</t>
        </is>
      </c>
      <c r="K527" t="inlineStr">
        <is>
          <t>II 44,2b</t>
        </is>
      </c>
      <c r="L527" t="inlineStr">
        <is>
          <t>II 44,2b</t>
        </is>
      </c>
      <c r="M527" t="inlineStr"/>
      <c r="N527" t="inlineStr">
        <is>
          <t xml:space="preserve">Vitae illustrium virorum : </t>
        </is>
      </c>
      <c r="O527" t="inlineStr">
        <is>
          <t xml:space="preserve"> : </t>
        </is>
      </c>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t>
        </is>
      </c>
      <c r="B528" t="b">
        <v>1</v>
      </c>
      <c r="C528" t="inlineStr"/>
      <c r="D528" t="inlineStr"/>
      <c r="E528" t="n">
        <v>518</v>
      </c>
      <c r="F528">
        <f>HYPERLINK("https://portal.dnb.de/opac.htm?method=simpleSearch&amp;cqlMode=true&amp;query=idn%3D1066963800", "Portal")</f>
        <v/>
      </c>
      <c r="G528" t="inlineStr">
        <is>
          <t>Aaf</t>
        </is>
      </c>
      <c r="H528" t="inlineStr">
        <is>
          <t>L-1490-315494018</t>
        </is>
      </c>
      <c r="I528" t="inlineStr">
        <is>
          <t>1066963800</t>
        </is>
      </c>
      <c r="J528" t="inlineStr">
        <is>
          <t>II 44,3a</t>
        </is>
      </c>
      <c r="K528" t="inlineStr">
        <is>
          <t>II 44,3a</t>
        </is>
      </c>
      <c r="L528" t="inlineStr">
        <is>
          <t>II 44,3a</t>
        </is>
      </c>
      <c r="M528" t="inlineStr"/>
      <c r="N528" t="inlineStr">
        <is>
          <t xml:space="preserve">Philosophia pauperum sive Isagoge in libros Aristotelis physicorum, de caelo et mundo, de generatione et corruptione, meteororum et de anima [Version </t>
        </is>
      </c>
      <c r="O528" t="inlineStr">
        <is>
          <t xml:space="preserve"> : </t>
        </is>
      </c>
      <c r="P528" t="inlineStr">
        <is>
          <t>x</t>
        </is>
      </c>
      <c r="Q528" t="inlineStr"/>
      <c r="R528" t="inlineStr">
        <is>
          <t>Halbledereinband, Schließen, erhabene Buchbeschläge</t>
        </is>
      </c>
      <c r="S528" t="inlineStr">
        <is>
          <t>bis 25 cm</t>
        </is>
      </c>
      <c r="T528" t="inlineStr">
        <is>
          <t>80° bis 110°, einseitig digitalisierbar?</t>
        </is>
      </c>
      <c r="U528" t="inlineStr">
        <is>
          <t>fester Rücken mit Schmuckprägung</t>
        </is>
      </c>
      <c r="V528" t="inlineStr"/>
      <c r="W528" t="inlineStr">
        <is>
          <t>Kassette</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t>
        </is>
      </c>
      <c r="B529" t="b">
        <v>1</v>
      </c>
      <c r="C529" t="inlineStr"/>
      <c r="D529" t="inlineStr"/>
      <c r="E529" t="n">
        <v>519</v>
      </c>
      <c r="F529">
        <f>HYPERLINK("https://portal.dnb.de/opac.htm?method=simpleSearch&amp;cqlMode=true&amp;query=idn%3D1072097877", "Portal")</f>
        <v/>
      </c>
      <c r="G529" t="inlineStr">
        <is>
          <t>Aa</t>
        </is>
      </c>
      <c r="H529" t="inlineStr">
        <is>
          <t>L-1473-32690154X</t>
        </is>
      </c>
      <c r="I529" t="inlineStr">
        <is>
          <t>1072097877</t>
        </is>
      </c>
      <c r="J529" t="inlineStr">
        <is>
          <t>II 44,4a</t>
        </is>
      </c>
      <c r="K529" t="inlineStr">
        <is>
          <t>II 44,4a</t>
        </is>
      </c>
      <c r="L529" t="inlineStr">
        <is>
          <t>II 44,4a</t>
        </is>
      </c>
      <c r="M529" t="inlineStr"/>
      <c r="N529" t="inlineStr">
        <is>
          <t xml:space="preserve">Statuta et pacta communis Brixiae : </t>
        </is>
      </c>
      <c r="O529" t="inlineStr">
        <is>
          <t xml:space="preserve"> : </t>
        </is>
      </c>
      <c r="P529" t="inlineStr">
        <is>
          <t>X</t>
        </is>
      </c>
      <c r="Q529" t="inlineStr"/>
      <c r="R529" t="inlineStr">
        <is>
          <t>Ledereinband, Schließen, erhabene Buchbeschläge</t>
        </is>
      </c>
      <c r="S529" t="inlineStr">
        <is>
          <t>bis 35 cm</t>
        </is>
      </c>
      <c r="T529" t="inlineStr">
        <is>
          <t>80° bis 110°, einseitig digitalisierbar?</t>
        </is>
      </c>
      <c r="U529" t="inlineStr">
        <is>
          <t>erhabene Illuminationen</t>
        </is>
      </c>
      <c r="V529" t="inlineStr">
        <is>
          <t>nicht auflegen</t>
        </is>
      </c>
      <c r="W529" t="inlineStr">
        <is>
          <t>Kassette</t>
        </is>
      </c>
      <c r="X529" t="inlineStr">
        <is>
          <t>Nein</t>
        </is>
      </c>
      <c r="Y529" t="n">
        <v>2</v>
      </c>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n">
        <v>0</v>
      </c>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t>
        </is>
      </c>
      <c r="B530" t="b">
        <v>1</v>
      </c>
      <c r="C530" t="inlineStr"/>
      <c r="D530" t="inlineStr"/>
      <c r="E530" t="n">
        <v>520</v>
      </c>
      <c r="F530">
        <f>HYPERLINK("https://portal.dnb.de/opac.htm?method=simpleSearch&amp;cqlMode=true&amp;query=idn%3D1066967830", "Portal")</f>
        <v/>
      </c>
      <c r="G530" t="inlineStr">
        <is>
          <t>Aaf</t>
        </is>
      </c>
      <c r="H530" t="inlineStr">
        <is>
          <t>L-1475-315498099</t>
        </is>
      </c>
      <c r="I530" t="inlineStr">
        <is>
          <t>1066967830</t>
        </is>
      </c>
      <c r="J530" t="inlineStr">
        <is>
          <t>II 44,5a</t>
        </is>
      </c>
      <c r="K530" t="inlineStr">
        <is>
          <t>II 44,5a</t>
        </is>
      </c>
      <c r="L530" t="inlineStr">
        <is>
          <t>II 44,5a</t>
        </is>
      </c>
      <c r="M530" t="inlineStr"/>
      <c r="N530" t="inlineStr">
        <is>
          <t xml:space="preserve">Commentarii in Iuvenalem : </t>
        </is>
      </c>
      <c r="O530" t="inlineStr">
        <is>
          <t xml:space="preserve"> : </t>
        </is>
      </c>
      <c r="P530" t="inlineStr">
        <is>
          <t>x</t>
        </is>
      </c>
      <c r="Q530" t="inlineStr"/>
      <c r="R530" t="inlineStr">
        <is>
          <t>Ledereinband, Schließen, erhabene Buchbeschläge</t>
        </is>
      </c>
      <c r="S530" t="inlineStr">
        <is>
          <t>bis 35 cm</t>
        </is>
      </c>
      <c r="T530" t="inlineStr">
        <is>
          <t>80° bis 110°, einseitig digitalisierbar?</t>
        </is>
      </c>
      <c r="U530" t="inlineStr">
        <is>
          <t>hohler Rücken, stark brüchiges Einbandmaterial</t>
        </is>
      </c>
      <c r="V530" t="inlineStr"/>
      <c r="W530" t="inlineStr">
        <is>
          <t>Kassette</t>
        </is>
      </c>
      <c r="X530" t="inlineStr">
        <is>
          <t>Nein</t>
        </is>
      </c>
      <c r="Y530" t="n">
        <v>3</v>
      </c>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t>
        </is>
      </c>
      <c r="B531" t="b">
        <v>1</v>
      </c>
      <c r="C531" t="inlineStr">
        <is>
          <t>x</t>
        </is>
      </c>
      <c r="D531" t="inlineStr"/>
      <c r="E531" t="n">
        <v>521</v>
      </c>
      <c r="F531">
        <f>HYPERLINK("https://portal.dnb.de/opac.htm?method=simpleSearch&amp;cqlMode=true&amp;query=idn%3D1066965560", "Portal")</f>
        <v/>
      </c>
      <c r="G531" t="inlineStr">
        <is>
          <t>Aa</t>
        </is>
      </c>
      <c r="H531" t="inlineStr">
        <is>
          <t>L-1476-315495782</t>
        </is>
      </c>
      <c r="I531" t="inlineStr">
        <is>
          <t>1066965560</t>
        </is>
      </c>
      <c r="J531" t="inlineStr">
        <is>
          <t>II 45,1a</t>
        </is>
      </c>
      <c r="K531" t="inlineStr">
        <is>
          <t>II 45,1a</t>
        </is>
      </c>
      <c r="L531" t="inlineStr">
        <is>
          <t>II 45,1a</t>
        </is>
      </c>
      <c r="M531" t="inlineStr"/>
      <c r="N531" t="inlineStr">
        <is>
          <t xml:space="preserve">Gnotosolitos sive Speculum conscientiae : </t>
        </is>
      </c>
      <c r="O531" t="inlineStr">
        <is>
          <t xml:space="preserve"> : </t>
        </is>
      </c>
      <c r="P531" t="inlineStr"/>
      <c r="Q531" t="inlineStr">
        <is>
          <t>26000,00 EUR</t>
        </is>
      </c>
      <c r="R531" t="inlineStr"/>
      <c r="S531" t="inlineStr">
        <is>
          <t>bis 42 cm</t>
        </is>
      </c>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is>
          <t>HD</t>
        </is>
      </c>
      <c r="AJ531" t="inlineStr"/>
      <c r="AK531" t="inlineStr"/>
      <c r="AL531" t="inlineStr"/>
      <c r="AM531" t="inlineStr">
        <is>
          <t>f</t>
        </is>
      </c>
      <c r="AN531" t="inlineStr"/>
      <c r="AO531" t="inlineStr"/>
      <c r="AP531" t="inlineStr"/>
      <c r="AQ531" t="inlineStr"/>
      <c r="AR531" t="inlineStr"/>
      <c r="AS531" t="inlineStr">
        <is>
          <t>Pa</t>
        </is>
      </c>
      <c r="AT531" t="inlineStr"/>
      <c r="AU531" t="inlineStr"/>
      <c r="AV531" t="inlineStr"/>
      <c r="AW531" t="inlineStr"/>
      <c r="AX531" t="inlineStr">
        <is>
          <t>x</t>
        </is>
      </c>
      <c r="AY531" t="inlineStr"/>
      <c r="AZ531" t="inlineStr"/>
      <c r="BA531" t="inlineStr"/>
      <c r="BB531" t="inlineStr"/>
      <c r="BC531" t="inlineStr">
        <is>
          <t>I/R</t>
        </is>
      </c>
      <c r="BD531" t="inlineStr">
        <is>
          <t>x</t>
        </is>
      </c>
      <c r="BE531" t="n">
        <v>0</v>
      </c>
      <c r="BF531" t="inlineStr">
        <is>
          <t>x</t>
        </is>
      </c>
      <c r="BG531" t="n">
        <v>110</v>
      </c>
      <c r="BH531" t="inlineStr"/>
      <c r="BI531" t="inlineStr">
        <is>
          <t>x</t>
        </is>
      </c>
      <c r="BJ531" t="inlineStr">
        <is>
          <t xml:space="preserve">
ggf. Rücken unterlegen</t>
        </is>
      </c>
      <c r="BK531" t="inlineStr"/>
      <c r="BL531" t="inlineStr"/>
      <c r="BM531" t="inlineStr">
        <is>
          <t>ja vor</t>
        </is>
      </c>
      <c r="BN531" t="n">
        <v>2</v>
      </c>
      <c r="BO531" t="inlineStr"/>
      <c r="BP531" t="inlineStr"/>
      <c r="BQ531" t="inlineStr"/>
      <c r="BR531" t="inlineStr">
        <is>
          <t>x</t>
        </is>
      </c>
      <c r="BS531" t="inlineStr"/>
      <c r="BT531" t="inlineStr"/>
      <c r="BU531" t="inlineStr"/>
      <c r="BV531" t="inlineStr"/>
      <c r="BW531" t="inlineStr"/>
      <c r="BX531" t="inlineStr"/>
      <c r="BY531" t="inlineStr"/>
      <c r="BZ531" t="inlineStr">
        <is>
          <t>x</t>
        </is>
      </c>
      <c r="CA531" t="inlineStr">
        <is>
          <t>x</t>
        </is>
      </c>
      <c r="CB531" t="inlineStr">
        <is>
          <t>x</t>
        </is>
      </c>
      <c r="CC531" t="inlineStr"/>
      <c r="CD531" t="inlineStr">
        <is>
          <t>v</t>
        </is>
      </c>
      <c r="CE531" t="inlineStr"/>
      <c r="CF531" t="inlineStr"/>
      <c r="CG531" t="inlineStr"/>
      <c r="CH531" t="inlineStr">
        <is>
          <t>x</t>
        </is>
      </c>
      <c r="CI531" t="inlineStr"/>
      <c r="CJ531" t="inlineStr"/>
      <c r="CK531" t="inlineStr"/>
      <c r="CL531" t="inlineStr"/>
      <c r="CM531" t="n">
        <v>2</v>
      </c>
      <c r="CN531" t="inlineStr">
        <is>
          <t>Gelenk mit JP-Gewebe-Laminat schließen</t>
        </is>
      </c>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t>
        </is>
      </c>
      <c r="B532" t="b">
        <v>1</v>
      </c>
      <c r="C532" t="inlineStr">
        <is>
          <t>x</t>
        </is>
      </c>
      <c r="D532" t="inlineStr"/>
      <c r="E532" t="n">
        <v>522</v>
      </c>
      <c r="F532">
        <f>HYPERLINK("https://portal.dnb.de/opac.htm?method=simpleSearch&amp;cqlMode=true&amp;query=idn%3D1066966265", "Portal")</f>
        <v/>
      </c>
      <c r="G532" t="inlineStr">
        <is>
          <t>Aaf</t>
        </is>
      </c>
      <c r="H532" t="inlineStr">
        <is>
          <t>L-1481-31549655X</t>
        </is>
      </c>
      <c r="I532" t="inlineStr">
        <is>
          <t>1066966265</t>
        </is>
      </c>
      <c r="J532" t="inlineStr">
        <is>
          <t>II 45,1b</t>
        </is>
      </c>
      <c r="K532" t="inlineStr">
        <is>
          <t>II 45,1b</t>
        </is>
      </c>
      <c r="L532" t="inlineStr">
        <is>
          <t>II 45,1b</t>
        </is>
      </c>
      <c r="M532" t="inlineStr"/>
      <c r="N532" t="inlineStr">
        <is>
          <t xml:space="preserve">Sermones de tempore et de sanctis : </t>
        </is>
      </c>
      <c r="O532" t="inlineStr">
        <is>
          <t xml:space="preserve"> : </t>
        </is>
      </c>
      <c r="P532" t="inlineStr">
        <is>
          <t>x</t>
        </is>
      </c>
      <c r="Q532" t="inlineStr">
        <is>
          <t>2000,00 EUR</t>
        </is>
      </c>
      <c r="R532" t="inlineStr">
        <is>
          <t>Ledereinband</t>
        </is>
      </c>
      <c r="S532" t="inlineStr">
        <is>
          <t>bis 35 cm</t>
        </is>
      </c>
      <c r="T532" t="inlineStr">
        <is>
          <t>80° bis 110°, einseitig digitalisierbar?</t>
        </is>
      </c>
      <c r="U532" t="inlineStr">
        <is>
          <t>hohler Rücken, stark brüchiges Einbandmaterial, erhabene Illuminationen</t>
        </is>
      </c>
      <c r="V532" t="inlineStr">
        <is>
          <t>nicht auflegen</t>
        </is>
      </c>
      <c r="W532" t="inlineStr">
        <is>
          <t>Kassette</t>
        </is>
      </c>
      <c r="X532" t="inlineStr">
        <is>
          <t>Nein</t>
        </is>
      </c>
      <c r="Y532" t="n">
        <v>3</v>
      </c>
      <c r="Z532" t="inlineStr"/>
      <c r="AA532" t="inlineStr"/>
      <c r="AB532" t="inlineStr"/>
      <c r="AC532" t="inlineStr"/>
      <c r="AD532" t="inlineStr"/>
      <c r="AE532" t="inlineStr"/>
      <c r="AF532" t="inlineStr"/>
      <c r="AG532" t="inlineStr"/>
      <c r="AH532" t="inlineStr"/>
      <c r="AI532" t="inlineStr">
        <is>
          <t>L</t>
        </is>
      </c>
      <c r="AJ532" t="inlineStr"/>
      <c r="AK532" t="inlineStr">
        <is>
          <t>x</t>
        </is>
      </c>
      <c r="AL532" t="inlineStr"/>
      <c r="AM532" t="inlineStr">
        <is>
          <t>h/E</t>
        </is>
      </c>
      <c r="AN532" t="inlineStr"/>
      <c r="AO532" t="inlineStr"/>
      <c r="AP532" t="inlineStr"/>
      <c r="AQ532" t="inlineStr"/>
      <c r="AR532" t="inlineStr"/>
      <c r="AS532" t="inlineStr">
        <is>
          <t>Pa</t>
        </is>
      </c>
      <c r="AT532" t="inlineStr"/>
      <c r="AU532" t="inlineStr"/>
      <c r="AV532" t="inlineStr"/>
      <c r="AW532" t="inlineStr"/>
      <c r="AX532" t="inlineStr"/>
      <c r="AY532" t="inlineStr"/>
      <c r="AZ532" t="inlineStr"/>
      <c r="BA532" t="inlineStr"/>
      <c r="BB532" t="inlineStr"/>
      <c r="BC532" t="inlineStr">
        <is>
          <t>I/R</t>
        </is>
      </c>
      <c r="BD532" t="inlineStr">
        <is>
          <t>x</t>
        </is>
      </c>
      <c r="BE532" t="inlineStr"/>
      <c r="BF532" t="inlineStr"/>
      <c r="BG532" t="inlineStr">
        <is>
          <t>nur 110</t>
        </is>
      </c>
      <c r="BH532" t="inlineStr"/>
      <c r="BI532" t="inlineStr">
        <is>
          <t>x</t>
        </is>
      </c>
      <c r="BJ532" t="inlineStr">
        <is>
          <t xml:space="preserve">
Rücken ist lose, 2. Teil Rest. erst nach Digit.</t>
        </is>
      </c>
      <c r="BK532" t="inlineStr"/>
      <c r="BL532" t="inlineStr"/>
      <c r="BM532" t="inlineStr">
        <is>
          <t>ja vor und nach</t>
        </is>
      </c>
      <c r="BN532" t="n">
        <v>1</v>
      </c>
      <c r="BO532" t="inlineStr"/>
      <c r="BP532" t="inlineStr">
        <is>
          <t>Wellpappe</t>
        </is>
      </c>
      <c r="BQ532" t="inlineStr"/>
      <c r="BR532" t="inlineStr"/>
      <c r="BS532" t="inlineStr"/>
      <c r="BT532" t="inlineStr"/>
      <c r="BU532" t="inlineStr"/>
      <c r="BV532" t="inlineStr"/>
      <c r="BW532" t="inlineStr"/>
      <c r="BX532" t="inlineStr"/>
      <c r="BY532" t="inlineStr"/>
      <c r="BZ532" t="inlineStr">
        <is>
          <t>x</t>
        </is>
      </c>
      <c r="CA532" t="inlineStr">
        <is>
          <t>x</t>
        </is>
      </c>
      <c r="CB532" t="inlineStr">
        <is>
          <t>x</t>
        </is>
      </c>
      <c r="CC532" t="inlineStr"/>
      <c r="CD532" t="inlineStr">
        <is>
          <t>v/h</t>
        </is>
      </c>
      <c r="CE532" t="inlineStr"/>
      <c r="CF532" t="inlineStr">
        <is>
          <t>x</t>
        </is>
      </c>
      <c r="CG532" t="inlineStr"/>
      <c r="CH532" t="inlineStr"/>
      <c r="CI532" t="inlineStr"/>
      <c r="CJ532" t="inlineStr"/>
      <c r="CK532" t="inlineStr"/>
      <c r="CL532" t="inlineStr"/>
      <c r="CM532" t="n">
        <v>1</v>
      </c>
      <c r="CN532" t="inlineStr">
        <is>
          <t>vor der Digit.: Rücken sichern, nach der Digit.: Hülse, gebrochenen Rücken am besten entfernen sonst wird Rücken insg. zu steif</t>
        </is>
      </c>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t>
        </is>
      </c>
      <c r="B533" t="b">
        <v>1</v>
      </c>
      <c r="C533" t="inlineStr"/>
      <c r="D533" t="inlineStr"/>
      <c r="E533" t="n">
        <v>523</v>
      </c>
      <c r="F533">
        <f>HYPERLINK("https://portal.dnb.de/opac.htm?method=simpleSearch&amp;cqlMode=true&amp;query=idn%3D1072098342", "Portal")</f>
        <v/>
      </c>
      <c r="G533" t="inlineStr">
        <is>
          <t>Aa</t>
        </is>
      </c>
      <c r="H533" t="inlineStr">
        <is>
          <t>L-1475-326901868</t>
        </is>
      </c>
      <c r="I533" t="inlineStr">
        <is>
          <t>1072098342</t>
        </is>
      </c>
      <c r="J533" t="inlineStr">
        <is>
          <t>II 46,1a</t>
        </is>
      </c>
      <c r="K533" t="inlineStr">
        <is>
          <t>II 46,1a</t>
        </is>
      </c>
      <c r="L533" t="inlineStr">
        <is>
          <t>II 46,1a</t>
        </is>
      </c>
      <c r="M533" t="inlineStr"/>
      <c r="N533" t="inlineStr">
        <is>
          <t xml:space="preserve">Vitas Patrum : </t>
        </is>
      </c>
      <c r="O533" t="inlineStr">
        <is>
          <t xml:space="preserve"> : </t>
        </is>
      </c>
      <c r="P533" t="inlineStr">
        <is>
          <t>X</t>
        </is>
      </c>
      <c r="Q533" t="inlineStr"/>
      <c r="R533" t="inlineStr">
        <is>
          <t>Halbledereinband</t>
        </is>
      </c>
      <c r="S533" t="inlineStr">
        <is>
          <t>bis 35 cm</t>
        </is>
      </c>
      <c r="T533" t="inlineStr">
        <is>
          <t>80° bis 110°, einseitig digitalisierbar?</t>
        </is>
      </c>
      <c r="U533" t="inlineStr">
        <is>
          <t>fester Rücken mit Schmuckprägung, erhabene Illuminationen</t>
        </is>
      </c>
      <c r="V533" t="inlineStr">
        <is>
          <t>nicht auflegen</t>
        </is>
      </c>
      <c r="W533" t="inlineStr">
        <is>
          <t>Mappe</t>
        </is>
      </c>
      <c r="X533" t="inlineStr">
        <is>
          <t>Nein</t>
        </is>
      </c>
      <c r="Y533" t="n">
        <v>0</v>
      </c>
      <c r="Z533" t="inlineStr"/>
      <c r="AA533" t="inlineStr">
        <is>
          <t>Schuber in Mappe</t>
        </is>
      </c>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n">
        <v>0</v>
      </c>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t>
        </is>
      </c>
      <c r="B534" t="b">
        <v>1</v>
      </c>
      <c r="C534" t="inlineStr"/>
      <c r="D534" t="inlineStr"/>
      <c r="E534" t="n">
        <v>524</v>
      </c>
      <c r="F534">
        <f>HYPERLINK("https://portal.dnb.de/opac.htm?method=simpleSearch&amp;cqlMode=true&amp;query=idn%3D1066971625", "Portal")</f>
        <v/>
      </c>
      <c r="G534" t="inlineStr">
        <is>
          <t>Aaf</t>
        </is>
      </c>
      <c r="H534" t="inlineStr">
        <is>
          <t>L-1480-315502002</t>
        </is>
      </c>
      <c r="I534" t="inlineStr">
        <is>
          <t>1066971625</t>
        </is>
      </c>
      <c r="J534" t="inlineStr">
        <is>
          <t>II 48,1a</t>
        </is>
      </c>
      <c r="K534" t="inlineStr">
        <is>
          <t>II 48,1a</t>
        </is>
      </c>
      <c r="L534" t="inlineStr">
        <is>
          <t>II 48,1a</t>
        </is>
      </c>
      <c r="M534" t="inlineStr"/>
      <c r="N534" t="inlineStr">
        <is>
          <t xml:space="preserve">De honesta voluptate et valetudine : </t>
        </is>
      </c>
      <c r="O534" t="inlineStr">
        <is>
          <t xml:space="preserve"> : </t>
        </is>
      </c>
      <c r="P534" t="inlineStr">
        <is>
          <t>X</t>
        </is>
      </c>
      <c r="Q534" t="inlineStr"/>
      <c r="R534" t="inlineStr">
        <is>
          <t>Ledereinband</t>
        </is>
      </c>
      <c r="S534" t="inlineStr">
        <is>
          <t>bis 25 cm</t>
        </is>
      </c>
      <c r="T534" t="inlineStr"/>
      <c r="U534" t="inlineStr">
        <is>
          <t>fester Rücken mit Schmuckprägung</t>
        </is>
      </c>
      <c r="V534" t="inlineStr"/>
      <c r="W534" t="inlineStr">
        <is>
          <t>Kassette</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t>
        </is>
      </c>
      <c r="B535" t="b">
        <v>1</v>
      </c>
      <c r="C535" t="inlineStr">
        <is>
          <t>x</t>
        </is>
      </c>
      <c r="D535" t="inlineStr"/>
      <c r="E535" t="n">
        <v>525</v>
      </c>
      <c r="F535">
        <f>HYPERLINK("https://portal.dnb.de/opac.htm?method=simpleSearch&amp;cqlMode=true&amp;query=idn%3D1066971390", "Portal")</f>
        <v/>
      </c>
      <c r="G535" t="inlineStr">
        <is>
          <t>Aaf</t>
        </is>
      </c>
      <c r="H535" t="inlineStr">
        <is>
          <t>L-1492-315501766</t>
        </is>
      </c>
      <c r="I535" t="inlineStr">
        <is>
          <t>1066971390</t>
        </is>
      </c>
      <c r="J535" t="inlineStr">
        <is>
          <t>II 49,1a</t>
        </is>
      </c>
      <c r="K535" t="inlineStr">
        <is>
          <t>II 49,1a</t>
        </is>
      </c>
      <c r="L535" t="inlineStr">
        <is>
          <t>II 49,1a</t>
        </is>
      </c>
      <c r="M535" t="inlineStr"/>
      <c r="N535" t="inlineStr">
        <is>
          <t xml:space="preserve">De remediis utriusque fortunae : </t>
        </is>
      </c>
      <c r="O535" t="inlineStr">
        <is>
          <t xml:space="preserve"> : </t>
        </is>
      </c>
      <c r="P535" t="inlineStr">
        <is>
          <t>X</t>
        </is>
      </c>
      <c r="Q535" t="inlineStr">
        <is>
          <t>3000,00 EUR</t>
        </is>
      </c>
      <c r="R535" t="inlineStr">
        <is>
          <t>Ledereinband, Schließen, erhabene Buchbeschläge</t>
        </is>
      </c>
      <c r="S535" t="inlineStr">
        <is>
          <t>bis 35 cm</t>
        </is>
      </c>
      <c r="T535" t="inlineStr">
        <is>
          <t>180°</t>
        </is>
      </c>
      <c r="U535" t="inlineStr">
        <is>
          <t>fester Rücken mit Schmuckprägung, welliger Buchblock</t>
        </is>
      </c>
      <c r="V535" t="inlineStr"/>
      <c r="W535" t="inlineStr">
        <is>
          <t>Kassette</t>
        </is>
      </c>
      <c r="X535" t="inlineStr">
        <is>
          <t>Nein</t>
        </is>
      </c>
      <c r="Y535" t="n">
        <v>1</v>
      </c>
      <c r="Z535" t="inlineStr"/>
      <c r="AA535" t="inlineStr"/>
      <c r="AB535" t="inlineStr"/>
      <c r="AC535" t="inlineStr"/>
      <c r="AD535" t="inlineStr"/>
      <c r="AE535" t="inlineStr"/>
      <c r="AF535" t="inlineStr"/>
      <c r="AG535" t="inlineStr"/>
      <c r="AH535" t="inlineStr"/>
      <c r="AI535" t="inlineStr">
        <is>
          <t>HD</t>
        </is>
      </c>
      <c r="AJ535" t="inlineStr"/>
      <c r="AK535" t="inlineStr">
        <is>
          <t>x</t>
        </is>
      </c>
      <c r="AL535" t="inlineStr"/>
      <c r="AM535" t="inlineStr">
        <is>
          <t>f/V</t>
        </is>
      </c>
      <c r="AN535" t="inlineStr"/>
      <c r="AO535" t="inlineStr"/>
      <c r="AP535" t="inlineStr"/>
      <c r="AQ535" t="inlineStr"/>
      <c r="AR535" t="inlineStr"/>
      <c r="AS535" t="inlineStr">
        <is>
          <t>Pa</t>
        </is>
      </c>
      <c r="AT535" t="inlineStr"/>
      <c r="AU535" t="inlineStr"/>
      <c r="AV535" t="inlineStr"/>
      <c r="AW535" t="inlineStr"/>
      <c r="AX535" t="inlineStr"/>
      <c r="AY535" t="inlineStr"/>
      <c r="AZ535" t="inlineStr"/>
      <c r="BA535" t="inlineStr"/>
      <c r="BB535" t="inlineStr"/>
      <c r="BC535" t="inlineStr"/>
      <c r="BD535" t="inlineStr"/>
      <c r="BE535" t="inlineStr"/>
      <c r="BF535" t="inlineStr"/>
      <c r="BG535" t="n">
        <v>45</v>
      </c>
      <c r="BH535" t="inlineStr"/>
      <c r="BI535" t="inlineStr"/>
      <c r="BJ535" t="inlineStr"/>
      <c r="BK535" t="inlineStr"/>
      <c r="BL535" t="inlineStr"/>
      <c r="BM535" t="inlineStr">
        <is>
          <t>ja vor</t>
        </is>
      </c>
      <c r="BN535" t="n">
        <v>1</v>
      </c>
      <c r="BO535" t="inlineStr"/>
      <c r="BP535" t="inlineStr">
        <is>
          <t>Wellpappe</t>
        </is>
      </c>
      <c r="BQ535" t="inlineStr"/>
      <c r="BR535" t="inlineStr"/>
      <c r="BS535" t="inlineStr"/>
      <c r="BT535" t="inlineStr"/>
      <c r="BU535" t="inlineStr"/>
      <c r="BV535" t="inlineStr"/>
      <c r="BW535" t="inlineStr"/>
      <c r="BX535" t="inlineStr"/>
      <c r="BY535" t="inlineStr"/>
      <c r="BZ535" t="inlineStr">
        <is>
          <t>x</t>
        </is>
      </c>
      <c r="CA535" t="inlineStr">
        <is>
          <t>x</t>
        </is>
      </c>
      <c r="CB535" t="inlineStr">
        <is>
          <t>x</t>
        </is>
      </c>
      <c r="CC535" t="inlineStr"/>
      <c r="CD535" t="inlineStr"/>
      <c r="CE535" t="inlineStr"/>
      <c r="CF535" t="inlineStr"/>
      <c r="CG535" t="inlineStr"/>
      <c r="CH535" t="inlineStr"/>
      <c r="CI535" t="inlineStr"/>
      <c r="CJ535" t="inlineStr"/>
      <c r="CK535" t="inlineStr"/>
      <c r="CL535" t="inlineStr"/>
      <c r="CM535" t="n">
        <v>1</v>
      </c>
      <c r="CN535" t="inlineStr">
        <is>
          <t>Titelschilder und Narben sichern</t>
        </is>
      </c>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t>
        </is>
      </c>
      <c r="B536" t="b">
        <v>1</v>
      </c>
      <c r="C536" t="inlineStr"/>
      <c r="D536" t="inlineStr"/>
      <c r="E536" t="n">
        <v>526</v>
      </c>
      <c r="F536">
        <f>HYPERLINK("https://portal.dnb.de/opac.htm?method=simpleSearch&amp;cqlMode=true&amp;query=idn%3D1072322579", "Portal")</f>
        <v/>
      </c>
      <c r="G536" t="inlineStr">
        <is>
          <t>Aa</t>
        </is>
      </c>
      <c r="H536" t="inlineStr">
        <is>
          <t>L-1484-327281405</t>
        </is>
      </c>
      <c r="I536" t="inlineStr">
        <is>
          <t>1072322579</t>
        </is>
      </c>
      <c r="J536" t="inlineStr">
        <is>
          <t>II 50,1b</t>
        </is>
      </c>
      <c r="K536" t="inlineStr">
        <is>
          <t>II 50,1b</t>
        </is>
      </c>
      <c r="L536" t="inlineStr">
        <is>
          <t>II 50,1b</t>
        </is>
      </c>
      <c r="M536" t="inlineStr"/>
      <c r="N536" t="inlineStr">
        <is>
          <t xml:space="preserve">Getijdenboek (Almanach 1480–1521) : </t>
        </is>
      </c>
      <c r="O536" t="inlineStr">
        <is>
          <t xml:space="preserve"> : </t>
        </is>
      </c>
      <c r="P536" t="inlineStr"/>
      <c r="Q536" t="inlineStr">
        <is>
          <t>15000,00 EUR</t>
        </is>
      </c>
      <c r="R536" t="inlineStr">
        <is>
          <t>Halbledereinband</t>
        </is>
      </c>
      <c r="S536" t="inlineStr">
        <is>
          <t>bis 25 cm</t>
        </is>
      </c>
      <c r="T536" t="inlineStr">
        <is>
          <t>180°</t>
        </is>
      </c>
      <c r="U536" t="inlineStr">
        <is>
          <t>hohler Rücken, welliger Buchblock, erhabene Illuminationen</t>
        </is>
      </c>
      <c r="V536" t="inlineStr">
        <is>
          <t>nicht auflegen</t>
        </is>
      </c>
      <c r="W536" t="inlineStr">
        <is>
          <t>Kassette</t>
        </is>
      </c>
      <c r="X536" t="inlineStr">
        <is>
          <t>Nein</t>
        </is>
      </c>
      <c r="Y536" t="n">
        <v>0</v>
      </c>
      <c r="Z536" t="inlineStr"/>
      <c r="AA536" t="inlineStr">
        <is>
          <t>Holzdeckel</t>
        </is>
      </c>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t>
        </is>
      </c>
      <c r="B537" t="b">
        <v>1</v>
      </c>
      <c r="C537" t="inlineStr"/>
      <c r="D537" t="inlineStr"/>
      <c r="E537" t="inlineStr"/>
      <c r="F537">
        <f>HYPERLINK("https://portal.dnb.de/opac.htm?method=simpleSearch&amp;cqlMode=true&amp;query=idn%3D1268951293", "Portal")</f>
        <v/>
      </c>
      <c r="G537" t="inlineStr">
        <is>
          <t>Qd</t>
        </is>
      </c>
      <c r="H537" t="inlineStr">
        <is>
          <t>L-1477-834334240</t>
        </is>
      </c>
      <c r="I537" t="inlineStr">
        <is>
          <t>1268951293</t>
        </is>
      </c>
      <c r="J537" t="inlineStr">
        <is>
          <t>II 51,1b</t>
        </is>
      </c>
      <c r="K537" t="inlineStr">
        <is>
          <t>II 51,1b</t>
        </is>
      </c>
      <c r="L537" t="inlineStr">
        <is>
          <t>II 51,1b</t>
        </is>
      </c>
      <c r="M537" t="inlineStr"/>
      <c r="N537" t="inlineStr">
        <is>
          <t xml:space="preserve">Sammelband mit zwei Inkunabeln : </t>
        </is>
      </c>
      <c r="O537" t="inlineStr">
        <is>
          <t xml:space="preserve"> : </t>
        </is>
      </c>
      <c r="P537" t="inlineStr">
        <is>
          <t>X</t>
        </is>
      </c>
      <c r="Q537" t="inlineStr"/>
      <c r="R537" t="inlineStr">
        <is>
          <t>Ledereinband, Schließen, erhabene Buchbeschläge</t>
        </is>
      </c>
      <c r="S537" t="inlineStr">
        <is>
          <t>bis 35 cm</t>
        </is>
      </c>
      <c r="T537" t="inlineStr">
        <is>
          <t>80° bis 110°, einseitig digitalisierbar?</t>
        </is>
      </c>
      <c r="U537" t="inlineStr">
        <is>
          <t>fester Rücken mit Schmuckprägung, welliger Buchblock, erhabene Illuminationen</t>
        </is>
      </c>
      <c r="V537" t="inlineStr">
        <is>
          <t>nicht auflegen</t>
        </is>
      </c>
      <c r="W537" t="inlineStr">
        <is>
          <t>Kassette</t>
        </is>
      </c>
      <c r="X537" t="inlineStr">
        <is>
          <t>Nein</t>
        </is>
      </c>
      <c r="Y537" t="n">
        <v>1</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t>
        </is>
      </c>
      <c r="B538" t="b">
        <v>1</v>
      </c>
      <c r="C538" t="inlineStr"/>
      <c r="D538" t="inlineStr"/>
      <c r="E538" t="n">
        <v>529</v>
      </c>
      <c r="F538">
        <f>HYPERLINK("https://portal.dnb.de/opac.htm?method=simpleSearch&amp;cqlMode=true&amp;query=idn%3D1066971889", "Portal")</f>
        <v/>
      </c>
      <c r="G538" t="inlineStr">
        <is>
          <t>Aa</t>
        </is>
      </c>
      <c r="H538" t="inlineStr">
        <is>
          <t>L-1480-315502282</t>
        </is>
      </c>
      <c r="I538" t="inlineStr">
        <is>
          <t>1066971889</t>
        </is>
      </c>
      <c r="J538" t="inlineStr">
        <is>
          <t>II 51,1c</t>
        </is>
      </c>
      <c r="K538" t="inlineStr">
        <is>
          <t>II 51,1c</t>
        </is>
      </c>
      <c r="L538" t="inlineStr">
        <is>
          <t>II 51,1c</t>
        </is>
      </c>
      <c r="M538" t="inlineStr"/>
      <c r="N538" t="inlineStr">
        <is>
          <t xml:space="preserve">Theologia naturalis, sive liber creaturarum : </t>
        </is>
      </c>
      <c r="O538" t="inlineStr">
        <is>
          <t xml:space="preserve"> : </t>
        </is>
      </c>
      <c r="P538" t="inlineStr">
        <is>
          <t>X</t>
        </is>
      </c>
      <c r="Q538" t="inlineStr"/>
      <c r="R538" t="inlineStr">
        <is>
          <t>Halbledereinband</t>
        </is>
      </c>
      <c r="S538" t="inlineStr">
        <is>
          <t>bis 35 cm</t>
        </is>
      </c>
      <c r="T538" t="inlineStr">
        <is>
          <t>80° bis 110°, einseitig digitalisierbar?</t>
        </is>
      </c>
      <c r="U538" t="inlineStr">
        <is>
          <t>hohler Rücken, erhabene Illuminationen, stark brüchiges Einbandmaterial</t>
        </is>
      </c>
      <c r="V538" t="inlineStr">
        <is>
          <t>nicht auflegen</t>
        </is>
      </c>
      <c r="W538" t="inlineStr">
        <is>
          <t>Kassette</t>
        </is>
      </c>
      <c r="X538" t="inlineStr">
        <is>
          <t>Nein</t>
        </is>
      </c>
      <c r="Y538" t="n">
        <v>2</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t>
        </is>
      </c>
      <c r="B539" t="b">
        <v>1</v>
      </c>
      <c r="C539" t="inlineStr">
        <is>
          <t>x</t>
        </is>
      </c>
      <c r="D539" t="inlineStr"/>
      <c r="E539" t="n">
        <v>530</v>
      </c>
      <c r="F539">
        <f>HYPERLINK("https://portal.dnb.de/opac.htm?method=simpleSearch&amp;cqlMode=true&amp;query=idn%3D106697134X", "Portal")</f>
        <v/>
      </c>
      <c r="G539" t="inlineStr">
        <is>
          <t>Aaf</t>
        </is>
      </c>
      <c r="H539" t="inlineStr">
        <is>
          <t>L-1480-315501715</t>
        </is>
      </c>
      <c r="I539" t="inlineStr">
        <is>
          <t>106697134X</t>
        </is>
      </c>
      <c r="J539" t="inlineStr">
        <is>
          <t>II 52,2a</t>
        </is>
      </c>
      <c r="K539" t="inlineStr">
        <is>
          <t>II 52,2a</t>
        </is>
      </c>
      <c r="L539" t="inlineStr">
        <is>
          <t>II 52,2a</t>
        </is>
      </c>
      <c r="M539" t="inlineStr"/>
      <c r="N539" t="inlineStr">
        <is>
          <t xml:space="preserve">Lectura super secunda parte Infortiati : </t>
        </is>
      </c>
      <c r="O539" t="inlineStr">
        <is>
          <t xml:space="preserve"> : </t>
        </is>
      </c>
      <c r="P539" t="inlineStr"/>
      <c r="Q539" t="inlineStr">
        <is>
          <t>10000,00 EUR</t>
        </is>
      </c>
      <c r="R539" t="inlineStr"/>
      <c r="S539" t="inlineStr">
        <is>
          <t>bis 42 cm</t>
        </is>
      </c>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is>
          <t>L</t>
        </is>
      </c>
      <c r="AJ539" t="inlineStr"/>
      <c r="AK539" t="inlineStr">
        <is>
          <t>x</t>
        </is>
      </c>
      <c r="AL539" t="inlineStr"/>
      <c r="AM539" t="inlineStr">
        <is>
          <t>h/E</t>
        </is>
      </c>
      <c r="AN539" t="inlineStr"/>
      <c r="AO539" t="inlineStr"/>
      <c r="AP539" t="inlineStr"/>
      <c r="AQ539" t="inlineStr"/>
      <c r="AR539" t="inlineStr"/>
      <c r="AS539" t="inlineStr">
        <is>
          <t>Pa</t>
        </is>
      </c>
      <c r="AT539" t="inlineStr"/>
      <c r="AU539" t="inlineStr"/>
      <c r="AV539" t="inlineStr"/>
      <c r="AW539" t="inlineStr"/>
      <c r="AX539" t="inlineStr"/>
      <c r="AY539" t="inlineStr"/>
      <c r="AZ539" t="inlineStr"/>
      <c r="BA539" t="inlineStr"/>
      <c r="BB539" t="inlineStr"/>
      <c r="BC539" t="inlineStr"/>
      <c r="BD539" t="inlineStr"/>
      <c r="BE539" t="inlineStr"/>
      <c r="BF539" t="inlineStr"/>
      <c r="BG539" t="n">
        <v>110</v>
      </c>
      <c r="BH539" t="inlineStr"/>
      <c r="BI539" t="inlineStr"/>
      <c r="BJ539" t="inlineStr"/>
      <c r="BK539" t="inlineStr"/>
      <c r="BL539" t="inlineStr"/>
      <c r="BM539" t="inlineStr">
        <is>
          <t>ja vor</t>
        </is>
      </c>
      <c r="BN539" t="n">
        <v>2</v>
      </c>
      <c r="BO539" t="inlineStr"/>
      <c r="BP539" t="inlineStr"/>
      <c r="BQ539" t="inlineStr"/>
      <c r="BR539" t="inlineStr">
        <is>
          <t>x</t>
        </is>
      </c>
      <c r="BS539" t="inlineStr"/>
      <c r="BT539" t="inlineStr"/>
      <c r="BU539" t="inlineStr"/>
      <c r="BV539" t="inlineStr"/>
      <c r="BW539" t="inlineStr"/>
      <c r="BX539" t="inlineStr"/>
      <c r="BY539" t="inlineStr"/>
      <c r="BZ539" t="inlineStr">
        <is>
          <t>x</t>
        </is>
      </c>
      <c r="CA539" t="inlineStr">
        <is>
          <t>x</t>
        </is>
      </c>
      <c r="CB539" t="inlineStr">
        <is>
          <t>x</t>
        </is>
      </c>
      <c r="CC539" t="inlineStr">
        <is>
          <t>x</t>
        </is>
      </c>
      <c r="CD539" t="inlineStr"/>
      <c r="CE539" t="inlineStr"/>
      <c r="CF539" t="inlineStr"/>
      <c r="CG539" t="inlineStr"/>
      <c r="CH539" t="inlineStr"/>
      <c r="CI539" t="inlineStr"/>
      <c r="CJ539" t="inlineStr"/>
      <c r="CK539" t="inlineStr"/>
      <c r="CL539" t="inlineStr"/>
      <c r="CM539" t="n">
        <v>2</v>
      </c>
      <c r="CN539" t="inlineStr">
        <is>
          <t>kleine Risse in den Gelenken mit JP schließen, Leder fixieren</t>
        </is>
      </c>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t>
        </is>
      </c>
      <c r="B540" t="b">
        <v>1</v>
      </c>
      <c r="C540" t="inlineStr"/>
      <c r="D540" t="inlineStr"/>
      <c r="E540" t="n">
        <v>531</v>
      </c>
      <c r="F540">
        <f>HYPERLINK("https://portal.dnb.de/opac.htm?method=simpleSearch&amp;cqlMode=true&amp;query=idn%3D106696520X", "Portal")</f>
        <v/>
      </c>
      <c r="G540" t="inlineStr">
        <is>
          <t>Aaf</t>
        </is>
      </c>
      <c r="H540" t="inlineStr">
        <is>
          <t>L-1493-315495359</t>
        </is>
      </c>
      <c r="I540" t="inlineStr">
        <is>
          <t>106696520X</t>
        </is>
      </c>
      <c r="J540" t="inlineStr">
        <is>
          <t>II 52,2b</t>
        </is>
      </c>
      <c r="K540" t="inlineStr">
        <is>
          <t>II 52,2b</t>
        </is>
      </c>
      <c r="L540" t="inlineStr">
        <is>
          <t>II 52,2b</t>
        </is>
      </c>
      <c r="M540" t="inlineStr"/>
      <c r="N540" t="inlineStr">
        <is>
          <t xml:space="preserve">Compilatio astronomica : </t>
        </is>
      </c>
      <c r="O540" t="inlineStr">
        <is>
          <t xml:space="preserve"> : </t>
        </is>
      </c>
      <c r="P540" t="inlineStr">
        <is>
          <t>X</t>
        </is>
      </c>
      <c r="Q540" t="inlineStr"/>
      <c r="R540" t="inlineStr">
        <is>
          <t>Pergamentband</t>
        </is>
      </c>
      <c r="S540" t="inlineStr">
        <is>
          <t>bis 25 cm</t>
        </is>
      </c>
      <c r="T540" t="inlineStr">
        <is>
          <t>80° bis 110°, einseitig digitalisierbar?</t>
        </is>
      </c>
      <c r="U540" t="inlineStr">
        <is>
          <t>hohler Rücken</t>
        </is>
      </c>
      <c r="V540" t="inlineStr"/>
      <c r="W540" t="inlineStr">
        <is>
          <t>Kassette</t>
        </is>
      </c>
      <c r="X540" t="inlineStr">
        <is>
          <t>Nein</t>
        </is>
      </c>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t>
        </is>
      </c>
      <c r="B541" t="b">
        <v>1</v>
      </c>
      <c r="C541" t="inlineStr"/>
      <c r="D541" t="inlineStr"/>
      <c r="E541" t="n">
        <v>532</v>
      </c>
      <c r="F541">
        <f>HYPERLINK("https://portal.dnb.de/opac.htm?method=simpleSearch&amp;cqlMode=true&amp;query=idn%3D1066967229", "Portal")</f>
        <v/>
      </c>
      <c r="G541" t="inlineStr">
        <is>
          <t>Aaf</t>
        </is>
      </c>
      <c r="H541" t="inlineStr">
        <is>
          <t>L-1470-315497491</t>
        </is>
      </c>
      <c r="I541" t="inlineStr">
        <is>
          <t>1066967229</t>
        </is>
      </c>
      <c r="J541" t="inlineStr">
        <is>
          <t>II 54,1a</t>
        </is>
      </c>
      <c r="K541" t="inlineStr">
        <is>
          <t>II 54,1a</t>
        </is>
      </c>
      <c r="L541" t="inlineStr">
        <is>
          <t>II 54,1a</t>
        </is>
      </c>
      <c r="M541" t="inlineStr"/>
      <c r="N541" t="inlineStr">
        <is>
          <t xml:space="preserve">De bello Italico adversus Gothos : </t>
        </is>
      </c>
      <c r="O541" t="inlineStr">
        <is>
          <t xml:space="preserve"> : </t>
        </is>
      </c>
      <c r="P541" t="inlineStr">
        <is>
          <t>X</t>
        </is>
      </c>
      <c r="Q541" t="inlineStr"/>
      <c r="R541" t="inlineStr">
        <is>
          <t>Ledereinband, Schließen, erhabene Buchbeschläge</t>
        </is>
      </c>
      <c r="S541" t="inlineStr">
        <is>
          <t>bis 35 cm</t>
        </is>
      </c>
      <c r="T541" t="inlineStr">
        <is>
          <t>80° bis 110°, einseitig digitalisierbar?</t>
        </is>
      </c>
      <c r="U541" t="inlineStr">
        <is>
          <t>hohler Rücken</t>
        </is>
      </c>
      <c r="V541" t="inlineStr"/>
      <c r="W541" t="inlineStr">
        <is>
          <t>Kassette</t>
        </is>
      </c>
      <c r="X541" t="inlineStr">
        <is>
          <t>Nein</t>
        </is>
      </c>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t>
        </is>
      </c>
      <c r="B542" t="b">
        <v>1</v>
      </c>
      <c r="C542" t="inlineStr"/>
      <c r="D542" t="inlineStr"/>
      <c r="E542" t="n">
        <v>533</v>
      </c>
      <c r="F542">
        <f>HYPERLINK("https://portal.dnb.de/opac.htm?method=simpleSearch&amp;cqlMode=true&amp;query=idn%3D1072098903", "Portal")</f>
        <v/>
      </c>
      <c r="G542" t="inlineStr">
        <is>
          <t>Aa</t>
        </is>
      </c>
      <c r="H542" t="inlineStr">
        <is>
          <t>L-1481-326902260</t>
        </is>
      </c>
      <c r="I542" t="inlineStr">
        <is>
          <t>1072098903</t>
        </is>
      </c>
      <c r="J542" t="inlineStr">
        <is>
          <t>II 56,1a</t>
        </is>
      </c>
      <c r="K542" t="inlineStr">
        <is>
          <t>II 56,1a</t>
        </is>
      </c>
      <c r="L542" t="inlineStr">
        <is>
          <t>II 56,1a</t>
        </is>
      </c>
      <c r="M542" t="inlineStr"/>
      <c r="N542" t="inlineStr">
        <is>
          <t xml:space="preserve">Ars praedicandi : </t>
        </is>
      </c>
      <c r="O542" t="inlineStr">
        <is>
          <t xml:space="preserve"> : </t>
        </is>
      </c>
      <c r="P542" t="inlineStr">
        <is>
          <t>X</t>
        </is>
      </c>
      <c r="Q542" t="inlineStr"/>
      <c r="R542" t="inlineStr">
        <is>
          <t>Halbpergamentband</t>
        </is>
      </c>
      <c r="S542" t="inlineStr">
        <is>
          <t>bis 35 cm</t>
        </is>
      </c>
      <c r="T542" t="inlineStr">
        <is>
          <t>180°</t>
        </is>
      </c>
      <c r="U542" t="inlineStr">
        <is>
          <t>hohler Rücken</t>
        </is>
      </c>
      <c r="V542" t="inlineStr"/>
      <c r="W542" t="inlineStr">
        <is>
          <t>Kassette</t>
        </is>
      </c>
      <c r="X542" t="inlineStr">
        <is>
          <t>Nein</t>
        </is>
      </c>
      <c r="Y542" t="n">
        <v>0</v>
      </c>
      <c r="Z542" t="inlineStr"/>
      <c r="AA542" t="inlineStr">
        <is>
          <t>Band + alter Einband in einer Kassette</t>
        </is>
      </c>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t>
        </is>
      </c>
      <c r="B543" t="b">
        <v>1</v>
      </c>
      <c r="C543" t="inlineStr"/>
      <c r="D543" t="inlineStr"/>
      <c r="E543" t="n">
        <v>534</v>
      </c>
      <c r="F543">
        <f>HYPERLINK("https://portal.dnb.de/opac.htm?method=simpleSearch&amp;cqlMode=true&amp;query=idn%3D1072099748", "Portal")</f>
        <v/>
      </c>
      <c r="G543" t="inlineStr">
        <is>
          <t>Aa</t>
        </is>
      </c>
      <c r="H543" t="inlineStr">
        <is>
          <t>L-1491-326902686</t>
        </is>
      </c>
      <c r="I543" t="inlineStr">
        <is>
          <t>1072099748</t>
        </is>
      </c>
      <c r="J543" t="inlineStr">
        <is>
          <t>II 61,1a</t>
        </is>
      </c>
      <c r="K543" t="inlineStr">
        <is>
          <t>II 61,1a</t>
        </is>
      </c>
      <c r="L543" t="inlineStr">
        <is>
          <t>II 61,1a</t>
        </is>
      </c>
      <c r="M543" t="inlineStr"/>
      <c r="N543" t="inlineStr">
        <is>
          <t xml:space="preserve">De instantia : </t>
        </is>
      </c>
      <c r="O543" t="inlineStr">
        <is>
          <t xml:space="preserve"> : </t>
        </is>
      </c>
      <c r="P543" t="inlineStr">
        <is>
          <t>X</t>
        </is>
      </c>
      <c r="Q543" t="inlineStr"/>
      <c r="R543" t="inlineStr">
        <is>
          <t>Halbledereinband</t>
        </is>
      </c>
      <c r="S543" t="inlineStr">
        <is>
          <t>bis 42 cm</t>
        </is>
      </c>
      <c r="T543" t="inlineStr">
        <is>
          <t>180°</t>
        </is>
      </c>
      <c r="U543" t="inlineStr">
        <is>
          <t>hohler Rücken</t>
        </is>
      </c>
      <c r="V543" t="inlineStr"/>
      <c r="W543" t="inlineStr">
        <is>
          <t>Kassette</t>
        </is>
      </c>
      <c r="X543" t="inlineStr">
        <is>
          <t>Nein</t>
        </is>
      </c>
      <c r="Y543" t="n">
        <v>0</v>
      </c>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t>
        </is>
      </c>
      <c r="B544" t="b">
        <v>1</v>
      </c>
      <c r="C544" t="inlineStr"/>
      <c r="D544" t="inlineStr"/>
      <c r="E544" t="n">
        <v>535</v>
      </c>
      <c r="F544">
        <f>HYPERLINK("https://portal.dnb.de/opac.htm?method=simpleSearch&amp;cqlMode=true&amp;query=idn%3D1066966001", "Portal")</f>
        <v/>
      </c>
      <c r="G544" t="inlineStr">
        <is>
          <t>Aaf</t>
        </is>
      </c>
      <c r="H544" t="inlineStr">
        <is>
          <t>L-1480-315496304</t>
        </is>
      </c>
      <c r="I544" t="inlineStr">
        <is>
          <t>1066966001</t>
        </is>
      </c>
      <c r="J544" t="inlineStr">
        <is>
          <t>II 62,1a</t>
        </is>
      </c>
      <c r="K544" t="inlineStr">
        <is>
          <t>II 62,1a</t>
        </is>
      </c>
      <c r="L544" t="inlineStr">
        <is>
          <t>II 62,1a</t>
        </is>
      </c>
      <c r="M544" t="inlineStr"/>
      <c r="N544" t="inlineStr">
        <is>
          <t xml:space="preserve">De proprietatibus rerum : </t>
        </is>
      </c>
      <c r="O544" t="inlineStr">
        <is>
          <t xml:space="preserve"> : </t>
        </is>
      </c>
      <c r="P544" t="inlineStr">
        <is>
          <t>X</t>
        </is>
      </c>
      <c r="Q544" t="inlineStr"/>
      <c r="R544" t="inlineStr">
        <is>
          <t>Pergamentband, Schließen, erhabene Buchbeschläge</t>
        </is>
      </c>
      <c r="S544" t="inlineStr">
        <is>
          <t>bis 35 cm</t>
        </is>
      </c>
      <c r="T544" t="inlineStr">
        <is>
          <t>80° bis 110°, einseitig digitalisierbar?</t>
        </is>
      </c>
      <c r="U544" t="inlineStr">
        <is>
          <t>hohler Rücken, welliger Buchblock, erhabene Illuminationen</t>
        </is>
      </c>
      <c r="V544" t="inlineStr">
        <is>
          <t>nicht auflegen</t>
        </is>
      </c>
      <c r="W544" t="inlineStr">
        <is>
          <t>Kassette</t>
        </is>
      </c>
      <c r="X544" t="inlineStr">
        <is>
          <t>Nein</t>
        </is>
      </c>
      <c r="Y544" t="n">
        <v>0</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t>
        </is>
      </c>
      <c r="B545" t="b">
        <v>1</v>
      </c>
      <c r="C545" t="inlineStr"/>
      <c r="D545" t="inlineStr"/>
      <c r="E545" t="n">
        <v>536</v>
      </c>
      <c r="F545">
        <f>HYPERLINK("https://portal.dnb.de/opac.htm?method=simpleSearch&amp;cqlMode=true&amp;query=idn%3D1066969507", "Portal")</f>
        <v/>
      </c>
      <c r="G545" t="inlineStr">
        <is>
          <t>Aa</t>
        </is>
      </c>
      <c r="H545" t="inlineStr">
        <is>
          <t>L-1482-315499834</t>
        </is>
      </c>
      <c r="I545" t="inlineStr">
        <is>
          <t>1066969507</t>
        </is>
      </c>
      <c r="J545" t="inlineStr">
        <is>
          <t>II 62,2a</t>
        </is>
      </c>
      <c r="K545" t="inlineStr">
        <is>
          <t>II 62,2a</t>
        </is>
      </c>
      <c r="L545" t="inlineStr">
        <is>
          <t>II 62,2a</t>
        </is>
      </c>
      <c r="M545" t="inlineStr"/>
      <c r="N545" t="inlineStr">
        <is>
          <t xml:space="preserve">Digestum novum : </t>
        </is>
      </c>
      <c r="O545" t="inlineStr">
        <is>
          <t xml:space="preserve"> : </t>
        </is>
      </c>
      <c r="P545" t="inlineStr"/>
      <c r="Q545" t="inlineStr"/>
      <c r="R545" t="inlineStr"/>
      <c r="S545" t="inlineStr"/>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n">
        <v>0</v>
      </c>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t>
        </is>
      </c>
      <c r="B546" t="b">
        <v>1</v>
      </c>
      <c r="C546" t="inlineStr"/>
      <c r="D546" t="inlineStr"/>
      <c r="E546" t="n">
        <v>537</v>
      </c>
      <c r="F546">
        <f>HYPERLINK("https://portal.dnb.de/opac.htm?method=simpleSearch&amp;cqlMode=true&amp;query=idn%3D1066972982", "Portal")</f>
        <v/>
      </c>
      <c r="G546" t="inlineStr">
        <is>
          <t>Aaf</t>
        </is>
      </c>
      <c r="H546" t="inlineStr">
        <is>
          <t>L-1497-31550336X</t>
        </is>
      </c>
      <c r="I546" t="inlineStr">
        <is>
          <t>1066972982</t>
        </is>
      </c>
      <c r="J546" t="inlineStr">
        <is>
          <t>II 62,3a</t>
        </is>
      </c>
      <c r="K546" t="inlineStr">
        <is>
          <t>II 62,3a</t>
        </is>
      </c>
      <c r="L546" t="inlineStr">
        <is>
          <t>II 62,3a</t>
        </is>
      </c>
      <c r="M546" t="inlineStr"/>
      <c r="N546" t="inlineStr">
        <is>
          <t xml:space="preserve">Palinurus : </t>
        </is>
      </c>
      <c r="O546" t="inlineStr">
        <is>
          <t xml:space="preserve"> : </t>
        </is>
      </c>
      <c r="P546" t="inlineStr">
        <is>
          <t>X</t>
        </is>
      </c>
      <c r="Q546" t="inlineStr"/>
      <c r="R546" t="inlineStr">
        <is>
          <t>Ledereinband, Schließen, erhabene Buchbeschläge</t>
        </is>
      </c>
      <c r="S546" t="inlineStr">
        <is>
          <t>bis 25 cm</t>
        </is>
      </c>
      <c r="T546" t="inlineStr">
        <is>
          <t>80° bis 110°, einseitig digitalisierbar?</t>
        </is>
      </c>
      <c r="U546" t="inlineStr">
        <is>
          <t>hohler Rücken, welliger Buchblock</t>
        </is>
      </c>
      <c r="V546" t="inlineStr"/>
      <c r="W546" t="inlineStr">
        <is>
          <t>Kassette</t>
        </is>
      </c>
      <c r="X546" t="inlineStr">
        <is>
          <t>Nein</t>
        </is>
      </c>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t>
        </is>
      </c>
      <c r="B547" t="b">
        <v>1</v>
      </c>
      <c r="C547" t="inlineStr"/>
      <c r="D547" t="inlineStr"/>
      <c r="E547" t="n">
        <v>538</v>
      </c>
      <c r="F547">
        <f>HYPERLINK("https://portal.dnb.de/opac.htm?method=simpleSearch&amp;cqlMode=true&amp;query=idn%3D1072100134", "Portal")</f>
        <v/>
      </c>
      <c r="G547" t="inlineStr">
        <is>
          <t>Aa</t>
        </is>
      </c>
      <c r="H547" t="inlineStr">
        <is>
          <t>L-1496-326902872</t>
        </is>
      </c>
      <c r="I547" t="inlineStr">
        <is>
          <t>1072100134</t>
        </is>
      </c>
      <c r="J547" t="inlineStr">
        <is>
          <t>II 62,4a</t>
        </is>
      </c>
      <c r="K547" t="inlineStr">
        <is>
          <t>II 62,4a</t>
        </is>
      </c>
      <c r="L547" t="inlineStr">
        <is>
          <t>II 62,4a</t>
        </is>
      </c>
      <c r="M547" t="inlineStr"/>
      <c r="N547" t="inlineStr">
        <is>
          <t xml:space="preserve">Summa de ecclesia : </t>
        </is>
      </c>
      <c r="O547" t="inlineStr">
        <is>
          <t xml:space="preserve"> : </t>
        </is>
      </c>
      <c r="P547" t="inlineStr">
        <is>
          <t>X</t>
        </is>
      </c>
      <c r="Q547" t="inlineStr"/>
      <c r="R547" t="inlineStr">
        <is>
          <t>Ledereinband, Schließen, erhabene Buchbeschläge</t>
        </is>
      </c>
      <c r="S547" t="inlineStr">
        <is>
          <t>bis 35 cm</t>
        </is>
      </c>
      <c r="T547" t="inlineStr">
        <is>
          <t>80° bis 110°, einseitig digitalisierbar?</t>
        </is>
      </c>
      <c r="U547" t="inlineStr">
        <is>
          <t>fester Rücken mit Schmuckprägung, erhabene Illuminationen</t>
        </is>
      </c>
      <c r="V547" t="inlineStr">
        <is>
          <t>nicht auflegen</t>
        </is>
      </c>
      <c r="W547" t="inlineStr">
        <is>
          <t>Kassette</t>
        </is>
      </c>
      <c r="X547" t="inlineStr">
        <is>
          <t>Nein</t>
        </is>
      </c>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t>
        </is>
      </c>
      <c r="B548" t="b">
        <v>1</v>
      </c>
      <c r="C548" t="inlineStr"/>
      <c r="D548" t="inlineStr"/>
      <c r="E548" t="n">
        <v>539</v>
      </c>
      <c r="F548">
        <f>HYPERLINK("https://portal.dnb.de/opac.htm?method=simpleSearch&amp;cqlMode=true&amp;query=idn%3D1066965854", "Portal")</f>
        <v/>
      </c>
      <c r="G548" t="inlineStr">
        <is>
          <t>Aaf</t>
        </is>
      </c>
      <c r="H548" t="inlineStr">
        <is>
          <t>L-1497-315496126</t>
        </is>
      </c>
      <c r="I548" t="inlineStr">
        <is>
          <t>1066965854</t>
        </is>
      </c>
      <c r="J548" t="inlineStr">
        <is>
          <t>II 62,4b</t>
        </is>
      </c>
      <c r="K548" t="inlineStr">
        <is>
          <t>II 62,4b</t>
        </is>
      </c>
      <c r="L548" t="inlineStr">
        <is>
          <t>II 62,4b</t>
        </is>
      </c>
      <c r="M548" t="inlineStr"/>
      <c r="N548" t="inlineStr">
        <is>
          <t xml:space="preserve">Opus quaestionum : </t>
        </is>
      </c>
      <c r="O548" t="inlineStr">
        <is>
          <t xml:space="preserve"> : </t>
        </is>
      </c>
      <c r="P548" t="inlineStr">
        <is>
          <t>X</t>
        </is>
      </c>
      <c r="Q548" t="inlineStr"/>
      <c r="R548" t="inlineStr">
        <is>
          <t>Halbledereinband</t>
        </is>
      </c>
      <c r="S548" t="inlineStr">
        <is>
          <t>bis 35 cm</t>
        </is>
      </c>
      <c r="T548" t="inlineStr">
        <is>
          <t>80° bis 110°, einseitig digitalisierbar?</t>
        </is>
      </c>
      <c r="U548" t="inlineStr">
        <is>
          <t>fester Rücken mit Schmuckprägung, welliger Buchblock, erhabene Illuminationen</t>
        </is>
      </c>
      <c r="V548" t="inlineStr">
        <is>
          <t>nicht auflegen</t>
        </is>
      </c>
      <c r="W548" t="inlineStr">
        <is>
          <t>Kassette</t>
        </is>
      </c>
      <c r="X548" t="inlineStr">
        <is>
          <t>Nein</t>
        </is>
      </c>
      <c r="Y548" t="n">
        <v>0</v>
      </c>
      <c r="Z548" t="inlineStr"/>
      <c r="AA548" t="inlineStr">
        <is>
          <t>Schuber in Kassette</t>
        </is>
      </c>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t>
        </is>
      </c>
      <c r="B549" t="b">
        <v>1</v>
      </c>
      <c r="C549" t="inlineStr"/>
      <c r="D549" t="inlineStr"/>
      <c r="E549" t="n">
        <v>540</v>
      </c>
      <c r="F549">
        <f>HYPERLINK("https://portal.dnb.de/opac.htm?method=simpleSearch&amp;cqlMode=true&amp;query=idn%3D1072323095", "Portal")</f>
        <v/>
      </c>
      <c r="G549" t="inlineStr">
        <is>
          <t>Aa</t>
        </is>
      </c>
      <c r="H549" t="inlineStr">
        <is>
          <t>L-1499-327281782</t>
        </is>
      </c>
      <c r="I549" t="inlineStr">
        <is>
          <t>1072323095</t>
        </is>
      </c>
      <c r="J549" t="inlineStr">
        <is>
          <t>II 62,5a</t>
        </is>
      </c>
      <c r="K549" t="inlineStr">
        <is>
          <t>II 62,5a</t>
        </is>
      </c>
      <c r="L549" t="inlineStr">
        <is>
          <t>II 62,5a</t>
        </is>
      </c>
      <c r="M549" t="inlineStr"/>
      <c r="N549" t="inlineStr">
        <is>
          <t xml:space="preserve">Satyrae : </t>
        </is>
      </c>
      <c r="O549" t="inlineStr">
        <is>
          <t xml:space="preserve"> : </t>
        </is>
      </c>
      <c r="P549" t="inlineStr">
        <is>
          <t>X</t>
        </is>
      </c>
      <c r="Q549" t="inlineStr"/>
      <c r="R549" t="inlineStr">
        <is>
          <t>Gewebeeinband, Schließen, erhabene Buchbeschläge</t>
        </is>
      </c>
      <c r="S549" t="inlineStr">
        <is>
          <t>bis 25 cm</t>
        </is>
      </c>
      <c r="T549" t="inlineStr">
        <is>
          <t>180°</t>
        </is>
      </c>
      <c r="U549" t="inlineStr">
        <is>
          <t>hohler Rücken, welliger Buchblock</t>
        </is>
      </c>
      <c r="V549" t="inlineStr"/>
      <c r="W549" t="inlineStr">
        <is>
          <t>Kassette</t>
        </is>
      </c>
      <c r="X549" t="inlineStr">
        <is>
          <t>Nein</t>
        </is>
      </c>
      <c r="Y549" t="n">
        <v>0</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t>
        </is>
      </c>
      <c r="B550" t="b">
        <v>1</v>
      </c>
      <c r="C550" t="inlineStr"/>
      <c r="D550" t="inlineStr"/>
      <c r="E550" t="n">
        <v>543</v>
      </c>
      <c r="F550">
        <f>HYPERLINK("https://portal.dnb.de/opac.htm?method=simpleSearch&amp;cqlMode=true&amp;query=idn%3D1066970696", "Portal")</f>
        <v/>
      </c>
      <c r="G550" t="inlineStr">
        <is>
          <t>Aaf</t>
        </is>
      </c>
      <c r="H550" t="inlineStr">
        <is>
          <t>L-1475-315501049</t>
        </is>
      </c>
      <c r="I550" t="inlineStr">
        <is>
          <t>1066970696</t>
        </is>
      </c>
      <c r="J550" t="inlineStr">
        <is>
          <t>II 63,2a</t>
        </is>
      </c>
      <c r="K550" t="inlineStr">
        <is>
          <t>II 63,2a</t>
        </is>
      </c>
      <c r="L550" t="inlineStr">
        <is>
          <t>II 63,2a</t>
        </is>
      </c>
      <c r="M550" t="inlineStr"/>
      <c r="N550" t="inlineStr">
        <is>
          <t xml:space="preserve">Regula monachorum ex epistolis Hieronymi collecta : </t>
        </is>
      </c>
      <c r="O550" t="inlineStr">
        <is>
          <t xml:space="preserve"> : </t>
        </is>
      </c>
      <c r="P550" t="inlineStr">
        <is>
          <t>X</t>
        </is>
      </c>
      <c r="Q550" t="inlineStr"/>
      <c r="R550" t="inlineStr">
        <is>
          <t>Halbledereinband</t>
        </is>
      </c>
      <c r="S550" t="inlineStr">
        <is>
          <t>bis 25 cm</t>
        </is>
      </c>
      <c r="T550" t="inlineStr">
        <is>
          <t>80° bis 110°, einseitig digitalisierbar?</t>
        </is>
      </c>
      <c r="U550" t="inlineStr">
        <is>
          <t>hohler Rücken, welliger Buchblock, erhabene Illuminationen</t>
        </is>
      </c>
      <c r="V550" t="inlineStr">
        <is>
          <t>nicht auflegen</t>
        </is>
      </c>
      <c r="W550" t="inlineStr">
        <is>
          <t>Kassette</t>
        </is>
      </c>
      <c r="X550" t="inlineStr">
        <is>
          <t>Nein</t>
        </is>
      </c>
      <c r="Y550" t="n">
        <v>0</v>
      </c>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t>
        </is>
      </c>
      <c r="B551" t="b">
        <v>1</v>
      </c>
      <c r="C551" t="inlineStr"/>
      <c r="D551" t="inlineStr"/>
      <c r="E551" t="n">
        <v>544</v>
      </c>
      <c r="F551">
        <f>HYPERLINK("https://portal.dnb.de/opac.htm?method=simpleSearch&amp;cqlMode=true&amp;query=idn%3D1072100355", "Portal")</f>
        <v/>
      </c>
      <c r="G551" t="inlineStr">
        <is>
          <t>Aa</t>
        </is>
      </c>
      <c r="H551" t="inlineStr">
        <is>
          <t>L-1479-326902988</t>
        </is>
      </c>
      <c r="I551" t="inlineStr">
        <is>
          <t>1072100355</t>
        </is>
      </c>
      <c r="J551" t="inlineStr">
        <is>
          <t>II 63,2b</t>
        </is>
      </c>
      <c r="K551" t="inlineStr">
        <is>
          <t>II 63,2b</t>
        </is>
      </c>
      <c r="L551" t="inlineStr">
        <is>
          <t>II 63,2b</t>
        </is>
      </c>
      <c r="M551" t="inlineStr"/>
      <c r="N551" t="inlineStr">
        <is>
          <t xml:space="preserve">Sommola di pacifica coscienza : </t>
        </is>
      </c>
      <c r="O551" t="inlineStr">
        <is>
          <t xml:space="preserve"> : </t>
        </is>
      </c>
      <c r="P551" t="inlineStr">
        <is>
          <t>X</t>
        </is>
      </c>
      <c r="Q551" t="inlineStr"/>
      <c r="R551" t="inlineStr">
        <is>
          <t>Ledereinband</t>
        </is>
      </c>
      <c r="S551" t="inlineStr">
        <is>
          <t>bis 25 cm</t>
        </is>
      </c>
      <c r="T551" t="inlineStr">
        <is>
          <t>80° bis 110°, einseitig digitalisierbar?</t>
        </is>
      </c>
      <c r="U551" t="inlineStr">
        <is>
          <t>fester Rücken mit Schmuckprägung, welliger Buchblock, erhabene Illuminationen</t>
        </is>
      </c>
      <c r="V551" t="inlineStr">
        <is>
          <t>nicht auflegen</t>
        </is>
      </c>
      <c r="W551" t="inlineStr">
        <is>
          <t>Kassette</t>
        </is>
      </c>
      <c r="X551" t="inlineStr">
        <is>
          <t>Nein</t>
        </is>
      </c>
      <c r="Y551" t="n">
        <v>0</v>
      </c>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t>
        </is>
      </c>
      <c r="B552" t="b">
        <v>1</v>
      </c>
      <c r="C552" t="inlineStr"/>
      <c r="D552" t="inlineStr"/>
      <c r="E552" t="n">
        <v>545</v>
      </c>
      <c r="F552">
        <f>HYPERLINK("https://portal.dnb.de/opac.htm?method=simpleSearch&amp;cqlMode=true&amp;query=idn%3D1072101181", "Portal")</f>
        <v/>
      </c>
      <c r="G552" t="inlineStr">
        <is>
          <t>Aa</t>
        </is>
      </c>
      <c r="H552" t="inlineStr">
        <is>
          <t>L-1477-326903305</t>
        </is>
      </c>
      <c r="I552" t="inlineStr">
        <is>
          <t>1072101181</t>
        </is>
      </c>
      <c r="J552" t="inlineStr">
        <is>
          <t>II 63,2c</t>
        </is>
      </c>
      <c r="K552" t="inlineStr">
        <is>
          <t>II 63,2c</t>
        </is>
      </c>
      <c r="L552" t="inlineStr">
        <is>
          <t>II 63,2c</t>
        </is>
      </c>
      <c r="M552" t="inlineStr"/>
      <c r="N552" t="inlineStr">
        <is>
          <t xml:space="preserve">De bello Hispano : </t>
        </is>
      </c>
      <c r="O552" t="inlineStr">
        <is>
          <t xml:space="preserve"> : </t>
        </is>
      </c>
      <c r="P552" t="inlineStr">
        <is>
          <t>X</t>
        </is>
      </c>
      <c r="Q552" t="inlineStr">
        <is>
          <t>1800,00 EUR</t>
        </is>
      </c>
      <c r="R552" t="inlineStr">
        <is>
          <t>Ledereinband</t>
        </is>
      </c>
      <c r="S552" t="inlineStr">
        <is>
          <t>bis 25 cm</t>
        </is>
      </c>
      <c r="T552" t="inlineStr">
        <is>
          <t>80° bis 110°, einseitig digitalisierbar?</t>
        </is>
      </c>
      <c r="U552" t="inlineStr">
        <is>
          <t>fester Rücken mit Schmuckprägung, welliger Buchblock</t>
        </is>
      </c>
      <c r="V552" t="inlineStr"/>
      <c r="W552" t="inlineStr">
        <is>
          <t>Kassette</t>
        </is>
      </c>
      <c r="X552" t="inlineStr">
        <is>
          <t>Nein</t>
        </is>
      </c>
      <c r="Y552" t="n">
        <v>0</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t>
        </is>
      </c>
      <c r="B553" t="b">
        <v>1</v>
      </c>
      <c r="C553" t="inlineStr"/>
      <c r="D553" t="inlineStr"/>
      <c r="E553" t="n">
        <v>546</v>
      </c>
      <c r="F553">
        <f>HYPERLINK("https://portal.dnb.de/opac.htm?method=simpleSearch&amp;cqlMode=true&amp;query=idn%3D1066971374", "Portal")</f>
        <v/>
      </c>
      <c r="G553" t="inlineStr">
        <is>
          <t>Aaf</t>
        </is>
      </c>
      <c r="H553" t="inlineStr">
        <is>
          <t>L-1476-31550174X</t>
        </is>
      </c>
      <c r="I553" t="inlineStr">
        <is>
          <t>1066971374</t>
        </is>
      </c>
      <c r="J553" t="inlineStr">
        <is>
          <t>II 63,3a</t>
        </is>
      </c>
      <c r="K553" t="inlineStr">
        <is>
          <t>II 63,3a</t>
        </is>
      </c>
      <c r="L553" t="inlineStr">
        <is>
          <t>II 63,3a</t>
        </is>
      </c>
      <c r="M553" t="inlineStr"/>
      <c r="N553" t="inlineStr">
        <is>
          <t xml:space="preserve">Expositio librorum naturalium Aristotelis : </t>
        </is>
      </c>
      <c r="O553" t="inlineStr">
        <is>
          <t xml:space="preserve"> : </t>
        </is>
      </c>
      <c r="P553" t="inlineStr">
        <is>
          <t>X</t>
        </is>
      </c>
      <c r="Q553" t="inlineStr"/>
      <c r="R553" t="inlineStr">
        <is>
          <t>Halbpergamentband</t>
        </is>
      </c>
      <c r="S553" t="inlineStr">
        <is>
          <t>bis 35 cm</t>
        </is>
      </c>
      <c r="T553" t="inlineStr">
        <is>
          <t>180°</t>
        </is>
      </c>
      <c r="U553" t="inlineStr">
        <is>
          <t>hohler Rücken, welliger Buchblock</t>
        </is>
      </c>
      <c r="V553" t="inlineStr"/>
      <c r="W553" t="inlineStr">
        <is>
          <t>Kassette</t>
        </is>
      </c>
      <c r="X553" t="inlineStr">
        <is>
          <t>Nein</t>
        </is>
      </c>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t>
        </is>
      </c>
      <c r="B554" t="b">
        <v>1</v>
      </c>
      <c r="C554" t="inlineStr"/>
      <c r="D554" t="inlineStr"/>
      <c r="E554" t="n">
        <v>547</v>
      </c>
      <c r="F554">
        <f>HYPERLINK("https://portal.dnb.de/opac.htm?method=simpleSearch&amp;cqlMode=true&amp;query=idn%3D1066965943", "Portal")</f>
        <v/>
      </c>
      <c r="G554" t="inlineStr">
        <is>
          <t>Aaf</t>
        </is>
      </c>
      <c r="H554" t="inlineStr">
        <is>
          <t>L-1476-315496231</t>
        </is>
      </c>
      <c r="I554" t="inlineStr">
        <is>
          <t>1066965943</t>
        </is>
      </c>
      <c r="J554" t="inlineStr">
        <is>
          <t>II 63,3b</t>
        </is>
      </c>
      <c r="K554" t="inlineStr">
        <is>
          <t>II 63,3b</t>
        </is>
      </c>
      <c r="L554" t="inlineStr">
        <is>
          <t>II 63,3b</t>
        </is>
      </c>
      <c r="M554" t="inlineStr"/>
      <c r="N554" t="inlineStr">
        <is>
          <t xml:space="preserve">Super I. et II. Decretalium : </t>
        </is>
      </c>
      <c r="O554" t="inlineStr">
        <is>
          <t xml:space="preserve"> : </t>
        </is>
      </c>
      <c r="P554" t="inlineStr"/>
      <c r="Q554" t="inlineStr"/>
      <c r="R554" t="inlineStr"/>
      <c r="S554" t="inlineStr"/>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n">
        <v>0</v>
      </c>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t>
        </is>
      </c>
      <c r="B555" t="b">
        <v>1</v>
      </c>
      <c r="C555" t="inlineStr"/>
      <c r="D555" t="inlineStr"/>
      <c r="E555" t="n">
        <v>548</v>
      </c>
      <c r="F555">
        <f>HYPERLINK("https://portal.dnb.de/opac.htm?method=simpleSearch&amp;cqlMode=true&amp;query=idn%3D1066965544", "Portal")</f>
        <v/>
      </c>
      <c r="G555" t="inlineStr">
        <is>
          <t>Aaf</t>
        </is>
      </c>
      <c r="H555" t="inlineStr">
        <is>
          <t>L-1483-315495774</t>
        </is>
      </c>
      <c r="I555" t="inlineStr">
        <is>
          <t>1066965544</t>
        </is>
      </c>
      <c r="J555" t="inlineStr">
        <is>
          <t>II 63,3c</t>
        </is>
      </c>
      <c r="K555" t="inlineStr">
        <is>
          <t>II 63,3c</t>
        </is>
      </c>
      <c r="L555" t="inlineStr">
        <is>
          <t>II 63,3c</t>
        </is>
      </c>
      <c r="M555" t="inlineStr"/>
      <c r="N555" t="inlineStr">
        <is>
          <t xml:space="preserve">Breviarium practicae : </t>
        </is>
      </c>
      <c r="O555" t="inlineStr">
        <is>
          <t xml:space="preserve"> : </t>
        </is>
      </c>
      <c r="P555" t="inlineStr">
        <is>
          <t>X</t>
        </is>
      </c>
      <c r="Q555" t="inlineStr"/>
      <c r="R555" t="inlineStr">
        <is>
          <t>Ledereinband, Schließen, erhabene Buchbeschläge</t>
        </is>
      </c>
      <c r="S555" t="inlineStr">
        <is>
          <t>bis 35 cm</t>
        </is>
      </c>
      <c r="T555" t="inlineStr">
        <is>
          <t>80° bis 110°, einseitig digitalisierbar?</t>
        </is>
      </c>
      <c r="U555" t="inlineStr">
        <is>
          <t>hohler Rücken, welliger Buchblock</t>
        </is>
      </c>
      <c r="V555" t="inlineStr"/>
      <c r="W555" t="inlineStr">
        <is>
          <t>Kassette</t>
        </is>
      </c>
      <c r="X555" t="inlineStr">
        <is>
          <t>Nein</t>
        </is>
      </c>
      <c r="Y555" t="n">
        <v>1</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t>
        </is>
      </c>
      <c r="B556" t="b">
        <v>1</v>
      </c>
      <c r="C556" t="inlineStr"/>
      <c r="D556" t="inlineStr"/>
      <c r="E556" t="n">
        <v>549</v>
      </c>
      <c r="F556">
        <f>HYPERLINK("https://portal.dnb.de/opac.htm?method=simpleSearch&amp;cqlMode=true&amp;query=idn%3D1066966087", "Portal")</f>
        <v/>
      </c>
      <c r="G556" t="inlineStr">
        <is>
          <t>Aaf</t>
        </is>
      </c>
      <c r="H556" t="inlineStr">
        <is>
          <t>L-1478-31549638X</t>
        </is>
      </c>
      <c r="I556" t="inlineStr">
        <is>
          <t>1066966087</t>
        </is>
      </c>
      <c r="J556" t="inlineStr">
        <is>
          <t>II 63,4a</t>
        </is>
      </c>
      <c r="K556" t="inlineStr">
        <is>
          <t>II 63,4a</t>
        </is>
      </c>
      <c r="L556" t="inlineStr">
        <is>
          <t>II 63,4a</t>
        </is>
      </c>
      <c r="M556" t="inlineStr"/>
      <c r="N556" t="inlineStr">
        <is>
          <t xml:space="preserve">Confessionale : </t>
        </is>
      </c>
      <c r="O556" t="inlineStr">
        <is>
          <t xml:space="preserve"> : </t>
        </is>
      </c>
      <c r="P556" t="inlineStr">
        <is>
          <t>X</t>
        </is>
      </c>
      <c r="Q556" t="inlineStr"/>
      <c r="R556" t="inlineStr">
        <is>
          <t>Ledereinband, Schließen, erhabene Buchbeschläge</t>
        </is>
      </c>
      <c r="S556" t="inlineStr">
        <is>
          <t>bis 25 cm</t>
        </is>
      </c>
      <c r="T556" t="inlineStr">
        <is>
          <t>80° bis 110°, einseitig digitalisierbar?</t>
        </is>
      </c>
      <c r="U556" t="inlineStr">
        <is>
          <t>fester Rücken mit Schmuckprägung</t>
        </is>
      </c>
      <c r="V556" t="inlineStr"/>
      <c r="W556" t="inlineStr">
        <is>
          <t>Kassette</t>
        </is>
      </c>
      <c r="X556" t="inlineStr">
        <is>
          <t>Nein</t>
        </is>
      </c>
      <c r="Y556" t="n">
        <v>0</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t>
        </is>
      </c>
      <c r="B557" t="b">
        <v>1</v>
      </c>
      <c r="C557" t="inlineStr"/>
      <c r="D557" t="inlineStr"/>
      <c r="E557" t="n">
        <v>550</v>
      </c>
      <c r="F557">
        <f>HYPERLINK("https://portal.dnb.de/opac.htm?method=simpleSearch&amp;cqlMode=true&amp;query=idn%3D1072101475", "Portal")</f>
        <v/>
      </c>
      <c r="G557" t="inlineStr">
        <is>
          <t>Aa</t>
        </is>
      </c>
      <c r="H557" t="inlineStr">
        <is>
          <t>L-1482-326903461</t>
        </is>
      </c>
      <c r="I557" t="inlineStr">
        <is>
          <t>1072101475</t>
        </is>
      </c>
      <c r="J557" t="inlineStr">
        <is>
          <t>II 63,5a</t>
        </is>
      </c>
      <c r="K557" t="inlineStr">
        <is>
          <t>II 63,5a</t>
        </is>
      </c>
      <c r="L557" t="inlineStr">
        <is>
          <t>II 63,5a</t>
        </is>
      </c>
      <c r="M557" t="inlineStr"/>
      <c r="N557" t="inlineStr">
        <is>
          <t xml:space="preserve">Statuta Mediolani. [Daran:] Tabula statutorum : </t>
        </is>
      </c>
      <c r="O557" t="inlineStr">
        <is>
          <t xml:space="preserve"> : </t>
        </is>
      </c>
      <c r="P557" t="inlineStr">
        <is>
          <t>X</t>
        </is>
      </c>
      <c r="Q557" t="inlineStr"/>
      <c r="R557" t="inlineStr">
        <is>
          <t>Ledereinband, Schließen, erhabene Buchbeschläge</t>
        </is>
      </c>
      <c r="S557" t="inlineStr">
        <is>
          <t>bis 35 cm</t>
        </is>
      </c>
      <c r="T557" t="inlineStr">
        <is>
          <t>80° bis 110°, einseitig digitalisierbar?</t>
        </is>
      </c>
      <c r="U557" t="inlineStr">
        <is>
          <t>fester Rücken mit Schmuckprägung, erhabene Illuminationen</t>
        </is>
      </c>
      <c r="V557" t="inlineStr">
        <is>
          <t>nicht auflegen</t>
        </is>
      </c>
      <c r="W557" t="inlineStr">
        <is>
          <t>Kassette</t>
        </is>
      </c>
      <c r="X557" t="inlineStr">
        <is>
          <t>Nein</t>
        </is>
      </c>
      <c r="Y557" t="n">
        <v>0</v>
      </c>
      <c r="Z557" t="inlineStr"/>
      <c r="AA557" t="inlineStr">
        <is>
          <t>alter Einband in extra Mappe</t>
        </is>
      </c>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n">
        <v>0</v>
      </c>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t>
        </is>
      </c>
      <c r="B558" t="b">
        <v>1</v>
      </c>
      <c r="C558" t="inlineStr"/>
      <c r="D558" t="inlineStr"/>
      <c r="E558" t="n">
        <v>551</v>
      </c>
      <c r="F558">
        <f>HYPERLINK("https://portal.dnb.de/opac.htm?method=simpleSearch&amp;cqlMode=true&amp;query=idn%3D1066971862", "Portal")</f>
        <v/>
      </c>
      <c r="G558" t="inlineStr">
        <is>
          <t>Aaf</t>
        </is>
      </c>
      <c r="H558" t="inlineStr">
        <is>
          <t>L-1489-315502266</t>
        </is>
      </c>
      <c r="I558" t="inlineStr">
        <is>
          <t>1066971862</t>
        </is>
      </c>
      <c r="J558" t="inlineStr">
        <is>
          <t>II 63,5b</t>
        </is>
      </c>
      <c r="K558" t="inlineStr">
        <is>
          <t>II 63,5b</t>
        </is>
      </c>
      <c r="L558" t="inlineStr">
        <is>
          <t>II 63,5b</t>
        </is>
      </c>
      <c r="M558" t="inlineStr"/>
      <c r="N558" t="inlineStr">
        <is>
          <t xml:space="preserve">Vita di S. Catarina da Siena : </t>
        </is>
      </c>
      <c r="O558" t="inlineStr">
        <is>
          <t xml:space="preserve"> : </t>
        </is>
      </c>
      <c r="P558" t="inlineStr">
        <is>
          <t>X</t>
        </is>
      </c>
      <c r="Q558" t="inlineStr"/>
      <c r="R558" t="inlineStr">
        <is>
          <t>Ledereinband</t>
        </is>
      </c>
      <c r="S558" t="inlineStr">
        <is>
          <t>bis 25 cm</t>
        </is>
      </c>
      <c r="T558" t="inlineStr">
        <is>
          <t>80° bis 110°, einseitig digitalisierbar?</t>
        </is>
      </c>
      <c r="U558" t="inlineStr">
        <is>
          <t>hohler Rücken</t>
        </is>
      </c>
      <c r="V558" t="inlineStr"/>
      <c r="W558" t="inlineStr">
        <is>
          <t>Kassette</t>
        </is>
      </c>
      <c r="X558" t="inlineStr">
        <is>
          <t>Nein</t>
        </is>
      </c>
      <c r="Y558" t="n">
        <v>1</v>
      </c>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n">
        <v>0</v>
      </c>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t>
        </is>
      </c>
      <c r="B559" t="b">
        <v>1</v>
      </c>
      <c r="C559" t="inlineStr"/>
      <c r="D559" t="inlineStr"/>
      <c r="E559" t="n">
        <v>552</v>
      </c>
      <c r="F559">
        <f>HYPERLINK("https://portal.dnb.de/opac.htm?method=simpleSearch&amp;cqlMode=true&amp;query=idn%3D1072105233", "Portal")</f>
        <v/>
      </c>
      <c r="G559" t="inlineStr">
        <is>
          <t>Aa</t>
        </is>
      </c>
      <c r="H559" t="inlineStr">
        <is>
          <t>L-1480-326905863</t>
        </is>
      </c>
      <c r="I559" t="inlineStr">
        <is>
          <t>1072105233</t>
        </is>
      </c>
      <c r="J559" t="inlineStr">
        <is>
          <t>II 63,6a</t>
        </is>
      </c>
      <c r="K559" t="inlineStr">
        <is>
          <t>II 63,6a</t>
        </is>
      </c>
      <c r="L559" t="inlineStr">
        <is>
          <t>II 63,6a</t>
        </is>
      </c>
      <c r="M559" t="inlineStr"/>
      <c r="N559" t="inlineStr">
        <is>
          <t xml:space="preserve">Vitae imperatorum, sive De vita illustrium virorum : </t>
        </is>
      </c>
      <c r="O559" t="inlineStr">
        <is>
          <t xml:space="preserve"> : </t>
        </is>
      </c>
      <c r="P559" t="inlineStr">
        <is>
          <t>X</t>
        </is>
      </c>
      <c r="Q559" t="inlineStr"/>
      <c r="R559" t="inlineStr">
        <is>
          <t>Halbledereinband, Schließen, erhabene Buchbeschläge</t>
        </is>
      </c>
      <c r="S559" t="inlineStr">
        <is>
          <t>bis 25 cm</t>
        </is>
      </c>
      <c r="T559" t="inlineStr">
        <is>
          <t>80° bis 110°, einseitig digitalisierbar?</t>
        </is>
      </c>
      <c r="U559" t="inlineStr">
        <is>
          <t>hohler Rücken</t>
        </is>
      </c>
      <c r="V559" t="inlineStr"/>
      <c r="W559" t="inlineStr">
        <is>
          <t>Kassette</t>
        </is>
      </c>
      <c r="X559" t="inlineStr">
        <is>
          <t>Nein</t>
        </is>
      </c>
      <c r="Y559" t="n">
        <v>0</v>
      </c>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t>
        </is>
      </c>
      <c r="B560" t="b">
        <v>1</v>
      </c>
      <c r="C560" t="inlineStr"/>
      <c r="D560" t="inlineStr"/>
      <c r="E560" t="n">
        <v>553</v>
      </c>
      <c r="F560">
        <f>HYPERLINK("https://portal.dnb.de/opac.htm?method=simpleSearch&amp;cqlMode=true&amp;query=idn%3D1066970939", "Portal")</f>
        <v/>
      </c>
      <c r="G560" t="inlineStr">
        <is>
          <t>Aaf</t>
        </is>
      </c>
      <c r="H560" t="inlineStr">
        <is>
          <t>L-1495-315501294</t>
        </is>
      </c>
      <c r="I560" t="inlineStr">
        <is>
          <t>1066970939</t>
        </is>
      </c>
      <c r="J560" t="inlineStr">
        <is>
          <t>II 63,8a</t>
        </is>
      </c>
      <c r="K560" t="inlineStr">
        <is>
          <t>II 63,8a</t>
        </is>
      </c>
      <c r="L560" t="inlineStr">
        <is>
          <t>II 63,8a</t>
        </is>
      </c>
      <c r="M560" t="inlineStr"/>
      <c r="N560" t="inlineStr">
        <is>
          <t xml:space="preserve">Sermonarium per quadragesimam de commendatione virtutum et reprobatione vitiorum : </t>
        </is>
      </c>
      <c r="O560" t="inlineStr">
        <is>
          <t xml:space="preserve"> : </t>
        </is>
      </c>
      <c r="P560" t="inlineStr">
        <is>
          <t>X</t>
        </is>
      </c>
      <c r="Q560" t="inlineStr"/>
      <c r="R560" t="inlineStr">
        <is>
          <t>Ledereinband, Schließen, erhabene Buchbeschläge</t>
        </is>
      </c>
      <c r="S560" t="inlineStr">
        <is>
          <t>bis 25 cm</t>
        </is>
      </c>
      <c r="T560" t="inlineStr">
        <is>
          <t>nur sehr geringer Öffnungswinkel</t>
        </is>
      </c>
      <c r="U560" t="inlineStr">
        <is>
          <t>hohler Rücken, Schrift bis in den Falz</t>
        </is>
      </c>
      <c r="V560" t="inlineStr"/>
      <c r="W560" t="inlineStr">
        <is>
          <t>Kassette</t>
        </is>
      </c>
      <c r="X560" t="inlineStr">
        <is>
          <t>Nein</t>
        </is>
      </c>
      <c r="Y560" t="n">
        <v>2</v>
      </c>
      <c r="Z560" t="inlineStr"/>
      <c r="AA560" t="inlineStr"/>
      <c r="AB560" t="inlineStr"/>
      <c r="AC560" t="inlineStr"/>
      <c r="AD560" t="inlineStr"/>
      <c r="AE560" t="inlineStr"/>
      <c r="AF560" t="inlineStr"/>
      <c r="AG560" t="inlineStr"/>
      <c r="AH560" t="inlineStr"/>
      <c r="AI560" t="inlineStr">
        <is>
          <t>HD</t>
        </is>
      </c>
      <c r="AJ560" t="inlineStr"/>
      <c r="AK560" t="inlineStr">
        <is>
          <t>x</t>
        </is>
      </c>
      <c r="AL560" t="inlineStr"/>
      <c r="AM560" t="inlineStr">
        <is>
          <t>f/V</t>
        </is>
      </c>
      <c r="AN560" t="inlineStr"/>
      <c r="AO560" t="inlineStr"/>
      <c r="AP560" t="inlineStr"/>
      <c r="AQ560" t="inlineStr"/>
      <c r="AR560" t="inlineStr">
        <is>
          <t>x</t>
        </is>
      </c>
      <c r="AS560" t="inlineStr">
        <is>
          <t>Pa</t>
        </is>
      </c>
      <c r="AT560" t="inlineStr"/>
      <c r="AU560" t="inlineStr"/>
      <c r="AV560" t="inlineStr"/>
      <c r="AW560" t="inlineStr"/>
      <c r="AX560" t="inlineStr"/>
      <c r="AY560" t="inlineStr"/>
      <c r="AZ560" t="inlineStr"/>
      <c r="BA560" t="inlineStr"/>
      <c r="BB560" t="inlineStr"/>
      <c r="BC560" t="inlineStr"/>
      <c r="BD560" t="inlineStr"/>
      <c r="BE560" t="inlineStr"/>
      <c r="BF560" t="inlineStr"/>
      <c r="BG560" t="n">
        <v>0</v>
      </c>
      <c r="BH560" t="inlineStr">
        <is>
          <t xml:space="preserve">
Buch öffnet sich schlecht, Schließen sehr steif</t>
        </is>
      </c>
      <c r="BI560" t="inlineStr"/>
      <c r="BJ560" t="inlineStr"/>
      <c r="BK560" t="inlineStr"/>
      <c r="BL560" t="inlineStr"/>
      <c r="BM560" t="inlineStr">
        <is>
          <t>n</t>
        </is>
      </c>
      <c r="BN560" t="n">
        <v>0</v>
      </c>
      <c r="BO560" t="inlineStr"/>
      <c r="BP560" t="inlineStr">
        <is>
          <t>Wellpappe</t>
        </is>
      </c>
      <c r="BQ560" t="inlineStr"/>
      <c r="BR560" t="inlineStr"/>
      <c r="BS560" t="inlineStr"/>
      <c r="BT560" t="inlineStr"/>
      <c r="BU560" t="inlineStr"/>
      <c r="BV560" t="inlineStr">
        <is>
          <t>fester Rücken inzwischen hohl</t>
        </is>
      </c>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t>
        </is>
      </c>
      <c r="B561" t="b">
        <v>1</v>
      </c>
      <c r="C561" t="inlineStr"/>
      <c r="D561" t="inlineStr"/>
      <c r="E561" t="n">
        <v>554</v>
      </c>
      <c r="F561">
        <f>HYPERLINK("https://portal.dnb.de/opac.htm?method=simpleSearch&amp;cqlMode=true&amp;query=idn%3D106696811X", "Portal")</f>
        <v/>
      </c>
      <c r="G561" t="inlineStr">
        <is>
          <t>Aa</t>
        </is>
      </c>
      <c r="H561" t="inlineStr">
        <is>
          <t>L-1479-315498382</t>
        </is>
      </c>
      <c r="I561" t="inlineStr">
        <is>
          <t>106696811X</t>
        </is>
      </c>
      <c r="J561" t="inlineStr">
        <is>
          <t>II 64,1b</t>
        </is>
      </c>
      <c r="K561" t="inlineStr">
        <is>
          <t>II 64,1b</t>
        </is>
      </c>
      <c r="L561" t="inlineStr">
        <is>
          <t>II 64,1b</t>
        </is>
      </c>
      <c r="M561" t="inlineStr"/>
      <c r="N561" t="inlineStr">
        <is>
          <t xml:space="preserve">Historia ecclesiastica : </t>
        </is>
      </c>
      <c r="O561" t="inlineStr">
        <is>
          <t xml:space="preserve"> : </t>
        </is>
      </c>
      <c r="P561" t="inlineStr">
        <is>
          <t>X</t>
        </is>
      </c>
      <c r="Q561" t="inlineStr">
        <is>
          <t>7000,00 EUR</t>
        </is>
      </c>
      <c r="R561" t="inlineStr">
        <is>
          <t>Gewebeeinband, Schließen, erhabene Buchbeschläge</t>
        </is>
      </c>
      <c r="S561" t="inlineStr">
        <is>
          <t>bis 35 cm</t>
        </is>
      </c>
      <c r="T561" t="inlineStr">
        <is>
          <t>80° bis 110°, einseitig digitalisierbar?</t>
        </is>
      </c>
      <c r="U561" t="inlineStr">
        <is>
          <t>hohler Rücken</t>
        </is>
      </c>
      <c r="V561" t="inlineStr"/>
      <c r="W561" t="inlineStr">
        <is>
          <t>Kassette</t>
        </is>
      </c>
      <c r="X561" t="inlineStr">
        <is>
          <t>Nein</t>
        </is>
      </c>
      <c r="Y561" t="n">
        <v>0</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t>
        </is>
      </c>
      <c r="B562" t="b">
        <v>1</v>
      </c>
      <c r="C562" t="inlineStr"/>
      <c r="D562" t="inlineStr"/>
      <c r="E562" t="n">
        <v>555</v>
      </c>
      <c r="F562">
        <f>HYPERLINK("https://portal.dnb.de/opac.htm?method=simpleSearch&amp;cqlMode=true&amp;query=idn%3D1072105721", "Portal")</f>
        <v/>
      </c>
      <c r="G562" t="inlineStr">
        <is>
          <t>Aa</t>
        </is>
      </c>
      <c r="H562" t="inlineStr">
        <is>
          <t>L-1477-326906126</t>
        </is>
      </c>
      <c r="I562" t="inlineStr">
        <is>
          <t>1072105721</t>
        </is>
      </c>
      <c r="J562" t="inlineStr">
        <is>
          <t>II 65,1a</t>
        </is>
      </c>
      <c r="K562" t="inlineStr">
        <is>
          <t>II 65,1a</t>
        </is>
      </c>
      <c r="L562" t="inlineStr">
        <is>
          <t>II 65,1a</t>
        </is>
      </c>
      <c r="M562" t="inlineStr"/>
      <c r="N562" t="inlineStr">
        <is>
          <t xml:space="preserve">De civitate dei : </t>
        </is>
      </c>
      <c r="O562" t="inlineStr">
        <is>
          <t xml:space="preserve"> : </t>
        </is>
      </c>
      <c r="P562" t="inlineStr">
        <is>
          <t>X</t>
        </is>
      </c>
      <c r="Q562" t="inlineStr"/>
      <c r="R562" t="inlineStr">
        <is>
          <t>Halbledereinband, Schließen, erhabene Buchbeschläge</t>
        </is>
      </c>
      <c r="S562" t="inlineStr">
        <is>
          <t>bis 35 cm</t>
        </is>
      </c>
      <c r="T562" t="inlineStr">
        <is>
          <t>180°</t>
        </is>
      </c>
      <c r="U562" t="inlineStr">
        <is>
          <t>hohler Rücken</t>
        </is>
      </c>
      <c r="V562" t="inlineStr"/>
      <c r="W562" t="inlineStr">
        <is>
          <t>Kassette</t>
        </is>
      </c>
      <c r="X562" t="inlineStr">
        <is>
          <t>Nein</t>
        </is>
      </c>
      <c r="Y562" t="n">
        <v>1</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t>
        </is>
      </c>
      <c r="B563" t="b">
        <v>1</v>
      </c>
      <c r="C563" t="inlineStr">
        <is>
          <t>x</t>
        </is>
      </c>
      <c r="D563" t="inlineStr"/>
      <c r="E563" t="n">
        <v>556</v>
      </c>
      <c r="F563">
        <f>HYPERLINK("https://portal.dnb.de/opac.htm?method=simpleSearch&amp;cqlMode=true&amp;query=idn%3D1072172607", "Portal")</f>
        <v/>
      </c>
      <c r="G563" t="inlineStr">
        <is>
          <t>Aa</t>
        </is>
      </c>
      <c r="H563" t="inlineStr">
        <is>
          <t>L-1480-327008083</t>
        </is>
      </c>
      <c r="I563" t="inlineStr">
        <is>
          <t>1072172607</t>
        </is>
      </c>
      <c r="J563" t="inlineStr">
        <is>
          <t>II 65,2</t>
        </is>
      </c>
      <c r="K563" t="inlineStr">
        <is>
          <t>II 65,2</t>
        </is>
      </c>
      <c r="L563" t="inlineStr">
        <is>
          <t>II 65,2</t>
        </is>
      </c>
      <c r="M563" t="inlineStr"/>
      <c r="N563" t="inlineStr">
        <is>
          <t xml:space="preserve">Epistola ad Rabbi Isaac seu rationes ad reprobandos Iudaeorum errores : </t>
        </is>
      </c>
      <c r="O563" t="inlineStr">
        <is>
          <t xml:space="preserve"> : </t>
        </is>
      </c>
      <c r="P563" t="inlineStr">
        <is>
          <t>X</t>
        </is>
      </c>
      <c r="Q563" t="inlineStr">
        <is>
          <t>7000,00 EUR</t>
        </is>
      </c>
      <c r="R563" t="inlineStr">
        <is>
          <t>Gewebeeinband, Schließen, erhabene Buchbeschläge</t>
        </is>
      </c>
      <c r="S563" t="inlineStr">
        <is>
          <t>bis 25 cm</t>
        </is>
      </c>
      <c r="T563" t="inlineStr">
        <is>
          <t>180°</t>
        </is>
      </c>
      <c r="U563" t="inlineStr">
        <is>
          <t>hohler Rücken, erhabene Illuminationen</t>
        </is>
      </c>
      <c r="V563" t="inlineStr">
        <is>
          <t>nicht auflegen</t>
        </is>
      </c>
      <c r="W563" t="inlineStr">
        <is>
          <t>Kassette</t>
        </is>
      </c>
      <c r="X563" t="inlineStr">
        <is>
          <t>Nein</t>
        </is>
      </c>
      <c r="Y563" t="n">
        <v>2</v>
      </c>
      <c r="Z563" t="inlineStr"/>
      <c r="AA563" t="inlineStr"/>
      <c r="AB563" t="inlineStr"/>
      <c r="AC563" t="inlineStr"/>
      <c r="AD563" t="inlineStr"/>
      <c r="AE563" t="inlineStr"/>
      <c r="AF563" t="inlineStr"/>
      <c r="AG563" t="inlineStr"/>
      <c r="AH563" t="inlineStr"/>
      <c r="AI563" t="inlineStr">
        <is>
          <t>G</t>
        </is>
      </c>
      <c r="AJ563" t="inlineStr"/>
      <c r="AK563" t="inlineStr">
        <is>
          <t>x</t>
        </is>
      </c>
      <c r="AL563" t="inlineStr"/>
      <c r="AM563" t="inlineStr">
        <is>
          <t>h/E</t>
        </is>
      </c>
      <c r="AN563" t="inlineStr"/>
      <c r="AO563" t="inlineStr"/>
      <c r="AP563" t="inlineStr"/>
      <c r="AQ563" t="inlineStr"/>
      <c r="AR563" t="inlineStr"/>
      <c r="AS563" t="inlineStr">
        <is>
          <t>Pa</t>
        </is>
      </c>
      <c r="AT563" t="inlineStr"/>
      <c r="AU563" t="inlineStr"/>
      <c r="AV563" t="inlineStr"/>
      <c r="AW563" t="inlineStr"/>
      <c r="AX563" t="inlineStr"/>
      <c r="AY563" t="inlineStr"/>
      <c r="AZ563" t="inlineStr"/>
      <c r="BA563" t="inlineStr"/>
      <c r="BB563" t="inlineStr"/>
      <c r="BC563" t="inlineStr">
        <is>
          <t>I/R</t>
        </is>
      </c>
      <c r="BD563" t="inlineStr">
        <is>
          <t>x</t>
        </is>
      </c>
      <c r="BE563" t="inlineStr"/>
      <c r="BF563" t="inlineStr"/>
      <c r="BG563" t="inlineStr">
        <is>
          <t>nur 110</t>
        </is>
      </c>
      <c r="BH563" t="inlineStr"/>
      <c r="BI563" t="inlineStr"/>
      <c r="BJ563" t="inlineStr"/>
      <c r="BK563" t="inlineStr"/>
      <c r="BL563" t="inlineStr"/>
      <c r="BM563" t="inlineStr">
        <is>
          <t>ja nach</t>
        </is>
      </c>
      <c r="BN563" t="n">
        <v>0.5</v>
      </c>
      <c r="BO563" t="inlineStr"/>
      <c r="BP563" t="inlineStr">
        <is>
          <t>Wellpappe</t>
        </is>
      </c>
      <c r="BQ563" t="inlineStr"/>
      <c r="BR563" t="inlineStr"/>
      <c r="BS563" t="inlineStr"/>
      <c r="BT563" t="inlineStr"/>
      <c r="BU563" t="inlineStr"/>
      <c r="BV563" t="inlineStr">
        <is>
          <t>Schaden für Digit. Stabil, Rest. nach Digit.</t>
        </is>
      </c>
      <c r="BW563" t="inlineStr"/>
      <c r="BX563" t="inlineStr"/>
      <c r="BY563" t="inlineStr"/>
      <c r="BZ563" t="inlineStr">
        <is>
          <t>x</t>
        </is>
      </c>
      <c r="CA563" t="inlineStr"/>
      <c r="CB563" t="inlineStr"/>
      <c r="CC563" t="inlineStr"/>
      <c r="CD563" t="inlineStr">
        <is>
          <t>v</t>
        </is>
      </c>
      <c r="CE563" t="inlineStr"/>
      <c r="CF563" t="inlineStr">
        <is>
          <t>x</t>
        </is>
      </c>
      <c r="CG563" t="inlineStr"/>
      <c r="CH563" t="inlineStr"/>
      <c r="CI563" t="inlineStr"/>
      <c r="CJ563" t="inlineStr"/>
      <c r="CK563" t="inlineStr"/>
      <c r="CL563" t="inlineStr"/>
      <c r="CM563" t="n">
        <v>0.5</v>
      </c>
      <c r="CN563" t="inlineStr">
        <is>
          <t>Hülse (nach der Rest., Buch öffnet sich so besser)</t>
        </is>
      </c>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t>
        </is>
      </c>
      <c r="B564" t="b">
        <v>1</v>
      </c>
      <c r="C564" t="inlineStr"/>
      <c r="D564" t="inlineStr"/>
      <c r="E564" t="n">
        <v>557</v>
      </c>
      <c r="F564">
        <f>HYPERLINK("https://portal.dnb.de/opac.htm?method=simpleSearch&amp;cqlMode=true&amp;query=idn%3D1066968225", "Portal")</f>
        <v/>
      </c>
      <c r="G564" t="inlineStr">
        <is>
          <t>Aaf</t>
        </is>
      </c>
      <c r="H564" t="inlineStr">
        <is>
          <t>L-1473-31549848X</t>
        </is>
      </c>
      <c r="I564" t="inlineStr">
        <is>
          <t>1066968225</t>
        </is>
      </c>
      <c r="J564" t="inlineStr">
        <is>
          <t>II 66,2a</t>
        </is>
      </c>
      <c r="K564" t="inlineStr">
        <is>
          <t>II 66,2a</t>
        </is>
      </c>
      <c r="L564" t="inlineStr">
        <is>
          <t>II 66,2a</t>
        </is>
      </c>
      <c r="M564" t="inlineStr"/>
      <c r="N564" t="inlineStr">
        <is>
          <t xml:space="preserve">Opus restitutionum, usurarum, excommunicationum : </t>
        </is>
      </c>
      <c r="O564" t="inlineStr">
        <is>
          <t xml:space="preserve"> : </t>
        </is>
      </c>
      <c r="P564" t="inlineStr">
        <is>
          <t>X</t>
        </is>
      </c>
      <c r="Q564" t="inlineStr"/>
      <c r="R564" t="inlineStr">
        <is>
          <t>Halbledereinband, Schließen, erhabene Buchbeschläge</t>
        </is>
      </c>
      <c r="S564" t="inlineStr">
        <is>
          <t>bis 35 cm</t>
        </is>
      </c>
      <c r="T564" t="inlineStr">
        <is>
          <t>80° bis 110°, einseitig digitalisierbar?</t>
        </is>
      </c>
      <c r="U564" t="inlineStr">
        <is>
          <t>fester Rücken mit Schmuckprägung, stark brüchiges Einbandmaterial, erhabene Illuminationen</t>
        </is>
      </c>
      <c r="V564" t="inlineStr">
        <is>
          <t>nicht auflegen</t>
        </is>
      </c>
      <c r="W564" t="inlineStr">
        <is>
          <t>Kassette</t>
        </is>
      </c>
      <c r="X564" t="inlineStr">
        <is>
          <t>Nein</t>
        </is>
      </c>
      <c r="Y564" t="n">
        <v>3</v>
      </c>
      <c r="Z564" t="inlineStr"/>
      <c r="AA564" t="inlineStr">
        <is>
          <t>Holzdeckel</t>
        </is>
      </c>
      <c r="AB564" t="inlineStr"/>
      <c r="AC564" t="inlineStr"/>
      <c r="AD564" t="inlineStr"/>
      <c r="AE564" t="inlineStr"/>
      <c r="AF564" t="inlineStr"/>
      <c r="AG564" t="inlineStr"/>
      <c r="AH564" t="inlineStr"/>
      <c r="AI564" t="inlineStr">
        <is>
          <t>HD</t>
        </is>
      </c>
      <c r="AJ564" t="inlineStr"/>
      <c r="AK564" t="inlineStr">
        <is>
          <t>x</t>
        </is>
      </c>
      <c r="AL564" t="inlineStr"/>
      <c r="AM564" t="inlineStr">
        <is>
          <t>f/V</t>
        </is>
      </c>
      <c r="AN564" t="inlineStr"/>
      <c r="AO564" t="inlineStr"/>
      <c r="AP564" t="inlineStr"/>
      <c r="AQ564" t="inlineStr"/>
      <c r="AR564" t="inlineStr"/>
      <c r="AS564" t="inlineStr">
        <is>
          <t>Pa</t>
        </is>
      </c>
      <c r="AT564" t="inlineStr"/>
      <c r="AU564" t="inlineStr"/>
      <c r="AV564" t="inlineStr"/>
      <c r="AW564" t="inlineStr"/>
      <c r="AX564" t="inlineStr"/>
      <c r="AY564" t="inlineStr"/>
      <c r="AZ564" t="inlineStr"/>
      <c r="BA564" t="inlineStr"/>
      <c r="BB564" t="inlineStr"/>
      <c r="BC564" t="inlineStr">
        <is>
          <t>I/R</t>
        </is>
      </c>
      <c r="BD564" t="inlineStr">
        <is>
          <t>x</t>
        </is>
      </c>
      <c r="BE564" t="inlineStr"/>
      <c r="BF564" t="inlineStr"/>
      <c r="BG564" t="n">
        <v>60</v>
      </c>
      <c r="BH564" t="inlineStr"/>
      <c r="BI564" t="inlineStr"/>
      <c r="BJ564" t="inlineStr"/>
      <c r="BK564" t="inlineStr"/>
      <c r="BL564" t="inlineStr"/>
      <c r="BM564" t="inlineStr">
        <is>
          <t>n</t>
        </is>
      </c>
      <c r="BN564" t="n">
        <v>0</v>
      </c>
      <c r="BO564" t="inlineStr"/>
      <c r="BP564" t="inlineStr">
        <is>
          <t>Wellpappe</t>
        </is>
      </c>
      <c r="BQ564" t="inlineStr"/>
      <c r="BR564" t="inlineStr"/>
      <c r="BS564" t="inlineStr"/>
      <c r="BT564" t="inlineStr"/>
      <c r="BU564" t="inlineStr"/>
      <c r="BV564" t="inlineStr">
        <is>
          <t>Schaden stabil</t>
        </is>
      </c>
      <c r="BW564" t="inlineStr"/>
      <c r="BX564" t="inlineStr"/>
      <c r="BY564" t="inlineStr"/>
      <c r="BZ564" t="inlineStr">
        <is>
          <t>x, wird nicht rest., Fotos zu Dokumentationszwecken</t>
        </is>
      </c>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t>
        </is>
      </c>
      <c r="B565" t="b">
        <v>1</v>
      </c>
      <c r="C565" t="inlineStr"/>
      <c r="D565" t="inlineStr"/>
      <c r="E565" t="n">
        <v>558</v>
      </c>
      <c r="F565">
        <f>HYPERLINK("https://portal.dnb.de/opac.htm?method=simpleSearch&amp;cqlMode=true&amp;query=idn%3D1066967679", "Portal")</f>
        <v/>
      </c>
      <c r="G565" t="inlineStr">
        <is>
          <t>Aaf</t>
        </is>
      </c>
      <c r="H565" t="inlineStr">
        <is>
          <t>L-1479-315497939</t>
        </is>
      </c>
      <c r="I565" t="inlineStr">
        <is>
          <t>1066967679</t>
        </is>
      </c>
      <c r="J565" t="inlineStr">
        <is>
          <t>II 66,3a</t>
        </is>
      </c>
      <c r="K565" t="inlineStr">
        <is>
          <t>II 66,3a</t>
        </is>
      </c>
      <c r="L565" t="inlineStr">
        <is>
          <t>II 66,3a</t>
        </is>
      </c>
      <c r="M565" t="inlineStr"/>
      <c r="N565" t="inlineStr">
        <is>
          <t xml:space="preserve">Corpus iuris civilis. Digestum novum : </t>
        </is>
      </c>
      <c r="O565" t="inlineStr">
        <is>
          <t xml:space="preserve"> : </t>
        </is>
      </c>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n">
        <v>0</v>
      </c>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t>
        </is>
      </c>
      <c r="B566" t="b">
        <v>1</v>
      </c>
      <c r="C566" t="inlineStr"/>
      <c r="D566" t="inlineStr"/>
      <c r="E566" t="n">
        <v>559</v>
      </c>
      <c r="F566">
        <f>HYPERLINK("https://portal.dnb.de/opac.htm?method=simpleSearch&amp;cqlMode=true&amp;query=idn%3D107237840X", "Portal")</f>
        <v/>
      </c>
      <c r="G566" t="inlineStr">
        <is>
          <t>Aa</t>
        </is>
      </c>
      <c r="H566" t="inlineStr">
        <is>
          <t>L-1486-327679239</t>
        </is>
      </c>
      <c r="I566" t="inlineStr">
        <is>
          <t>107237840X</t>
        </is>
      </c>
      <c r="J566" t="inlineStr">
        <is>
          <t>II 66,4a</t>
        </is>
      </c>
      <c r="K566" t="inlineStr">
        <is>
          <t>II 66,4a</t>
        </is>
      </c>
      <c r="L566" t="inlineStr">
        <is>
          <t>II 66,4a</t>
        </is>
      </c>
      <c r="M566" t="inlineStr"/>
      <c r="N566" t="inlineStr">
        <is>
          <t xml:space="preserve">De latitudinibus formarum : </t>
        </is>
      </c>
      <c r="O566" t="inlineStr">
        <is>
          <t xml:space="preserve"> : </t>
        </is>
      </c>
      <c r="P566" t="inlineStr">
        <is>
          <t>X</t>
        </is>
      </c>
      <c r="Q566" t="inlineStr"/>
      <c r="R566" t="inlineStr">
        <is>
          <t>Gewebeeinband, Schließen, erhabene Buchbeschläge</t>
        </is>
      </c>
      <c r="S566" t="inlineStr">
        <is>
          <t>bis 25 cm</t>
        </is>
      </c>
      <c r="T566" t="inlineStr">
        <is>
          <t>80° bis 110°, einseitig digitalisierbar?</t>
        </is>
      </c>
      <c r="U566" t="inlineStr">
        <is>
          <t>hohler Rücken</t>
        </is>
      </c>
      <c r="V566" t="inlineStr"/>
      <c r="W566" t="inlineStr">
        <is>
          <t>Kassette</t>
        </is>
      </c>
      <c r="X566" t="inlineStr">
        <is>
          <t>Nein</t>
        </is>
      </c>
      <c r="Y566" t="n">
        <v>0</v>
      </c>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n">
        <v>0</v>
      </c>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t>
        </is>
      </c>
      <c r="B567" t="b">
        <v>1</v>
      </c>
      <c r="C567" t="inlineStr"/>
      <c r="D567" t="inlineStr"/>
      <c r="E567" t="n">
        <v>560</v>
      </c>
      <c r="F567">
        <f>HYPERLINK("https://portal.dnb.de/opac.htm?method=simpleSearch&amp;cqlMode=true&amp;query=idn%3D1072106345", "Portal")</f>
        <v/>
      </c>
      <c r="G567" t="inlineStr">
        <is>
          <t>Aa</t>
        </is>
      </c>
      <c r="H567" t="inlineStr">
        <is>
          <t>L-1475-326906487</t>
        </is>
      </c>
      <c r="I567" t="inlineStr">
        <is>
          <t>1072106345</t>
        </is>
      </c>
      <c r="J567" t="inlineStr">
        <is>
          <t>II 67,1a</t>
        </is>
      </c>
      <c r="K567" t="inlineStr">
        <is>
          <t>II 67,1a</t>
        </is>
      </c>
      <c r="L567" t="inlineStr">
        <is>
          <t>II 67,1a</t>
        </is>
      </c>
      <c r="M567" t="inlineStr"/>
      <c r="N567" t="inlineStr">
        <is>
          <t xml:space="preserve">Homiliae in Evangelia : </t>
        </is>
      </c>
      <c r="O567" t="inlineStr">
        <is>
          <t xml:space="preserve"> : </t>
        </is>
      </c>
      <c r="P567" t="inlineStr">
        <is>
          <t>X</t>
        </is>
      </c>
      <c r="Q567" t="inlineStr"/>
      <c r="R567" t="inlineStr">
        <is>
          <t>Ledereinband</t>
        </is>
      </c>
      <c r="S567" t="inlineStr">
        <is>
          <t>bis 25 cm</t>
        </is>
      </c>
      <c r="T567" t="inlineStr">
        <is>
          <t>180°</t>
        </is>
      </c>
      <c r="U567" t="inlineStr">
        <is>
          <t>fester Rücken mit Schmuckprägung, erhabene Illuminationen</t>
        </is>
      </c>
      <c r="V567" t="inlineStr">
        <is>
          <t>nicht auflegen</t>
        </is>
      </c>
      <c r="W567" t="inlineStr">
        <is>
          <t>Kassette</t>
        </is>
      </c>
      <c r="X567" t="inlineStr">
        <is>
          <t>Nein</t>
        </is>
      </c>
      <c r="Y567" t="n">
        <v>1</v>
      </c>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t>
        </is>
      </c>
      <c r="B568" t="b">
        <v>1</v>
      </c>
      <c r="C568" t="inlineStr"/>
      <c r="D568" t="inlineStr"/>
      <c r="E568" t="n">
        <v>561</v>
      </c>
      <c r="F568">
        <f>HYPERLINK("https://portal.dnb.de/opac.htm?method=simpleSearch&amp;cqlMode=true&amp;query=idn%3D1072106558", "Portal")</f>
        <v/>
      </c>
      <c r="G568" t="inlineStr">
        <is>
          <t>Aa</t>
        </is>
      </c>
      <c r="H568" t="inlineStr">
        <is>
          <t>L-1494-326906622</t>
        </is>
      </c>
      <c r="I568" t="inlineStr">
        <is>
          <t>1072106558</t>
        </is>
      </c>
      <c r="J568" t="inlineStr">
        <is>
          <t>II 67,2a</t>
        </is>
      </c>
      <c r="K568" t="inlineStr">
        <is>
          <t>II 67,2a</t>
        </is>
      </c>
      <c r="L568" t="inlineStr">
        <is>
          <t>II 67,2a</t>
        </is>
      </c>
      <c r="M568" t="inlineStr"/>
      <c r="N568" t="inlineStr">
        <is>
          <t xml:space="preserve">De anima : </t>
        </is>
      </c>
      <c r="O568" t="inlineStr">
        <is>
          <t xml:space="preserve"> : </t>
        </is>
      </c>
      <c r="P568" t="inlineStr">
        <is>
          <t>X</t>
        </is>
      </c>
      <c r="Q568" t="inlineStr"/>
      <c r="R568" t="inlineStr">
        <is>
          <t>Halbledereinband, Schließen, erhabene Buchbeschläge</t>
        </is>
      </c>
      <c r="S568" t="inlineStr">
        <is>
          <t>bis 25 cm</t>
        </is>
      </c>
      <c r="T568" t="inlineStr">
        <is>
          <t>80° bis 110°, einseitig digitalisierbar?</t>
        </is>
      </c>
      <c r="U568" t="inlineStr">
        <is>
          <t>hohler Rücken</t>
        </is>
      </c>
      <c r="V568" t="inlineStr"/>
      <c r="W568" t="inlineStr">
        <is>
          <t>Kassette</t>
        </is>
      </c>
      <c r="X568" t="inlineStr">
        <is>
          <t>Nein</t>
        </is>
      </c>
      <c r="Y568" t="n">
        <v>1</v>
      </c>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t>
        </is>
      </c>
      <c r="B569" t="b">
        <v>1</v>
      </c>
      <c r="C569" t="inlineStr"/>
      <c r="D569" t="inlineStr"/>
      <c r="E569" t="n">
        <v>562</v>
      </c>
      <c r="F569">
        <f>HYPERLINK("https://portal.dnb.de/opac.htm?method=simpleSearch&amp;cqlMode=true&amp;query=idn%3D1066965803", "Portal")</f>
        <v/>
      </c>
      <c r="G569" t="inlineStr">
        <is>
          <t>Aaf</t>
        </is>
      </c>
      <c r="H569" t="inlineStr">
        <is>
          <t>L-1499-315496053</t>
        </is>
      </c>
      <c r="I569" t="inlineStr">
        <is>
          <t>1066965803</t>
        </is>
      </c>
      <c r="J569" t="inlineStr">
        <is>
          <t>II 67,4a</t>
        </is>
      </c>
      <c r="K569" t="inlineStr">
        <is>
          <t>II 67,4a</t>
        </is>
      </c>
      <c r="L569" t="inlineStr">
        <is>
          <t>II 67,4a</t>
        </is>
      </c>
      <c r="M569" t="inlineStr"/>
      <c r="N569" t="inlineStr">
        <is>
          <t xml:space="preserve">De virtute Psalmorum : </t>
        </is>
      </c>
      <c r="O569" t="inlineStr">
        <is>
          <t xml:space="preserve"> : </t>
        </is>
      </c>
      <c r="P569" t="inlineStr">
        <is>
          <t>X</t>
        </is>
      </c>
      <c r="Q569" t="inlineStr"/>
      <c r="R569" t="inlineStr">
        <is>
          <t>Gewebeeinband, Schließen, erhabene Buchbeschläge</t>
        </is>
      </c>
      <c r="S569" t="inlineStr">
        <is>
          <t>bis 25 cm</t>
        </is>
      </c>
      <c r="T569" t="inlineStr">
        <is>
          <t>180°</t>
        </is>
      </c>
      <c r="U569" t="inlineStr">
        <is>
          <t>hohler Rücken</t>
        </is>
      </c>
      <c r="V569" t="inlineStr"/>
      <c r="W569" t="inlineStr">
        <is>
          <t>Kassette</t>
        </is>
      </c>
      <c r="X569" t="inlineStr">
        <is>
          <t>Nein</t>
        </is>
      </c>
      <c r="Y569" t="n">
        <v>0</v>
      </c>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n">
        <v>0</v>
      </c>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t>
        </is>
      </c>
      <c r="B570" t="b">
        <v>1</v>
      </c>
      <c r="C570" t="inlineStr"/>
      <c r="D570" t="inlineStr"/>
      <c r="E570" t="n">
        <v>563</v>
      </c>
      <c r="F570">
        <f>HYPERLINK("https://portal.dnb.de/opac.htm?method=simpleSearch&amp;cqlMode=true&amp;query=idn%3D1072106795", "Portal")</f>
        <v/>
      </c>
      <c r="G570" t="inlineStr">
        <is>
          <t>Aa</t>
        </is>
      </c>
      <c r="H570" t="inlineStr">
        <is>
          <t>L-1480-32690672X</t>
        </is>
      </c>
      <c r="I570" t="inlineStr">
        <is>
          <t>1072106795</t>
        </is>
      </c>
      <c r="J570" t="inlineStr">
        <is>
          <t>II 67,6a</t>
        </is>
      </c>
      <c r="K570" t="inlineStr">
        <is>
          <t>II 67,6a</t>
        </is>
      </c>
      <c r="L570" t="inlineStr">
        <is>
          <t>II 67,6a</t>
        </is>
      </c>
      <c r="M570" t="inlineStr"/>
      <c r="N570" t="inlineStr">
        <is>
          <t xml:space="preserve">Summa in virtutes cardinales : </t>
        </is>
      </c>
      <c r="O570" t="inlineStr">
        <is>
          <t xml:space="preserve"> : </t>
        </is>
      </c>
      <c r="P570" t="inlineStr">
        <is>
          <t>X</t>
        </is>
      </c>
      <c r="Q570" t="inlineStr"/>
      <c r="R570" t="inlineStr">
        <is>
          <t>Halbledereinband</t>
        </is>
      </c>
      <c r="S570" t="inlineStr">
        <is>
          <t>bis 35 cm</t>
        </is>
      </c>
      <c r="T570" t="inlineStr">
        <is>
          <t>80° bis 110°, einseitig digitalisierbar?</t>
        </is>
      </c>
      <c r="U570" t="inlineStr">
        <is>
          <t>erhabene Illuminationen</t>
        </is>
      </c>
      <c r="V570" t="inlineStr">
        <is>
          <t>nicht auflegen</t>
        </is>
      </c>
      <c r="W570" t="inlineStr">
        <is>
          <t>Kassette</t>
        </is>
      </c>
      <c r="X570" t="inlineStr">
        <is>
          <t>Nein</t>
        </is>
      </c>
      <c r="Y570" t="n">
        <v>2</v>
      </c>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n">
        <v>0</v>
      </c>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t>
        </is>
      </c>
      <c r="B571" t="b">
        <v>1</v>
      </c>
      <c r="C571" t="inlineStr"/>
      <c r="D571" t="inlineStr"/>
      <c r="E571" t="n">
        <v>564</v>
      </c>
      <c r="F571">
        <f>HYPERLINK("https://portal.dnb.de/opac.htm?method=simpleSearch&amp;cqlMode=true&amp;query=idn%3D1066965935", "Portal")</f>
        <v/>
      </c>
      <c r="G571" t="inlineStr">
        <is>
          <t>Aaf</t>
        </is>
      </c>
      <c r="H571" t="inlineStr">
        <is>
          <t>L-1499-315496223</t>
        </is>
      </c>
      <c r="I571" t="inlineStr">
        <is>
          <t>1066965935</t>
        </is>
      </c>
      <c r="J571" t="inlineStr">
        <is>
          <t>II 67,7a</t>
        </is>
      </c>
      <c r="K571" t="inlineStr">
        <is>
          <t>II 67,7a</t>
        </is>
      </c>
      <c r="L571" t="inlineStr">
        <is>
          <t>II 67,7a</t>
        </is>
      </c>
      <c r="M571" t="inlineStr"/>
      <c r="N571" t="inlineStr">
        <is>
          <t xml:space="preserve">Sermones : </t>
        </is>
      </c>
      <c r="O571" t="inlineStr">
        <is>
          <t xml:space="preserve"> : </t>
        </is>
      </c>
      <c r="P571" t="inlineStr"/>
      <c r="Q571" t="inlineStr"/>
      <c r="R571" t="inlineStr"/>
      <c r="S571" t="inlineStr">
        <is>
          <t>bis 42 cm</t>
        </is>
      </c>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is>
          <t>HD</t>
        </is>
      </c>
      <c r="AJ571" t="inlineStr"/>
      <c r="AK571" t="inlineStr"/>
      <c r="AL571" t="inlineStr">
        <is>
          <t>x</t>
        </is>
      </c>
      <c r="AM571" t="inlineStr">
        <is>
          <t>f</t>
        </is>
      </c>
      <c r="AN571" t="inlineStr"/>
      <c r="AO571" t="inlineStr"/>
      <c r="AP571" t="inlineStr"/>
      <c r="AQ571" t="inlineStr"/>
      <c r="AR571" t="inlineStr">
        <is>
          <t>x</t>
        </is>
      </c>
      <c r="AS571" t="inlineStr">
        <is>
          <t>Pa</t>
        </is>
      </c>
      <c r="AT571" t="inlineStr"/>
      <c r="AU571" t="inlineStr"/>
      <c r="AV571" t="inlineStr"/>
      <c r="AW571" t="inlineStr"/>
      <c r="AX571" t="inlineStr"/>
      <c r="AY571" t="inlineStr"/>
      <c r="AZ571" t="inlineStr"/>
      <c r="BA571" t="inlineStr"/>
      <c r="BB571" t="inlineStr"/>
      <c r="BC571" t="inlineStr"/>
      <c r="BD571" t="inlineStr"/>
      <c r="BE571" t="n">
        <v>2</v>
      </c>
      <c r="BF571" t="inlineStr">
        <is>
          <t>x</t>
        </is>
      </c>
      <c r="BG571" t="n">
        <v>60</v>
      </c>
      <c r="BH571" t="inlineStr"/>
      <c r="BI571" t="inlineStr"/>
      <c r="BJ571" t="inlineStr"/>
      <c r="BK571" t="inlineStr"/>
      <c r="BL571" t="inlineStr"/>
      <c r="BM571" t="inlineStr">
        <is>
          <t>n</t>
        </is>
      </c>
      <c r="BN571" t="n">
        <v>0</v>
      </c>
      <c r="BO571" t="inlineStr"/>
      <c r="BP571" t="inlineStr">
        <is>
          <t>Wellpappe</t>
        </is>
      </c>
      <c r="BQ571" t="inlineStr"/>
      <c r="BR571" t="inlineStr"/>
      <c r="BS571" t="inlineStr"/>
      <c r="BT571" t="inlineStr"/>
      <c r="BU571" t="inlineStr"/>
      <c r="BV571" t="inlineStr">
        <is>
          <t>Schaden stabil</t>
        </is>
      </c>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t>
        </is>
      </c>
      <c r="B572" t="b">
        <v>1</v>
      </c>
      <c r="C572" t="inlineStr"/>
      <c r="D572" t="inlineStr"/>
      <c r="E572" t="n">
        <v>566</v>
      </c>
      <c r="F572">
        <f>HYPERLINK("https://portal.dnb.de/opac.htm?method=simpleSearch&amp;cqlMode=true&amp;query=idn%3D1066965218", "Portal")</f>
        <v/>
      </c>
      <c r="G572" t="inlineStr">
        <is>
          <t>Aaf</t>
        </is>
      </c>
      <c r="H572" t="inlineStr">
        <is>
          <t>L-1493-315495367</t>
        </is>
      </c>
      <c r="I572" t="inlineStr">
        <is>
          <t>1066965218</t>
        </is>
      </c>
      <c r="J572" t="inlineStr">
        <is>
          <t>II 67,10a</t>
        </is>
      </c>
      <c r="K572" t="inlineStr">
        <is>
          <t>II 67,10a</t>
        </is>
      </c>
      <c r="L572" t="inlineStr">
        <is>
          <t>II 67,10a</t>
        </is>
      </c>
      <c r="M572" t="inlineStr"/>
      <c r="N572" t="inlineStr">
        <is>
          <t xml:space="preserve">Alphabetum divini amoris : </t>
        </is>
      </c>
      <c r="O572" t="inlineStr">
        <is>
          <t xml:space="preserve"> : </t>
        </is>
      </c>
      <c r="P572" t="inlineStr">
        <is>
          <t>x</t>
        </is>
      </c>
      <c r="Q572" t="inlineStr"/>
      <c r="R572" t="inlineStr">
        <is>
          <t>Ledereinband, Schließen, erhabene Buchbeschläge</t>
        </is>
      </c>
      <c r="S572" t="inlineStr">
        <is>
          <t>bis 25 cm</t>
        </is>
      </c>
      <c r="T572" t="inlineStr">
        <is>
          <t>80° bis 110°, einseitig digitalisierbar?</t>
        </is>
      </c>
      <c r="U572" t="inlineStr">
        <is>
          <t>hohler Rücken, stark brüchiges Einbandmaterial</t>
        </is>
      </c>
      <c r="V572" t="inlineStr"/>
      <c r="W572" t="inlineStr">
        <is>
          <t>Kassette</t>
        </is>
      </c>
      <c r="X572" t="inlineStr">
        <is>
          <t>Nein</t>
        </is>
      </c>
      <c r="Y572" t="n">
        <v>3</v>
      </c>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n">
        <v>0</v>
      </c>
      <c r="BO572" t="inlineStr"/>
      <c r="BP572" t="inlineStr"/>
      <c r="BQ572" t="inlineStr"/>
      <c r="BR572" t="inlineStr"/>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t>
        </is>
      </c>
      <c r="B573" t="b">
        <v>1</v>
      </c>
      <c r="C573" t="inlineStr"/>
      <c r="D573" t="inlineStr"/>
      <c r="E573" t="n">
        <v>567</v>
      </c>
      <c r="F573">
        <f>HYPERLINK("https://portal.dnb.de/opac.htm?method=simpleSearch&amp;cqlMode=true&amp;query=idn%3D1072378566", "Portal")</f>
        <v/>
      </c>
      <c r="G573" t="inlineStr">
        <is>
          <t>Aa</t>
        </is>
      </c>
      <c r="H573" t="inlineStr">
        <is>
          <t>L-1493-32767928X</t>
        </is>
      </c>
      <c r="I573" t="inlineStr">
        <is>
          <t>1072378566</t>
        </is>
      </c>
      <c r="J573" t="inlineStr">
        <is>
          <t>II 67,10b</t>
        </is>
      </c>
      <c r="K573" t="inlineStr">
        <is>
          <t>II 67,10b</t>
        </is>
      </c>
      <c r="L573" t="inlineStr">
        <is>
          <t>II 67,10b</t>
        </is>
      </c>
      <c r="M573" t="inlineStr"/>
      <c r="N573" t="inlineStr">
        <is>
          <t xml:space="preserve">De vita spirituali animae : </t>
        </is>
      </c>
      <c r="O573" t="inlineStr">
        <is>
          <t xml:space="preserve"> : </t>
        </is>
      </c>
      <c r="P573" t="inlineStr">
        <is>
          <t>x</t>
        </is>
      </c>
      <c r="Q573" t="inlineStr"/>
      <c r="R573" t="inlineStr">
        <is>
          <t>Ledereinband, Schließen, erhabene Buchbeschläge</t>
        </is>
      </c>
      <c r="S573" t="inlineStr">
        <is>
          <t>bis 25 cm</t>
        </is>
      </c>
      <c r="T573" t="inlineStr">
        <is>
          <t>80° bis 110°, einseitig digitalisierbar?</t>
        </is>
      </c>
      <c r="U573" t="inlineStr">
        <is>
          <t>hohler Rücken, stark brüchiges Einbandmaterial</t>
        </is>
      </c>
      <c r="V573" t="inlineStr"/>
      <c r="W573" t="inlineStr">
        <is>
          <t>Kassette</t>
        </is>
      </c>
      <c r="X573" t="inlineStr">
        <is>
          <t>Nein</t>
        </is>
      </c>
      <c r="Y573" t="n">
        <v>3</v>
      </c>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n">
        <v>0</v>
      </c>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c r="DC573" t="inlineStr"/>
      <c r="DD573" t="inlineStr"/>
      <c r="DE573" t="inlineStr"/>
      <c r="DF573" t="inlineStr"/>
      <c r="DG573" t="inlineStr"/>
    </row>
    <row r="574">
      <c r="A574" t="inlineStr">
        <is>
          <t>II</t>
        </is>
      </c>
      <c r="B574" t="b">
        <v>1</v>
      </c>
      <c r="C574" t="inlineStr"/>
      <c r="D574" t="inlineStr"/>
      <c r="E574" t="n">
        <v>568</v>
      </c>
      <c r="F574">
        <f>HYPERLINK("https://portal.dnb.de/opac.htm?method=simpleSearch&amp;cqlMode=true&amp;query=idn%3D1072378760", "Portal")</f>
        <v/>
      </c>
      <c r="G574" t="inlineStr">
        <is>
          <t>Aa</t>
        </is>
      </c>
      <c r="H574" t="inlineStr">
        <is>
          <t>L-1475-327679387</t>
        </is>
      </c>
      <c r="I574" t="inlineStr">
        <is>
          <t>1072378760</t>
        </is>
      </c>
      <c r="J574" t="inlineStr">
        <is>
          <t>II 67,11a</t>
        </is>
      </c>
      <c r="K574" t="inlineStr">
        <is>
          <t>II 67,11a</t>
        </is>
      </c>
      <c r="L574" t="inlineStr">
        <is>
          <t>II 67,11a</t>
        </is>
      </c>
      <c r="M574" t="inlineStr"/>
      <c r="N574" t="inlineStr">
        <is>
          <t xml:space="preserve">Epistolae ad Lucilium : </t>
        </is>
      </c>
      <c r="O574" t="inlineStr">
        <is>
          <t xml:space="preserve"> : </t>
        </is>
      </c>
      <c r="P574" t="inlineStr">
        <is>
          <t>x</t>
        </is>
      </c>
      <c r="Q574" t="inlineStr"/>
      <c r="R574" t="inlineStr">
        <is>
          <t>Ledereinband</t>
        </is>
      </c>
      <c r="S574" t="inlineStr">
        <is>
          <t>bis 25 cm</t>
        </is>
      </c>
      <c r="T574" t="inlineStr">
        <is>
          <t>80° bis 110°, einseitig digitalisierbar?</t>
        </is>
      </c>
      <c r="U574" t="inlineStr">
        <is>
          <t>hohler Rücken, erhabene Illuminationen</t>
        </is>
      </c>
      <c r="V574" t="inlineStr">
        <is>
          <t>nicht auflegen</t>
        </is>
      </c>
      <c r="W574" t="inlineStr">
        <is>
          <t>Kapsel</t>
        </is>
      </c>
      <c r="X574" t="inlineStr">
        <is>
          <t>Nein</t>
        </is>
      </c>
      <c r="Y574" t="n">
        <v>0</v>
      </c>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n">
        <v>0</v>
      </c>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t>
        </is>
      </c>
      <c r="B575" t="b">
        <v>1</v>
      </c>
      <c r="C575" t="inlineStr">
        <is>
          <t>x</t>
        </is>
      </c>
      <c r="D575" t="inlineStr"/>
      <c r="E575" t="n">
        <v>569</v>
      </c>
      <c r="F575">
        <f>HYPERLINK("https://portal.dnb.de/opac.htm?method=simpleSearch&amp;cqlMode=true&amp;query=idn%3D106697070X", "Portal")</f>
        <v/>
      </c>
      <c r="G575" t="inlineStr">
        <is>
          <t>Aaf</t>
        </is>
      </c>
      <c r="H575" t="inlineStr">
        <is>
          <t>L-1481-315501057</t>
        </is>
      </c>
      <c r="I575" t="inlineStr">
        <is>
          <t>106697070X</t>
        </is>
      </c>
      <c r="J575" t="inlineStr">
        <is>
          <t>II 68,1a</t>
        </is>
      </c>
      <c r="K575" t="inlineStr">
        <is>
          <t>II 68,1a</t>
        </is>
      </c>
      <c r="L575" t="inlineStr">
        <is>
          <t>II 68,1a</t>
        </is>
      </c>
      <c r="M575" t="inlineStr"/>
      <c r="N575" t="inlineStr">
        <is>
          <t xml:space="preserve">Quaestiones super tota philosophia naturali : </t>
        </is>
      </c>
      <c r="O575" t="inlineStr">
        <is>
          <t xml:space="preserve"> : </t>
        </is>
      </c>
      <c r="P575" t="inlineStr">
        <is>
          <t>X</t>
        </is>
      </c>
      <c r="Q575" t="inlineStr">
        <is>
          <t>7000,00 EUR</t>
        </is>
      </c>
      <c r="R575" t="inlineStr">
        <is>
          <t>Halbledereinband, Schließen, erhabene Buchbeschläge</t>
        </is>
      </c>
      <c r="S575" t="inlineStr">
        <is>
          <t>bis 35 cm</t>
        </is>
      </c>
      <c r="T575" t="inlineStr">
        <is>
          <t>80° bis 110°, einseitig digitalisierbar?</t>
        </is>
      </c>
      <c r="U575" t="inlineStr">
        <is>
          <t>Schrift bis in den Falz, stark brüchiges Einbandmaterial</t>
        </is>
      </c>
      <c r="V575" t="inlineStr"/>
      <c r="W575" t="inlineStr">
        <is>
          <t>Kassette</t>
        </is>
      </c>
      <c r="X575" t="inlineStr">
        <is>
          <t>Nein</t>
        </is>
      </c>
      <c r="Y575" t="n">
        <v>3</v>
      </c>
      <c r="Z575" t="inlineStr"/>
      <c r="AA575" t="inlineStr"/>
      <c r="AB575" t="inlineStr"/>
      <c r="AC575" t="inlineStr"/>
      <c r="AD575" t="inlineStr"/>
      <c r="AE575" t="inlineStr"/>
      <c r="AF575" t="inlineStr"/>
      <c r="AG575" t="inlineStr"/>
      <c r="AH575" t="inlineStr"/>
      <c r="AI575" t="inlineStr">
        <is>
          <t>HL</t>
        </is>
      </c>
      <c r="AJ575" t="inlineStr"/>
      <c r="AK575" t="inlineStr">
        <is>
          <t>x</t>
        </is>
      </c>
      <c r="AL575" t="inlineStr"/>
      <c r="AM575" t="inlineStr">
        <is>
          <t>h/E</t>
        </is>
      </c>
      <c r="AN575" t="inlineStr"/>
      <c r="AO575" t="inlineStr"/>
      <c r="AP575" t="inlineStr"/>
      <c r="AQ575" t="inlineStr"/>
      <c r="AR575" t="inlineStr"/>
      <c r="AS575" t="inlineStr">
        <is>
          <t>Pa</t>
        </is>
      </c>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is>
          <t>nur 110</t>
        </is>
      </c>
      <c r="BH575" t="inlineStr"/>
      <c r="BI575" t="inlineStr">
        <is>
          <t>x</t>
        </is>
      </c>
      <c r="BJ575" t="inlineStr">
        <is>
          <t xml:space="preserve">
DL erklären, dass es bröseln wird und Gelenk ws. komplett bricht und das das in diesem Fall ok. Ist.</t>
        </is>
      </c>
      <c r="BK575" t="inlineStr"/>
      <c r="BL575" t="inlineStr"/>
      <c r="BM575" t="inlineStr">
        <is>
          <t>ja nach</t>
        </is>
      </c>
      <c r="BN575" t="n">
        <v>0.5</v>
      </c>
      <c r="BO575" t="inlineStr"/>
      <c r="BP575" t="inlineStr">
        <is>
          <t>Wellpappe</t>
        </is>
      </c>
      <c r="BQ575" t="inlineStr"/>
      <c r="BR575" t="inlineStr"/>
      <c r="BS575" t="inlineStr"/>
      <c r="BT575" t="inlineStr"/>
      <c r="BU575" t="inlineStr"/>
      <c r="BV575" t="inlineStr">
        <is>
          <t>Buch lässt sich im kaputten Zustand besser öffnen und außerdem ist Leder extrem brüchig, daher Rest. Nachher</t>
        </is>
      </c>
      <c r="BW575" t="inlineStr"/>
      <c r="BX575" t="inlineStr"/>
      <c r="BY575" t="inlineStr"/>
      <c r="BZ575" t="inlineStr">
        <is>
          <t>x</t>
        </is>
      </c>
      <c r="CA575" t="inlineStr">
        <is>
          <t>x</t>
        </is>
      </c>
      <c r="CB575" t="inlineStr"/>
      <c r="CC575" t="inlineStr"/>
      <c r="CD575" t="inlineStr">
        <is>
          <t>v</t>
        </is>
      </c>
      <c r="CE575" t="inlineStr"/>
      <c r="CF575" t="inlineStr">
        <is>
          <t>x</t>
        </is>
      </c>
      <c r="CG575" t="inlineStr"/>
      <c r="CH575" t="inlineStr"/>
      <c r="CI575" t="inlineStr"/>
      <c r="CJ575" t="inlineStr"/>
      <c r="CK575" t="inlineStr"/>
      <c r="CL575" t="inlineStr"/>
      <c r="CM575" t="n">
        <v>0.5</v>
      </c>
      <c r="CN575" t="inlineStr">
        <is>
          <t>Hülse (nach der Rest., Buch öffnet sich so besser)</t>
        </is>
      </c>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t>
        </is>
      </c>
      <c r="B576" t="b">
        <v>1</v>
      </c>
      <c r="C576" t="inlineStr">
        <is>
          <t>x</t>
        </is>
      </c>
      <c r="D576" t="inlineStr"/>
      <c r="E576" t="n">
        <v>570</v>
      </c>
      <c r="F576">
        <f>HYPERLINK("https://portal.dnb.de/opac.htm?method=simpleSearch&amp;cqlMode=true&amp;query=idn%3D1079560041", "Portal")</f>
        <v/>
      </c>
      <c r="G576" t="inlineStr">
        <is>
          <t>Aal</t>
        </is>
      </c>
      <c r="H576" t="inlineStr">
        <is>
          <t>L-1482-343708523</t>
        </is>
      </c>
      <c r="I576" t="inlineStr">
        <is>
          <t>1079560041</t>
        </is>
      </c>
      <c r="J576" t="inlineStr">
        <is>
          <t>II 68,1b</t>
        </is>
      </c>
      <c r="K576" t="inlineStr">
        <is>
          <t>II 68,1b</t>
        </is>
      </c>
      <c r="L576" t="inlineStr">
        <is>
          <t>II 68,1b</t>
        </is>
      </c>
      <c r="M576" t="inlineStr"/>
      <c r="N576" t="inlineStr">
        <is>
          <t xml:space="preserve">Expositio logicae : </t>
        </is>
      </c>
      <c r="O576" t="inlineStr">
        <is>
          <t xml:space="preserve"> : </t>
        </is>
      </c>
      <c r="P576" t="inlineStr">
        <is>
          <t>x</t>
        </is>
      </c>
      <c r="Q576" t="inlineStr">
        <is>
          <t>5000,00 EUR</t>
        </is>
      </c>
      <c r="R576" t="inlineStr">
        <is>
          <t>Halbledereinband, Schließen, erhabene Buchbeschläge</t>
        </is>
      </c>
      <c r="S576" t="inlineStr">
        <is>
          <t>bis 25 cm</t>
        </is>
      </c>
      <c r="T576" t="inlineStr">
        <is>
          <t>80° bis 110°, einseitig digitalisierbar?</t>
        </is>
      </c>
      <c r="U576" t="inlineStr">
        <is>
          <t>hohler Rücken, stark brüchiges Einbandmaterial, Schrift bis in den Falz</t>
        </is>
      </c>
      <c r="V576" t="inlineStr"/>
      <c r="W576" t="inlineStr">
        <is>
          <t>Kassette</t>
        </is>
      </c>
      <c r="X576" t="inlineStr">
        <is>
          <t>Nein</t>
        </is>
      </c>
      <c r="Y576" t="n">
        <v>2</v>
      </c>
      <c r="Z576" t="inlineStr"/>
      <c r="AA576" t="inlineStr"/>
      <c r="AB576" t="inlineStr"/>
      <c r="AC576" t="inlineStr"/>
      <c r="AD576" t="inlineStr"/>
      <c r="AE576" t="inlineStr"/>
      <c r="AF576" t="inlineStr"/>
      <c r="AG576" t="inlineStr"/>
      <c r="AH576" t="inlineStr"/>
      <c r="AI576" t="inlineStr">
        <is>
          <t>G</t>
        </is>
      </c>
      <c r="AJ576" t="inlineStr"/>
      <c r="AK576" t="inlineStr">
        <is>
          <t>x</t>
        </is>
      </c>
      <c r="AL576" t="inlineStr"/>
      <c r="AM576" t="inlineStr">
        <is>
          <t>h/E</t>
        </is>
      </c>
      <c r="AN576" t="inlineStr"/>
      <c r="AO576" t="inlineStr"/>
      <c r="AP576" t="inlineStr"/>
      <c r="AQ576" t="inlineStr"/>
      <c r="AR576" t="inlineStr"/>
      <c r="AS576" t="inlineStr">
        <is>
          <t>Pa</t>
        </is>
      </c>
      <c r="AT576" t="inlineStr"/>
      <c r="AU576" t="inlineStr"/>
      <c r="AV576" t="inlineStr"/>
      <c r="AW576" t="inlineStr"/>
      <c r="AX576" t="inlineStr"/>
      <c r="AY576" t="inlineStr"/>
      <c r="AZ576" t="inlineStr"/>
      <c r="BA576" t="inlineStr"/>
      <c r="BB576" t="inlineStr"/>
      <c r="BC576" t="inlineStr"/>
      <c r="BD576" t="inlineStr"/>
      <c r="BE576" t="inlineStr"/>
      <c r="BF576" t="inlineStr"/>
      <c r="BG576" t="n">
        <v>60</v>
      </c>
      <c r="BH576" t="inlineStr"/>
      <c r="BI576" t="inlineStr"/>
      <c r="BJ576" t="inlineStr"/>
      <c r="BK576" t="inlineStr"/>
      <c r="BL576" t="inlineStr"/>
      <c r="BM576" t="inlineStr">
        <is>
          <t>ja vor</t>
        </is>
      </c>
      <c r="BN576" t="n">
        <v>0.5</v>
      </c>
      <c r="BO576" t="inlineStr"/>
      <c r="BP576" t="inlineStr">
        <is>
          <t>Wellpappe</t>
        </is>
      </c>
      <c r="BQ576" t="inlineStr"/>
      <c r="BR576" t="inlineStr"/>
      <c r="BS576" t="inlineStr"/>
      <c r="BT576" t="inlineStr"/>
      <c r="BU576" t="inlineStr"/>
      <c r="BV576" t="inlineStr">
        <is>
          <t>Schaden stabil</t>
        </is>
      </c>
      <c r="BW576" t="inlineStr"/>
      <c r="BX576" t="inlineStr"/>
      <c r="BY576" t="inlineStr"/>
      <c r="BZ576" t="inlineStr">
        <is>
          <t>x Teilhülse, nicht rausgeben!!</t>
        </is>
      </c>
      <c r="CA576" t="inlineStr">
        <is>
          <t>x</t>
        </is>
      </c>
      <c r="CB576" t="inlineStr"/>
      <c r="CC576" t="inlineStr"/>
      <c r="CD576" t="inlineStr">
        <is>
          <t>v/h</t>
        </is>
      </c>
      <c r="CE576" t="inlineStr"/>
      <c r="CF576" t="inlineStr">
        <is>
          <t>x</t>
        </is>
      </c>
      <c r="CG576" t="inlineStr"/>
      <c r="CH576" t="inlineStr"/>
      <c r="CI576" t="inlineStr"/>
      <c r="CJ576" t="inlineStr"/>
      <c r="CK576" t="inlineStr"/>
      <c r="CL576" t="inlineStr"/>
      <c r="CM576" t="n">
        <v>0.5</v>
      </c>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t>
        </is>
      </c>
      <c r="B577" t="b">
        <v>1</v>
      </c>
      <c r="C577" t="inlineStr"/>
      <c r="D577" t="inlineStr"/>
      <c r="E577" t="n">
        <v>571</v>
      </c>
      <c r="F577">
        <f>HYPERLINK("https://portal.dnb.de/opac.htm?method=simpleSearch&amp;cqlMode=true&amp;query=idn%3D1072108216", "Portal")</f>
        <v/>
      </c>
      <c r="G577" t="inlineStr">
        <is>
          <t>Aa</t>
        </is>
      </c>
      <c r="H577" t="inlineStr">
        <is>
          <t>L-1481-326907726</t>
        </is>
      </c>
      <c r="I577" t="inlineStr">
        <is>
          <t>1072108216</t>
        </is>
      </c>
      <c r="J577" t="inlineStr">
        <is>
          <t>II 69,1a</t>
        </is>
      </c>
      <c r="K577" t="inlineStr">
        <is>
          <t>II 69,1a</t>
        </is>
      </c>
      <c r="L577" t="inlineStr">
        <is>
          <t>II 69,1a</t>
        </is>
      </c>
      <c r="M577" t="inlineStr"/>
      <c r="N577" t="inlineStr">
        <is>
          <t xml:space="preserve">Opera : </t>
        </is>
      </c>
      <c r="O577" t="inlineStr">
        <is>
          <t xml:space="preserve"> : </t>
        </is>
      </c>
      <c r="P577" t="inlineStr">
        <is>
          <t>X</t>
        </is>
      </c>
      <c r="Q577" t="inlineStr"/>
      <c r="R577" t="inlineStr">
        <is>
          <t>Halbledereinband, Schließen, erhabene Buchbeschläge</t>
        </is>
      </c>
      <c r="S577" t="inlineStr">
        <is>
          <t>bis 35 cm</t>
        </is>
      </c>
      <c r="T577" t="inlineStr">
        <is>
          <t>180°</t>
        </is>
      </c>
      <c r="U577" t="inlineStr">
        <is>
          <t>welliger Buchblock, stark brüchiges Einbandmaterial</t>
        </is>
      </c>
      <c r="V577" t="inlineStr"/>
      <c r="W577" t="inlineStr">
        <is>
          <t>Kassette</t>
        </is>
      </c>
      <c r="X577" t="inlineStr">
        <is>
          <t>Nein</t>
        </is>
      </c>
      <c r="Y577" t="n">
        <v>3</v>
      </c>
      <c r="Z577" t="inlineStr"/>
      <c r="AA577" t="inlineStr">
        <is>
          <t>Rücken fehlt</t>
        </is>
      </c>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t>
        </is>
      </c>
      <c r="B578" t="b">
        <v>1</v>
      </c>
      <c r="C578" t="inlineStr">
        <is>
          <t>x</t>
        </is>
      </c>
      <c r="D578" t="inlineStr"/>
      <c r="E578" t="n">
        <v>572</v>
      </c>
      <c r="F578">
        <f>HYPERLINK("https://portal.dnb.de/opac.htm?method=simpleSearch&amp;cqlMode=true&amp;query=idn%3D1066965226", "Portal")</f>
        <v/>
      </c>
      <c r="G578" t="inlineStr">
        <is>
          <t>Aaf</t>
        </is>
      </c>
      <c r="H578" t="inlineStr">
        <is>
          <t>L-1498-315495375</t>
        </is>
      </c>
      <c r="I578" t="inlineStr">
        <is>
          <t>1066965226</t>
        </is>
      </c>
      <c r="J578" t="inlineStr">
        <is>
          <t>II 69,2a</t>
        </is>
      </c>
      <c r="K578" t="inlineStr">
        <is>
          <t>II 69,2a</t>
        </is>
      </c>
      <c r="L578" t="inlineStr">
        <is>
          <t>II 69,2a</t>
        </is>
      </c>
      <c r="M578" t="inlineStr"/>
      <c r="N578" t="inlineStr">
        <is>
          <t xml:space="preserve">Super feudis : </t>
        </is>
      </c>
      <c r="O578" t="inlineStr">
        <is>
          <t xml:space="preserve"> : </t>
        </is>
      </c>
      <c r="P578" t="inlineStr"/>
      <c r="Q578" t="inlineStr">
        <is>
          <t>1500,00 EUR</t>
        </is>
      </c>
      <c r="R578" t="inlineStr"/>
      <c r="S578" t="inlineStr">
        <is>
          <t>bis 42 cm</t>
        </is>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is>
          <t>HD</t>
        </is>
      </c>
      <c r="AJ578" t="inlineStr"/>
      <c r="AK578" t="inlineStr">
        <is>
          <t>x</t>
        </is>
      </c>
      <c r="AL578" t="inlineStr"/>
      <c r="AM578" t="inlineStr">
        <is>
          <t>f/V</t>
        </is>
      </c>
      <c r="AN578" t="inlineStr"/>
      <c r="AO578" t="inlineStr"/>
      <c r="AP578" t="inlineStr"/>
      <c r="AQ578" t="inlineStr"/>
      <c r="AR578" t="inlineStr">
        <is>
          <t>x</t>
        </is>
      </c>
      <c r="AS578" t="inlineStr">
        <is>
          <t>Pa</t>
        </is>
      </c>
      <c r="AT578" t="inlineStr"/>
      <c r="AU578" t="inlineStr"/>
      <c r="AV578" t="inlineStr"/>
      <c r="AW578" t="inlineStr"/>
      <c r="AX578" t="inlineStr"/>
      <c r="AY578" t="inlineStr"/>
      <c r="AZ578" t="inlineStr"/>
      <c r="BA578" t="inlineStr"/>
      <c r="BB578" t="inlineStr"/>
      <c r="BC578" t="inlineStr"/>
      <c r="BD578" t="inlineStr"/>
      <c r="BE578" t="inlineStr"/>
      <c r="BF578" t="inlineStr"/>
      <c r="BG578" t="n">
        <v>45</v>
      </c>
      <c r="BH578" t="inlineStr"/>
      <c r="BI578" t="inlineStr"/>
      <c r="BJ578" t="inlineStr"/>
      <c r="BK578" t="inlineStr"/>
      <c r="BL578" t="inlineStr"/>
      <c r="BM578" t="inlineStr">
        <is>
          <t>ja vor</t>
        </is>
      </c>
      <c r="BN578" t="n">
        <v>2</v>
      </c>
      <c r="BO578" t="inlineStr"/>
      <c r="BP578" t="inlineStr"/>
      <c r="BQ578" t="inlineStr"/>
      <c r="BR578" t="inlineStr">
        <is>
          <t>x</t>
        </is>
      </c>
      <c r="BS578" t="inlineStr"/>
      <c r="BT578" t="inlineStr"/>
      <c r="BU578" t="inlineStr"/>
      <c r="BV578" t="inlineStr"/>
      <c r="BW578" t="inlineStr"/>
      <c r="BX578" t="inlineStr"/>
      <c r="BY578" t="inlineStr"/>
      <c r="BZ578" t="inlineStr">
        <is>
          <t>x</t>
        </is>
      </c>
      <c r="CA578" t="inlineStr"/>
      <c r="CB578" t="inlineStr">
        <is>
          <t>x</t>
        </is>
      </c>
      <c r="CC578" t="inlineStr"/>
      <c r="CD578" t="inlineStr">
        <is>
          <t>h</t>
        </is>
      </c>
      <c r="CE578" t="inlineStr"/>
      <c r="CF578" t="inlineStr"/>
      <c r="CG578" t="inlineStr"/>
      <c r="CH578" t="inlineStr">
        <is>
          <t>x</t>
        </is>
      </c>
      <c r="CI578" t="inlineStr"/>
      <c r="CJ578" t="inlineStr"/>
      <c r="CK578" t="inlineStr"/>
      <c r="CL578" t="inlineStr"/>
      <c r="CM578" t="n">
        <v>2</v>
      </c>
      <c r="CN578" t="inlineStr">
        <is>
          <t>Riss im Rücken mit JP-Gewebe-Laminat unterlegen, Titelschilder fixieren, Schließenriemen unten spalten und dünnes Pergament einziehen, anschießend Kanten ggf. mit JP einfassen/überfangen</t>
        </is>
      </c>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t>
        </is>
      </c>
      <c r="B579" t="b">
        <v>1</v>
      </c>
      <c r="C579" t="inlineStr">
        <is>
          <t>x</t>
        </is>
      </c>
      <c r="D579" t="inlineStr"/>
      <c r="E579" t="n">
        <v>573</v>
      </c>
      <c r="F579">
        <f>HYPERLINK("https://portal.dnb.de/opac.htm?method=simpleSearch&amp;cqlMode=true&amp;query=idn%3D1072378957", "Portal")</f>
        <v/>
      </c>
      <c r="G579" t="inlineStr">
        <is>
          <t>Aa</t>
        </is>
      </c>
      <c r="H579" t="inlineStr">
        <is>
          <t>L-1484-327679522</t>
        </is>
      </c>
      <c r="I579" t="inlineStr">
        <is>
          <t>1072378957</t>
        </is>
      </c>
      <c r="J579" t="inlineStr">
        <is>
          <t>II 69,3a</t>
        </is>
      </c>
      <c r="K579" t="inlineStr">
        <is>
          <t>II 69,3a</t>
        </is>
      </c>
      <c r="L579" t="inlineStr">
        <is>
          <t>II 69,3a</t>
        </is>
      </c>
      <c r="M579" t="inlineStr"/>
      <c r="N579" t="inlineStr">
        <is>
          <t xml:space="preserve">De iure emphyteutico (Cod. 4,66) : </t>
        </is>
      </c>
      <c r="O579" t="inlineStr">
        <is>
          <t xml:space="preserve"> : </t>
        </is>
      </c>
      <c r="P579" t="inlineStr"/>
      <c r="Q579" t="inlineStr">
        <is>
          <t>8000,00 EUR</t>
        </is>
      </c>
      <c r="R579" t="inlineStr"/>
      <c r="S579" t="inlineStr">
        <is>
          <t>bis 42 cm</t>
        </is>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is>
          <t>G</t>
        </is>
      </c>
      <c r="AJ579" t="inlineStr"/>
      <c r="AK579" t="inlineStr">
        <is>
          <t>x</t>
        </is>
      </c>
      <c r="AL579" t="inlineStr"/>
      <c r="AM579" t="inlineStr">
        <is>
          <t>h/E</t>
        </is>
      </c>
      <c r="AN579" t="inlineStr"/>
      <c r="AO579" t="inlineStr"/>
      <c r="AP579" t="inlineStr"/>
      <c r="AQ579" t="inlineStr"/>
      <c r="AR579" t="inlineStr"/>
      <c r="AS579" t="inlineStr">
        <is>
          <t>Pa</t>
        </is>
      </c>
      <c r="AT579" t="inlineStr"/>
      <c r="AU579" t="inlineStr"/>
      <c r="AV579" t="inlineStr"/>
      <c r="AW579" t="inlineStr"/>
      <c r="AX579" t="inlineStr"/>
      <c r="AY579" t="inlineStr"/>
      <c r="AZ579" t="inlineStr"/>
      <c r="BA579" t="inlineStr"/>
      <c r="BB579" t="inlineStr"/>
      <c r="BC579" t="inlineStr"/>
      <c r="BD579" t="inlineStr"/>
      <c r="BE579" t="inlineStr"/>
      <c r="BF579" t="inlineStr"/>
      <c r="BG579" t="n">
        <v>110</v>
      </c>
      <c r="BH579" t="inlineStr"/>
      <c r="BI579" t="inlineStr"/>
      <c r="BJ579" t="inlineStr"/>
      <c r="BK579" t="inlineStr"/>
      <c r="BL579" t="inlineStr"/>
      <c r="BM579" t="inlineStr">
        <is>
          <t>ja vor</t>
        </is>
      </c>
      <c r="BN579" t="n">
        <v>2.5</v>
      </c>
      <c r="BO579" t="inlineStr"/>
      <c r="BP579" t="inlineStr"/>
      <c r="BQ579" t="inlineStr"/>
      <c r="BR579" t="inlineStr">
        <is>
          <t>x</t>
        </is>
      </c>
      <c r="BS579" t="inlineStr"/>
      <c r="BT579" t="inlineStr"/>
      <c r="BU579" t="inlineStr"/>
      <c r="BV579" t="inlineStr"/>
      <c r="BW579" t="inlineStr"/>
      <c r="BX579" t="inlineStr"/>
      <c r="BY579" t="inlineStr"/>
      <c r="BZ579" t="inlineStr">
        <is>
          <t>x</t>
        </is>
      </c>
      <c r="CA579" t="inlineStr"/>
      <c r="CB579" t="inlineStr">
        <is>
          <t>x</t>
        </is>
      </c>
      <c r="CC579" t="inlineStr"/>
      <c r="CD579" t="inlineStr"/>
      <c r="CE579" t="inlineStr"/>
      <c r="CF579" t="inlineStr"/>
      <c r="CG579" t="inlineStr"/>
      <c r="CH579" t="inlineStr"/>
      <c r="CI579" t="inlineStr"/>
      <c r="CJ579" t="inlineStr"/>
      <c r="CK579" t="inlineStr"/>
      <c r="CL579" t="inlineStr"/>
      <c r="CM579" t="n">
        <v>1</v>
      </c>
      <c r="CN579" t="inlineStr">
        <is>
          <t>Fehlstellen im Rücken mit JP schließen, Gewebe fixieren</t>
        </is>
      </c>
      <c r="CO579" t="inlineStr"/>
      <c r="CP579" t="inlineStr"/>
      <c r="CQ579" t="inlineStr"/>
      <c r="CR579" t="inlineStr"/>
      <c r="CS579" t="inlineStr">
        <is>
          <t>x</t>
        </is>
      </c>
      <c r="CT579" t="inlineStr"/>
      <c r="CU579" t="inlineStr"/>
      <c r="CV579" t="inlineStr"/>
      <c r="CW579" t="inlineStr"/>
      <c r="CX579" t="inlineStr"/>
      <c r="CY579" t="inlineStr"/>
      <c r="CZ579" t="inlineStr"/>
      <c r="DA579" t="inlineStr"/>
      <c r="DB579" t="inlineStr"/>
      <c r="DC579" t="inlineStr"/>
      <c r="DD579" t="inlineStr"/>
      <c r="DE579" t="inlineStr"/>
      <c r="DF579" t="n">
        <v>1.5</v>
      </c>
      <c r="DG579" t="inlineStr">
        <is>
          <t>lose Vorsatzblätter mittel JP-Falz befestigen</t>
        </is>
      </c>
    </row>
    <row r="580">
      <c r="A580" t="inlineStr">
        <is>
          <t>II</t>
        </is>
      </c>
      <c r="B580" t="b">
        <v>1</v>
      </c>
      <c r="C580" t="inlineStr">
        <is>
          <t>x</t>
        </is>
      </c>
      <c r="D580" t="inlineStr"/>
      <c r="E580" t="n">
        <v>574</v>
      </c>
      <c r="F580">
        <f>HYPERLINK("https://portal.dnb.de/opac.htm?method=simpleSearch&amp;cqlMode=true&amp;query=idn%3D1072111624", "Portal")</f>
        <v/>
      </c>
      <c r="G580" t="inlineStr">
        <is>
          <t>Aa</t>
        </is>
      </c>
      <c r="H580" t="inlineStr">
        <is>
          <t>L-1498-326910484</t>
        </is>
      </c>
      <c r="I580" t="inlineStr">
        <is>
          <t>1072111624</t>
        </is>
      </c>
      <c r="J580" t="inlineStr">
        <is>
          <t>II 70,1a</t>
        </is>
      </c>
      <c r="K580" t="inlineStr">
        <is>
          <t>II 70,1a</t>
        </is>
      </c>
      <c r="L580" t="inlineStr">
        <is>
          <t>II 70,1a</t>
        </is>
      </c>
      <c r="M580" t="inlineStr"/>
      <c r="N580" t="inlineStr">
        <is>
          <t xml:space="preserve">Repetitiones et disputationes : </t>
        </is>
      </c>
      <c r="O580" t="inlineStr">
        <is>
          <t xml:space="preserve"> : </t>
        </is>
      </c>
      <c r="P580" t="inlineStr"/>
      <c r="Q580" t="inlineStr">
        <is>
          <t>9000,00 EUR</t>
        </is>
      </c>
      <c r="R580" t="inlineStr"/>
      <c r="S580" t="inlineStr">
        <is>
          <t>bis 42 cm</t>
        </is>
      </c>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is>
          <t>HL</t>
        </is>
      </c>
      <c r="AJ580" t="inlineStr"/>
      <c r="AK580" t="inlineStr">
        <is>
          <t>x</t>
        </is>
      </c>
      <c r="AL580" t="inlineStr"/>
      <c r="AM580" t="inlineStr">
        <is>
          <t>h/E</t>
        </is>
      </c>
      <c r="AN580" t="inlineStr"/>
      <c r="AO580" t="inlineStr"/>
      <c r="AP580" t="inlineStr"/>
      <c r="AQ580" t="inlineStr"/>
      <c r="AR580" t="inlineStr"/>
      <c r="AS580" t="inlineStr">
        <is>
          <t>Pa</t>
        </is>
      </c>
      <c r="AT580" t="inlineStr">
        <is>
          <t>x</t>
        </is>
      </c>
      <c r="AU580" t="inlineStr"/>
      <c r="AV580" t="inlineStr"/>
      <c r="AW580" t="inlineStr"/>
      <c r="AX580" t="inlineStr"/>
      <c r="AY580" t="inlineStr"/>
      <c r="AZ580" t="inlineStr"/>
      <c r="BA580" t="inlineStr"/>
      <c r="BB580" t="inlineStr"/>
      <c r="BC580" t="inlineStr"/>
      <c r="BD580" t="inlineStr"/>
      <c r="BE580" t="inlineStr"/>
      <c r="BF580" t="inlineStr"/>
      <c r="BG580" t="n">
        <v>110</v>
      </c>
      <c r="BH580" t="inlineStr"/>
      <c r="BI580" t="inlineStr"/>
      <c r="BJ580" t="inlineStr"/>
      <c r="BK580" t="inlineStr"/>
      <c r="BL580" t="inlineStr"/>
      <c r="BM580" t="inlineStr">
        <is>
          <t>ja vor</t>
        </is>
      </c>
      <c r="BN580" t="n">
        <v>2</v>
      </c>
      <c r="BO580" t="inlineStr"/>
      <c r="BP580" t="inlineStr"/>
      <c r="BQ580" t="inlineStr"/>
      <c r="BR580" t="inlineStr">
        <is>
          <t>x</t>
        </is>
      </c>
      <c r="BS580" t="inlineStr"/>
      <c r="BT580" t="inlineStr"/>
      <c r="BU580" t="inlineStr"/>
      <c r="BV580" t="inlineStr"/>
      <c r="BW580" t="inlineStr"/>
      <c r="BX580" t="inlineStr"/>
      <c r="BY580" t="inlineStr"/>
      <c r="BZ580" t="inlineStr">
        <is>
          <t>x</t>
        </is>
      </c>
      <c r="CA580" t="inlineStr">
        <is>
          <t>x</t>
        </is>
      </c>
      <c r="CB580" t="inlineStr">
        <is>
          <t>x</t>
        </is>
      </c>
      <c r="CC580" t="inlineStr"/>
      <c r="CD580" t="inlineStr">
        <is>
          <t>v/h</t>
        </is>
      </c>
      <c r="CE580" t="inlineStr"/>
      <c r="CF580" t="inlineStr">
        <is>
          <t>x</t>
        </is>
      </c>
      <c r="CG580" t="inlineStr"/>
      <c r="CH580" t="inlineStr"/>
      <c r="CI580" t="inlineStr"/>
      <c r="CJ580" t="inlineStr"/>
      <c r="CK580" t="inlineStr"/>
      <c r="CL580" t="inlineStr"/>
      <c r="CM580" t="n">
        <v>2</v>
      </c>
      <c r="CN580" t="inlineStr">
        <is>
          <t>Gelenk hinten vollständig durchtrennen, Hülse, Gelenke mit JP überfangen</t>
        </is>
      </c>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t>
        </is>
      </c>
      <c r="B581" t="b">
        <v>1</v>
      </c>
      <c r="C581" t="inlineStr"/>
      <c r="D581" t="inlineStr"/>
      <c r="E581" t="n">
        <v>575</v>
      </c>
      <c r="F581">
        <f>HYPERLINK("https://portal.dnb.de/opac.htm?method=simpleSearch&amp;cqlMode=true&amp;query=idn%3D1072112019", "Portal")</f>
        <v/>
      </c>
      <c r="G581" t="inlineStr">
        <is>
          <t>Aa</t>
        </is>
      </c>
      <c r="H581" t="inlineStr">
        <is>
          <t>L-1485-326910751</t>
        </is>
      </c>
      <c r="I581" t="inlineStr">
        <is>
          <t>1072112019</t>
        </is>
      </c>
      <c r="J581" t="inlineStr">
        <is>
          <t>II 72,1a</t>
        </is>
      </c>
      <c r="K581" t="inlineStr">
        <is>
          <t>II 72,1a</t>
        </is>
      </c>
      <c r="L581" t="inlineStr">
        <is>
          <t>II 72,1a</t>
        </is>
      </c>
      <c r="M581" t="inlineStr"/>
      <c r="N581" t="inlineStr">
        <is>
          <t xml:space="preserve">Carmina differentialia : </t>
        </is>
      </c>
      <c r="O581" t="inlineStr">
        <is>
          <t xml:space="preserve"> : </t>
        </is>
      </c>
      <c r="P581" t="inlineStr">
        <is>
          <t>x</t>
        </is>
      </c>
      <c r="Q581" t="inlineStr"/>
      <c r="R581" t="inlineStr">
        <is>
          <t>Halbpergamentband</t>
        </is>
      </c>
      <c r="S581" t="inlineStr">
        <is>
          <t>bis 25 cm</t>
        </is>
      </c>
      <c r="T581" t="inlineStr">
        <is>
          <t>80° bis 110°, einseitig digitalisierbar?</t>
        </is>
      </c>
      <c r="U581" t="inlineStr">
        <is>
          <t>Schrift bis in den Falz, hohler Rücken</t>
        </is>
      </c>
      <c r="V581" t="inlineStr"/>
      <c r="W581" t="inlineStr">
        <is>
          <t>Kassette</t>
        </is>
      </c>
      <c r="X581" t="inlineStr">
        <is>
          <t>Nein</t>
        </is>
      </c>
      <c r="Y581" t="n">
        <v>0</v>
      </c>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n">
        <v>0</v>
      </c>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inlineStr"/>
      <c r="DG581" t="inlineStr"/>
    </row>
    <row r="582">
      <c r="A582" t="inlineStr">
        <is>
          <t>II</t>
        </is>
      </c>
      <c r="B582" t="b">
        <v>1</v>
      </c>
      <c r="C582" t="inlineStr">
        <is>
          <t>x</t>
        </is>
      </c>
      <c r="D582" t="inlineStr"/>
      <c r="E582" t="n">
        <v>576</v>
      </c>
      <c r="F582">
        <f>HYPERLINK("https://portal.dnb.de/opac.htm?method=simpleSearch&amp;cqlMode=true&amp;query=idn%3D1066966818", "Portal")</f>
        <v/>
      </c>
      <c r="G582" t="inlineStr">
        <is>
          <t>Aa</t>
        </is>
      </c>
      <c r="H582" t="inlineStr">
        <is>
          <t>L-1481-315497114</t>
        </is>
      </c>
      <c r="I582" t="inlineStr">
        <is>
          <t>1066966818</t>
        </is>
      </c>
      <c r="J582" t="inlineStr">
        <is>
          <t>II 74,1a</t>
        </is>
      </c>
      <c r="K582" t="inlineStr">
        <is>
          <t>II 74,1a</t>
        </is>
      </c>
      <c r="L582" t="inlineStr">
        <is>
          <t>II 74,1a</t>
        </is>
      </c>
      <c r="M582" t="inlineStr"/>
      <c r="N582" t="inlineStr">
        <is>
          <t xml:space="preserve">Genealogiae deorum : </t>
        </is>
      </c>
      <c r="O582" t="inlineStr">
        <is>
          <t xml:space="preserve"> : </t>
        </is>
      </c>
      <c r="P582" t="inlineStr">
        <is>
          <t>x</t>
        </is>
      </c>
      <c r="Q582" t="inlineStr">
        <is>
          <t>6000,00 EUR</t>
        </is>
      </c>
      <c r="R582" t="inlineStr">
        <is>
          <t>Halbledereinband, Schließen, erhabene Buchbeschläge</t>
        </is>
      </c>
      <c r="S582" t="inlineStr">
        <is>
          <t>bis 35 cm</t>
        </is>
      </c>
      <c r="T582" t="inlineStr">
        <is>
          <t>80° bis 110°, einseitig digitalisierbar?</t>
        </is>
      </c>
      <c r="U582" t="inlineStr">
        <is>
          <t>fester Rücken mit Schmuckprägung, stark brüchiges Einbandmaterial, welliger Buchblock</t>
        </is>
      </c>
      <c r="V582" t="inlineStr"/>
      <c r="W582" t="inlineStr">
        <is>
          <t>Kassette</t>
        </is>
      </c>
      <c r="X582" t="inlineStr">
        <is>
          <t>Nein</t>
        </is>
      </c>
      <c r="Y582" t="n">
        <v>3</v>
      </c>
      <c r="Z582" t="inlineStr"/>
      <c r="AA582" t="inlineStr">
        <is>
          <t>Holzdeckel</t>
        </is>
      </c>
      <c r="AB582" t="inlineStr"/>
      <c r="AC582" t="inlineStr"/>
      <c r="AD582" t="inlineStr"/>
      <c r="AE582" t="inlineStr"/>
      <c r="AF582" t="inlineStr"/>
      <c r="AG582" t="inlineStr"/>
      <c r="AH582" t="inlineStr"/>
      <c r="AI582" t="inlineStr">
        <is>
          <t>HD</t>
        </is>
      </c>
      <c r="AJ582" t="inlineStr"/>
      <c r="AK582" t="inlineStr">
        <is>
          <t>x</t>
        </is>
      </c>
      <c r="AL582" t="inlineStr"/>
      <c r="AM582" t="inlineStr">
        <is>
          <t>f/V</t>
        </is>
      </c>
      <c r="AN582" t="inlineStr"/>
      <c r="AO582" t="inlineStr"/>
      <c r="AP582" t="inlineStr"/>
      <c r="AQ582" t="inlineStr"/>
      <c r="AR582" t="inlineStr"/>
      <c r="AS582" t="inlineStr">
        <is>
          <t>Pa</t>
        </is>
      </c>
      <c r="AT582" t="inlineStr"/>
      <c r="AU582" t="inlineStr"/>
      <c r="AV582" t="inlineStr"/>
      <c r="AW582" t="inlineStr"/>
      <c r="AX582" t="inlineStr"/>
      <c r="AY582" t="inlineStr"/>
      <c r="AZ582" t="inlineStr"/>
      <c r="BA582" t="inlineStr"/>
      <c r="BB582" t="inlineStr"/>
      <c r="BC582" t="inlineStr"/>
      <c r="BD582" t="inlineStr"/>
      <c r="BE582" t="inlineStr"/>
      <c r="BF582" t="inlineStr"/>
      <c r="BG582" t="n">
        <v>60</v>
      </c>
      <c r="BH582" t="inlineStr"/>
      <c r="BI582" t="inlineStr"/>
      <c r="BJ582" t="inlineStr"/>
      <c r="BK582" t="inlineStr"/>
      <c r="BL582" t="inlineStr"/>
      <c r="BM582" t="inlineStr">
        <is>
          <t>ja vor</t>
        </is>
      </c>
      <c r="BN582" t="n">
        <v>3</v>
      </c>
      <c r="BO582" t="inlineStr"/>
      <c r="BP582" t="inlineStr">
        <is>
          <t>Wellpappe</t>
        </is>
      </c>
      <c r="BQ582" t="inlineStr"/>
      <c r="BR582" t="inlineStr"/>
      <c r="BS582" t="inlineStr"/>
      <c r="BT582" t="inlineStr"/>
      <c r="BU582" t="inlineStr"/>
      <c r="BV582" t="inlineStr"/>
      <c r="BW582" t="inlineStr"/>
      <c r="BX582" t="inlineStr"/>
      <c r="BY582" t="inlineStr"/>
      <c r="BZ582" t="inlineStr">
        <is>
          <t>x</t>
        </is>
      </c>
      <c r="CA582" t="inlineStr">
        <is>
          <t>x</t>
        </is>
      </c>
      <c r="CB582" t="inlineStr">
        <is>
          <t>x</t>
        </is>
      </c>
      <c r="CC582" t="inlineStr"/>
      <c r="CD582" t="inlineStr">
        <is>
          <t>v/h</t>
        </is>
      </c>
      <c r="CE582" t="inlineStr"/>
      <c r="CF582" t="inlineStr"/>
      <c r="CG582" t="inlineStr"/>
      <c r="CH582" t="inlineStr"/>
      <c r="CI582" t="inlineStr"/>
      <c r="CJ582" t="inlineStr"/>
      <c r="CK582" t="inlineStr"/>
      <c r="CL582" t="inlineStr"/>
      <c r="CM582" t="n">
        <v>3</v>
      </c>
      <c r="CN582" t="inlineStr">
        <is>
          <t>Gelenke hauptsächlich mit JP überkleben, außer hinten unten: dort unterlegen mit JP, Rücken am Fuß mit JP sichern</t>
        </is>
      </c>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t>
        </is>
      </c>
      <c r="B583" t="b">
        <v>1</v>
      </c>
      <c r="C583" t="inlineStr"/>
      <c r="D583" t="inlineStr"/>
      <c r="E583" t="n">
        <v>577</v>
      </c>
      <c r="F583">
        <f>HYPERLINK("https://portal.dnb.de/opac.htm?method=simpleSearch&amp;cqlMode=true&amp;query=idn%3D1066965455", "Portal")</f>
        <v/>
      </c>
      <c r="G583" t="inlineStr">
        <is>
          <t>Aa</t>
        </is>
      </c>
      <c r="H583" t="inlineStr">
        <is>
          <t>L-1494-315495693</t>
        </is>
      </c>
      <c r="I583" t="inlineStr">
        <is>
          <t>1066965455</t>
        </is>
      </c>
      <c r="J583" t="inlineStr">
        <is>
          <t>II 74,2a</t>
        </is>
      </c>
      <c r="K583" t="inlineStr">
        <is>
          <t>II 74,2a</t>
        </is>
      </c>
      <c r="L583" t="inlineStr">
        <is>
          <t>II 74,2a</t>
        </is>
      </c>
      <c r="M583" t="inlineStr"/>
      <c r="N583" t="inlineStr">
        <is>
          <t>Historia Romana : P. 2</t>
        </is>
      </c>
      <c r="O583" t="inlineStr">
        <is>
          <t xml:space="preserve"> : </t>
        </is>
      </c>
      <c r="P583" t="inlineStr">
        <is>
          <t>X</t>
        </is>
      </c>
      <c r="Q583" t="inlineStr"/>
      <c r="R583" t="inlineStr">
        <is>
          <t>Halbledereinband</t>
        </is>
      </c>
      <c r="S583" t="inlineStr">
        <is>
          <t>bis 35 cm</t>
        </is>
      </c>
      <c r="T583" t="inlineStr">
        <is>
          <t>80° bis 110°, einseitig digitalisierbar?</t>
        </is>
      </c>
      <c r="U583" t="inlineStr">
        <is>
          <t>fester Rücken mit Schmuckprägung</t>
        </is>
      </c>
      <c r="V583" t="inlineStr"/>
      <c r="W583" t="inlineStr">
        <is>
          <t>Kassette</t>
        </is>
      </c>
      <c r="X583" t="inlineStr">
        <is>
          <t>Nein</t>
        </is>
      </c>
      <c r="Y583" t="n">
        <v>1</v>
      </c>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t>
        </is>
      </c>
      <c r="B584" t="b">
        <v>1</v>
      </c>
      <c r="C584" t="inlineStr"/>
      <c r="D584" t="inlineStr"/>
      <c r="E584" t="n">
        <v>578</v>
      </c>
      <c r="F584">
        <f>HYPERLINK("https://portal.dnb.de/opac.htm?method=simpleSearch&amp;cqlMode=true&amp;query=idn%3D1066967458", "Portal")</f>
        <v/>
      </c>
      <c r="G584" t="inlineStr">
        <is>
          <t>Aaf</t>
        </is>
      </c>
      <c r="H584" t="inlineStr">
        <is>
          <t>L-1498-315497718</t>
        </is>
      </c>
      <c r="I584" t="inlineStr">
        <is>
          <t>1066967458</t>
        </is>
      </c>
      <c r="J584" t="inlineStr">
        <is>
          <t>II 74,3a</t>
        </is>
      </c>
      <c r="K584" t="inlineStr">
        <is>
          <t>II 74,3a</t>
        </is>
      </c>
      <c r="L584" t="inlineStr">
        <is>
          <t>II 74,3a</t>
        </is>
      </c>
      <c r="M584" t="inlineStr"/>
      <c r="N584" t="inlineStr">
        <is>
          <t xml:space="preserve">De natura deorum : </t>
        </is>
      </c>
      <c r="O584" t="inlineStr">
        <is>
          <t xml:space="preserve"> : </t>
        </is>
      </c>
      <c r="P584" t="inlineStr">
        <is>
          <t>x</t>
        </is>
      </c>
      <c r="Q584" t="inlineStr"/>
      <c r="R584" t="inlineStr">
        <is>
          <t>Halbledereinband, Schließen, erhabene Buchbeschläge</t>
        </is>
      </c>
      <c r="S584" t="inlineStr">
        <is>
          <t>bis 25 cm</t>
        </is>
      </c>
      <c r="T584" t="inlineStr">
        <is>
          <t>80° bis 110°, einseitig digitalisierbar?</t>
        </is>
      </c>
      <c r="U584" t="inlineStr">
        <is>
          <t>erhabene Illuminationen, hohler Rücken</t>
        </is>
      </c>
      <c r="V584" t="inlineStr">
        <is>
          <t>nicht auflegen</t>
        </is>
      </c>
      <c r="W584" t="inlineStr">
        <is>
          <t>Kassette</t>
        </is>
      </c>
      <c r="X584" t="inlineStr">
        <is>
          <t>Nein</t>
        </is>
      </c>
      <c r="Y584" t="n">
        <v>0</v>
      </c>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t>
        </is>
      </c>
      <c r="B585" t="b">
        <v>1</v>
      </c>
      <c r="C585" t="inlineStr">
        <is>
          <t>x</t>
        </is>
      </c>
      <c r="D585" t="inlineStr"/>
      <c r="E585" t="n">
        <v>579</v>
      </c>
      <c r="F585">
        <f>HYPERLINK("https://portal.dnb.de/opac.htm?method=simpleSearch&amp;cqlMode=true&amp;query=idn%3D1069014885", "Portal")</f>
        <v/>
      </c>
      <c r="G585" t="inlineStr">
        <is>
          <t>Af</t>
        </is>
      </c>
      <c r="H585" t="inlineStr">
        <is>
          <t>L-1470-320163695</t>
        </is>
      </c>
      <c r="I585" t="inlineStr">
        <is>
          <t>1069014885</t>
        </is>
      </c>
      <c r="J585" t="inlineStr">
        <is>
          <t>II 75,1b - 1</t>
        </is>
      </c>
      <c r="K585" t="inlineStr">
        <is>
          <t>II 75,1b - 1</t>
        </is>
      </c>
      <c r="L585" t="inlineStr">
        <is>
          <t>II 75,1b - 1</t>
        </is>
      </c>
      <c r="M585" t="inlineStr"/>
      <c r="N585" t="inlineStr">
        <is>
          <t>Epistolae</t>
        </is>
      </c>
      <c r="O585" t="inlineStr">
        <is>
          <t xml:space="preserve">1. : </t>
        </is>
      </c>
      <c r="P585" t="inlineStr"/>
      <c r="Q585" t="inlineStr">
        <is>
          <t>8000,00 EUR</t>
        </is>
      </c>
      <c r="R585" t="inlineStr"/>
      <c r="S585" t="inlineStr">
        <is>
          <t>bis 42 cm</t>
        </is>
      </c>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is>
          <t>L</t>
        </is>
      </c>
      <c r="AJ585" t="inlineStr"/>
      <c r="AK585" t="inlineStr"/>
      <c r="AL585" t="inlineStr"/>
      <c r="AM585" t="inlineStr">
        <is>
          <t>f/V</t>
        </is>
      </c>
      <c r="AN585" t="inlineStr"/>
      <c r="AO585" t="inlineStr"/>
      <c r="AP585" t="inlineStr"/>
      <c r="AQ585" t="inlineStr"/>
      <c r="AR585" t="inlineStr"/>
      <c r="AS585" t="inlineStr">
        <is>
          <t>Pa</t>
        </is>
      </c>
      <c r="AT585" t="inlineStr"/>
      <c r="AU585" t="inlineStr"/>
      <c r="AV585" t="inlineStr"/>
      <c r="AW585" t="inlineStr"/>
      <c r="AX585" t="inlineStr"/>
      <c r="AY585" t="inlineStr"/>
      <c r="AZ585" t="inlineStr"/>
      <c r="BA585" t="inlineStr"/>
      <c r="BB585" t="inlineStr"/>
      <c r="BC585" t="inlineStr"/>
      <c r="BD585" t="inlineStr"/>
      <c r="BE585" t="inlineStr"/>
      <c r="BF585" t="inlineStr"/>
      <c r="BG585" t="n">
        <v>60</v>
      </c>
      <c r="BH585" t="inlineStr"/>
      <c r="BI585" t="inlineStr"/>
      <c r="BJ585" t="inlineStr"/>
      <c r="BK585" t="inlineStr"/>
      <c r="BL585" t="inlineStr"/>
      <c r="BM585" t="inlineStr">
        <is>
          <t>ja vor</t>
        </is>
      </c>
      <c r="BN585" t="n">
        <v>1</v>
      </c>
      <c r="BO585" t="inlineStr"/>
      <c r="BP585" t="inlineStr">
        <is>
          <t>Gewebe</t>
        </is>
      </c>
      <c r="BQ585" t="inlineStr"/>
      <c r="BR585" t="inlineStr"/>
      <c r="BS585" t="inlineStr"/>
      <c r="BT585" t="inlineStr"/>
      <c r="BU585" t="inlineStr"/>
      <c r="BV585" t="inlineStr"/>
      <c r="BW585" t="inlineStr"/>
      <c r="BX585" t="inlineStr"/>
      <c r="BY585" t="inlineStr">
        <is>
          <t>Umschlag (kein roter Zerfall, aber Leder sehr krümelig)</t>
        </is>
      </c>
      <c r="BZ585" t="inlineStr">
        <is>
          <t>x</t>
        </is>
      </c>
      <c r="CA585" t="inlineStr">
        <is>
          <t>x</t>
        </is>
      </c>
      <c r="CB585" t="inlineStr">
        <is>
          <t>x</t>
        </is>
      </c>
      <c r="CC585" t="inlineStr">
        <is>
          <t>x</t>
        </is>
      </c>
      <c r="CD585" t="inlineStr"/>
      <c r="CE585" t="inlineStr"/>
      <c r="CF585" t="inlineStr"/>
      <c r="CG585" t="inlineStr"/>
      <c r="CH585" t="inlineStr"/>
      <c r="CI585" t="inlineStr"/>
      <c r="CJ585" t="inlineStr"/>
      <c r="CK585" t="inlineStr"/>
      <c r="CL585" t="inlineStr"/>
      <c r="CM585" t="n">
        <v>1</v>
      </c>
      <c r="CN585" t="inlineStr">
        <is>
          <t>Leder fixieren</t>
        </is>
      </c>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t>
        </is>
      </c>
      <c r="B586" t="b">
        <v>1</v>
      </c>
      <c r="C586" t="inlineStr"/>
      <c r="D586" t="inlineStr"/>
      <c r="E586" t="n">
        <v>580</v>
      </c>
      <c r="F586">
        <f>HYPERLINK("https://portal.dnb.de/opac.htm?method=simpleSearch&amp;cqlMode=true&amp;query=idn%3D106901494X", "Portal")</f>
        <v/>
      </c>
      <c r="G586" t="inlineStr">
        <is>
          <t>Af</t>
        </is>
      </c>
      <c r="H586" t="inlineStr">
        <is>
          <t>L-1470-320163733</t>
        </is>
      </c>
      <c r="I586" t="inlineStr">
        <is>
          <t>106901494X</t>
        </is>
      </c>
      <c r="J586" t="inlineStr">
        <is>
          <t>II 75,1b - 2</t>
        </is>
      </c>
      <c r="K586" t="inlineStr">
        <is>
          <t>II 75,1b - 2</t>
        </is>
      </c>
      <c r="L586" t="inlineStr">
        <is>
          <t>II 75,1b - 2</t>
        </is>
      </c>
      <c r="M586" t="inlineStr"/>
      <c r="N586" t="inlineStr">
        <is>
          <t>Epistolae</t>
        </is>
      </c>
      <c r="O586" t="inlineStr">
        <is>
          <t xml:space="preserve">2. : </t>
        </is>
      </c>
      <c r="P586" t="inlineStr"/>
      <c r="Q586" t="inlineStr"/>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t>
        </is>
      </c>
      <c r="B587" t="b">
        <v>1</v>
      </c>
      <c r="C587" t="inlineStr">
        <is>
          <t>x</t>
        </is>
      </c>
      <c r="D587" t="inlineStr"/>
      <c r="E587" t="inlineStr"/>
      <c r="F587">
        <f>HYPERLINK("https://portal.dnb.de/opac.htm?method=simpleSearch&amp;cqlMode=true&amp;query=idn%3D1171730640", "Portal")</f>
        <v/>
      </c>
      <c r="G587" t="inlineStr">
        <is>
          <t>Af</t>
        </is>
      </c>
      <c r="H587" t="inlineStr">
        <is>
          <t>L-1472-473334682</t>
        </is>
      </c>
      <c r="I587" t="inlineStr">
        <is>
          <t>1171730640</t>
        </is>
      </c>
      <c r="J587" t="inlineStr">
        <is>
          <t>II 75,1e</t>
        </is>
      </c>
      <c r="K587" t="inlineStr">
        <is>
          <t>II 75,1e</t>
        </is>
      </c>
      <c r="L587" t="inlineStr">
        <is>
          <t>II 75,1e</t>
        </is>
      </c>
      <c r="M587" t="inlineStr"/>
      <c r="N587" t="inlineStr">
        <is>
          <t>Postilla super totam Bibliam</t>
        </is>
      </c>
      <c r="O587" t="inlineStr">
        <is>
          <t xml:space="preserve">Pars 2. : </t>
        </is>
      </c>
      <c r="P587" t="inlineStr"/>
      <c r="Q587" t="inlineStr">
        <is>
          <t>17000,00 EUR</t>
        </is>
      </c>
      <c r="R587" t="inlineStr"/>
      <c r="S587" t="inlineStr">
        <is>
          <t>bis 42 cm</t>
        </is>
      </c>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is>
          <t>L</t>
        </is>
      </c>
      <c r="AJ587" t="inlineStr"/>
      <c r="AK587" t="inlineStr">
        <is>
          <t>x</t>
        </is>
      </c>
      <c r="AL587" t="inlineStr"/>
      <c r="AM587" t="inlineStr">
        <is>
          <t>f/V</t>
        </is>
      </c>
      <c r="AN587" t="inlineStr"/>
      <c r="AO587" t="inlineStr"/>
      <c r="AP587" t="inlineStr"/>
      <c r="AQ587" t="inlineStr"/>
      <c r="AR587" t="inlineStr"/>
      <c r="AS587" t="inlineStr">
        <is>
          <t>Pa</t>
        </is>
      </c>
      <c r="AT587" t="inlineStr"/>
      <c r="AU587" t="inlineStr"/>
      <c r="AV587" t="inlineStr"/>
      <c r="AW587" t="inlineStr"/>
      <c r="AX587" t="inlineStr"/>
      <c r="AY587" t="inlineStr"/>
      <c r="AZ587" t="inlineStr"/>
      <c r="BA587" t="inlineStr"/>
      <c r="BB587" t="inlineStr"/>
      <c r="BC587" t="inlineStr">
        <is>
          <t>I</t>
        </is>
      </c>
      <c r="BD587" t="inlineStr">
        <is>
          <t>x</t>
        </is>
      </c>
      <c r="BE587" t="inlineStr"/>
      <c r="BF587" t="inlineStr"/>
      <c r="BG587" t="n">
        <v>45</v>
      </c>
      <c r="BH587" t="inlineStr"/>
      <c r="BI587" t="inlineStr"/>
      <c r="BJ587" t="inlineStr"/>
      <c r="BK587" t="inlineStr"/>
      <c r="BL587" t="inlineStr"/>
      <c r="BM587" t="inlineStr">
        <is>
          <t>ja vor</t>
        </is>
      </c>
      <c r="BN587" t="n">
        <v>40.5</v>
      </c>
      <c r="BO587" t="inlineStr"/>
      <c r="BP587" t="inlineStr">
        <is>
          <t>Wellpappe</t>
        </is>
      </c>
      <c r="BQ587" t="inlineStr"/>
      <c r="BR587" t="inlineStr"/>
      <c r="BS587" t="inlineStr"/>
      <c r="BT587" t="inlineStr"/>
      <c r="BU587" t="inlineStr"/>
      <c r="BV587" t="inlineStr">
        <is>
          <t>mit Stephanie besprechen, ws. ca. 5 Initialen zum Festigen (muss genauer angeschaut werden)</t>
        </is>
      </c>
      <c r="BW587" t="inlineStr"/>
      <c r="BX587" t="inlineStr"/>
      <c r="BY587" t="inlineStr"/>
      <c r="BZ587" t="inlineStr">
        <is>
          <t>x</t>
        </is>
      </c>
      <c r="CA587" t="inlineStr">
        <is>
          <t>x</t>
        </is>
      </c>
      <c r="CB587" t="inlineStr">
        <is>
          <t>x</t>
        </is>
      </c>
      <c r="CC587" t="inlineStr"/>
      <c r="CD587" t="inlineStr"/>
      <c r="CE587" t="inlineStr"/>
      <c r="CF587" t="inlineStr"/>
      <c r="CG587" t="inlineStr"/>
      <c r="CH587" t="inlineStr"/>
      <c r="CI587" t="inlineStr"/>
      <c r="CJ587" t="inlineStr"/>
      <c r="CK587" t="inlineStr"/>
      <c r="CL587" t="inlineStr"/>
      <c r="CM587" t="n">
        <v>0.5</v>
      </c>
      <c r="CN587" t="inlineStr"/>
      <c r="CO587" t="inlineStr"/>
      <c r="CP587" t="inlineStr"/>
      <c r="CQ587" t="inlineStr">
        <is>
          <t>x</t>
        </is>
      </c>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n">
        <v>40</v>
      </c>
      <c r="DG587" t="inlineStr">
        <is>
          <t>ws. ca. 5 pudernde Initialen, Aufwand reell ws. max. 5 Std. (hier 40 wegen Besprechen mit Stephanie)</t>
        </is>
      </c>
    </row>
    <row r="588">
      <c r="A588" t="inlineStr">
        <is>
          <t>II</t>
        </is>
      </c>
      <c r="B588" t="b">
        <v>1</v>
      </c>
      <c r="C588" t="inlineStr"/>
      <c r="D588" t="inlineStr"/>
      <c r="E588" t="n">
        <v>581</v>
      </c>
      <c r="F588">
        <f>HYPERLINK("https://portal.dnb.de/opac.htm?method=simpleSearch&amp;cqlMode=true&amp;query=idn%3D1066972095", "Portal")</f>
        <v/>
      </c>
      <c r="G588" t="inlineStr">
        <is>
          <t>Aaf</t>
        </is>
      </c>
      <c r="H588" t="inlineStr">
        <is>
          <t>L-1476-315502517</t>
        </is>
      </c>
      <c r="I588" t="inlineStr">
        <is>
          <t>1066972095</t>
        </is>
      </c>
      <c r="J588" t="inlineStr">
        <is>
          <t>II 75,2e</t>
        </is>
      </c>
      <c r="K588" t="inlineStr">
        <is>
          <t>II 75,2e</t>
        </is>
      </c>
      <c r="L588" t="inlineStr">
        <is>
          <t>II 75,2e</t>
        </is>
      </c>
      <c r="M588" t="inlineStr"/>
      <c r="N588" t="inlineStr">
        <is>
          <t xml:space="preserve">Oratio lamentabilis ad Papam Sixtum IV. : </t>
        </is>
      </c>
      <c r="O588" t="inlineStr">
        <is>
          <t xml:space="preserve"> : </t>
        </is>
      </c>
      <c r="P588" t="inlineStr">
        <is>
          <t>X</t>
        </is>
      </c>
      <c r="Q588" t="inlineStr"/>
      <c r="R588" t="inlineStr">
        <is>
          <t>Halbledereinband, Schließen, erhabene Buchbeschläge</t>
        </is>
      </c>
      <c r="S588" t="inlineStr">
        <is>
          <t>bis 35 cm</t>
        </is>
      </c>
      <c r="T588" t="inlineStr">
        <is>
          <t>80° bis 110°, einseitig digitalisierbar?</t>
        </is>
      </c>
      <c r="U588" t="inlineStr">
        <is>
          <t>hohler Rücken, welliger Buchblock</t>
        </is>
      </c>
      <c r="V588" t="inlineStr"/>
      <c r="W588" t="inlineStr">
        <is>
          <t>Kassette</t>
        </is>
      </c>
      <c r="X588" t="inlineStr">
        <is>
          <t>Nein</t>
        </is>
      </c>
      <c r="Y588" t="n">
        <v>1</v>
      </c>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t>
        </is>
      </c>
      <c r="B589" t="b">
        <v>1</v>
      </c>
      <c r="C589" t="inlineStr"/>
      <c r="D589" t="inlineStr"/>
      <c r="E589" t="n">
        <v>582</v>
      </c>
      <c r="F589">
        <f>HYPERLINK("https://portal.dnb.de/opac.htm?method=simpleSearch&amp;cqlMode=true&amp;query=idn%3D1072153890", "Portal")</f>
        <v/>
      </c>
      <c r="G589" t="inlineStr">
        <is>
          <t>Aa</t>
        </is>
      </c>
      <c r="H589" t="inlineStr">
        <is>
          <t>L-1495-326993355</t>
        </is>
      </c>
      <c r="I589" t="inlineStr">
        <is>
          <t>1072153890</t>
        </is>
      </c>
      <c r="J589" t="inlineStr">
        <is>
          <t>II 76,1a</t>
        </is>
      </c>
      <c r="K589" t="inlineStr">
        <is>
          <t>II 76,1a</t>
        </is>
      </c>
      <c r="L589" t="inlineStr">
        <is>
          <t>II 76,1a</t>
        </is>
      </c>
      <c r="M589" t="inlineStr"/>
      <c r="N589" t="inlineStr">
        <is>
          <t xml:space="preserve">Historia Romana : </t>
        </is>
      </c>
      <c r="O589" t="inlineStr">
        <is>
          <t xml:space="preserve"> : </t>
        </is>
      </c>
      <c r="P589" t="inlineStr">
        <is>
          <t>X</t>
        </is>
      </c>
      <c r="Q589" t="inlineStr"/>
      <c r="R589" t="inlineStr">
        <is>
          <t>Halbledereinband, Schließen, erhabene Buchbeschläge</t>
        </is>
      </c>
      <c r="S589" t="inlineStr">
        <is>
          <t>bis 35 cm</t>
        </is>
      </c>
      <c r="T589" t="inlineStr">
        <is>
          <t>80° bis 110°, einseitig digitalisierbar?</t>
        </is>
      </c>
      <c r="U589" t="inlineStr">
        <is>
          <t>hohler Rücken</t>
        </is>
      </c>
      <c r="V589" t="inlineStr"/>
      <c r="W589" t="inlineStr">
        <is>
          <t>Kassette</t>
        </is>
      </c>
      <c r="X589" t="inlineStr">
        <is>
          <t>Nein</t>
        </is>
      </c>
      <c r="Y589" t="n">
        <v>2</v>
      </c>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t>
        </is>
      </c>
      <c r="B590" t="b">
        <v>1</v>
      </c>
      <c r="C590" t="inlineStr"/>
      <c r="D590" t="inlineStr"/>
      <c r="E590" t="n">
        <v>583</v>
      </c>
      <c r="F590">
        <f>HYPERLINK("https://portal.dnb.de/opac.htm?method=simpleSearch&amp;cqlMode=true&amp;query=idn%3D1072153998", "Portal")</f>
        <v/>
      </c>
      <c r="G590" t="inlineStr">
        <is>
          <t>Aa</t>
        </is>
      </c>
      <c r="H590" t="inlineStr">
        <is>
          <t>L-1492-326993479</t>
        </is>
      </c>
      <c r="I590" t="inlineStr">
        <is>
          <t>1072153998</t>
        </is>
      </c>
      <c r="J590" t="inlineStr">
        <is>
          <t>II 80,1a</t>
        </is>
      </c>
      <c r="K590" t="inlineStr">
        <is>
          <t>II 80,1a</t>
        </is>
      </c>
      <c r="L590" t="inlineStr">
        <is>
          <t>II 80,1a</t>
        </is>
      </c>
      <c r="M590" t="inlineStr"/>
      <c r="N590" t="inlineStr">
        <is>
          <t xml:space="preserve">Anterotica sive De amoris generibus : </t>
        </is>
      </c>
      <c r="O590" t="inlineStr">
        <is>
          <t xml:space="preserve"> : </t>
        </is>
      </c>
      <c r="P590" t="inlineStr">
        <is>
          <t>X</t>
        </is>
      </c>
      <c r="Q590" t="inlineStr"/>
      <c r="R590" t="inlineStr">
        <is>
          <t>Halbledereinband, Schließen, erhabene Buchbeschläge</t>
        </is>
      </c>
      <c r="S590" t="inlineStr">
        <is>
          <t>bis 25 cm</t>
        </is>
      </c>
      <c r="T590" t="inlineStr">
        <is>
          <t>80° bis 110°, einseitig digitalisierbar?</t>
        </is>
      </c>
      <c r="U590" t="inlineStr"/>
      <c r="V590" t="inlineStr"/>
      <c r="W590" t="inlineStr">
        <is>
          <t>Kassette</t>
        </is>
      </c>
      <c r="X590" t="inlineStr">
        <is>
          <t>Nein</t>
        </is>
      </c>
      <c r="Y590" t="n">
        <v>0</v>
      </c>
      <c r="Z590" t="inlineStr"/>
      <c r="AA590" t="inlineStr">
        <is>
          <t>Holzdeckel</t>
        </is>
      </c>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t>
        </is>
      </c>
      <c r="B591" t="b">
        <v>1</v>
      </c>
      <c r="C591" t="inlineStr"/>
      <c r="D591" t="inlineStr"/>
      <c r="E591" t="n">
        <v>584</v>
      </c>
      <c r="F591">
        <f>HYPERLINK("https://portal.dnb.de/opac.htm?method=simpleSearch&amp;cqlMode=true&amp;query=idn%3D1072154080", "Portal")</f>
        <v/>
      </c>
      <c r="G591" t="inlineStr">
        <is>
          <t>Aa</t>
        </is>
      </c>
      <c r="H591" t="inlineStr">
        <is>
          <t>L-1476-326993541</t>
        </is>
      </c>
      <c r="I591" t="inlineStr">
        <is>
          <t>1072154080</t>
        </is>
      </c>
      <c r="J591" t="inlineStr">
        <is>
          <t>II 80,2a</t>
        </is>
      </c>
      <c r="K591" t="inlineStr">
        <is>
          <t>II 80,2a</t>
        </is>
      </c>
      <c r="L591" t="inlineStr">
        <is>
          <t>II 80,2a</t>
        </is>
      </c>
      <c r="M591" t="inlineStr"/>
      <c r="N591" t="inlineStr">
        <is>
          <t xml:space="preserve">Super primum sententiarum : </t>
        </is>
      </c>
      <c r="O591" t="inlineStr">
        <is>
          <t xml:space="preserve"> : </t>
        </is>
      </c>
      <c r="P591" t="inlineStr">
        <is>
          <t>x</t>
        </is>
      </c>
      <c r="Q591" t="inlineStr"/>
      <c r="R591" t="inlineStr">
        <is>
          <t>Halbledereinband, Schließen, erhabene Buchbeschläge</t>
        </is>
      </c>
      <c r="S591" t="inlineStr">
        <is>
          <t>bis 35 cm</t>
        </is>
      </c>
      <c r="T591" t="inlineStr">
        <is>
          <t>nur sehr geringer Öffnungswinkel</t>
        </is>
      </c>
      <c r="U591" t="inlineStr">
        <is>
          <t>fester Rücken mit Schmuckprägung, welliger Buchblock</t>
        </is>
      </c>
      <c r="V591" t="inlineStr"/>
      <c r="W591" t="inlineStr">
        <is>
          <t>Kassette</t>
        </is>
      </c>
      <c r="X591" t="inlineStr">
        <is>
          <t>Nein</t>
        </is>
      </c>
      <c r="Y591" t="n">
        <v>0</v>
      </c>
      <c r="Z591" t="inlineStr"/>
      <c r="AA591" t="inlineStr">
        <is>
          <t>Holzdeckel</t>
        </is>
      </c>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t>
        </is>
      </c>
      <c r="B592" t="b">
        <v>1</v>
      </c>
      <c r="C592" t="inlineStr"/>
      <c r="D592" t="inlineStr"/>
      <c r="E592" t="n">
        <v>585</v>
      </c>
      <c r="F592">
        <f>HYPERLINK("https://portal.dnb.de/opac.htm?method=simpleSearch&amp;cqlMode=true&amp;query=idn%3D1072154773", "Portal")</f>
        <v/>
      </c>
      <c r="G592" t="inlineStr">
        <is>
          <t>Aa</t>
        </is>
      </c>
      <c r="H592" t="inlineStr">
        <is>
          <t>L-1477-326993959</t>
        </is>
      </c>
      <c r="I592" t="inlineStr">
        <is>
          <t>1072154773</t>
        </is>
      </c>
      <c r="J592" t="inlineStr">
        <is>
          <t>II 80,3a</t>
        </is>
      </c>
      <c r="K592" t="inlineStr">
        <is>
          <t>II 80,3a</t>
        </is>
      </c>
      <c r="L592" t="inlineStr">
        <is>
          <t>II 80,3a</t>
        </is>
      </c>
      <c r="M592" t="inlineStr"/>
      <c r="N592" t="inlineStr">
        <is>
          <t xml:space="preserve">Commentarius in secundum librum Sententiarum Petri Lombardi : </t>
        </is>
      </c>
      <c r="O592" t="inlineStr">
        <is>
          <t xml:space="preserve"> : </t>
        </is>
      </c>
      <c r="P592" t="inlineStr">
        <is>
          <t>X</t>
        </is>
      </c>
      <c r="Q592" t="inlineStr"/>
      <c r="R592" t="inlineStr">
        <is>
          <t>Halbledereinband, Schließen, erhabene Buchbeschläge</t>
        </is>
      </c>
      <c r="S592" t="inlineStr">
        <is>
          <t>bis 35 cm</t>
        </is>
      </c>
      <c r="T592" t="inlineStr">
        <is>
          <t>80° bis 110°, einseitig digitalisierbar?</t>
        </is>
      </c>
      <c r="U592" t="inlineStr">
        <is>
          <t>fester Rücken mit Schmuckprägung, welliger Buchblock</t>
        </is>
      </c>
      <c r="V592" t="inlineStr"/>
      <c r="W592" t="inlineStr">
        <is>
          <t>Kassette</t>
        </is>
      </c>
      <c r="X592" t="inlineStr">
        <is>
          <t>Nein</t>
        </is>
      </c>
      <c r="Y592" t="n">
        <v>2</v>
      </c>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t>
        </is>
      </c>
      <c r="B593" t="b">
        <v>1</v>
      </c>
      <c r="C593" t="inlineStr"/>
      <c r="D593" t="inlineStr"/>
      <c r="E593" t="n">
        <v>586</v>
      </c>
      <c r="F593">
        <f>HYPERLINK("https://portal.dnb.de/opac.htm?method=simpleSearch&amp;cqlMode=true&amp;query=idn%3D1072161362", "Portal")</f>
        <v/>
      </c>
      <c r="G593" t="inlineStr">
        <is>
          <t>Aa</t>
        </is>
      </c>
      <c r="H593" t="inlineStr">
        <is>
          <t>L-1480-326998527</t>
        </is>
      </c>
      <c r="I593" t="inlineStr">
        <is>
          <t>1072161362</t>
        </is>
      </c>
      <c r="J593" t="inlineStr">
        <is>
          <t>II 80,5a</t>
        </is>
      </c>
      <c r="K593" t="inlineStr">
        <is>
          <t>II 80,5a</t>
        </is>
      </c>
      <c r="L593" t="inlineStr">
        <is>
          <t>II 80,5a</t>
        </is>
      </c>
      <c r="M593" t="inlineStr"/>
      <c r="N593" t="inlineStr">
        <is>
          <t xml:space="preserve">Antiquitates Romanae : </t>
        </is>
      </c>
      <c r="O593" t="inlineStr">
        <is>
          <t xml:space="preserve"> : </t>
        </is>
      </c>
      <c r="P593" t="inlineStr">
        <is>
          <t>X</t>
        </is>
      </c>
      <c r="Q593" t="inlineStr"/>
      <c r="R593" t="inlineStr">
        <is>
          <t>Ledereinband, Schließen, erhabene Buchbeschläge</t>
        </is>
      </c>
      <c r="S593" t="inlineStr">
        <is>
          <t>bis 35 cm</t>
        </is>
      </c>
      <c r="T593" t="inlineStr">
        <is>
          <t>nur sehr geringer Öffnungswinkel</t>
        </is>
      </c>
      <c r="U593" t="inlineStr"/>
      <c r="V593" t="inlineStr"/>
      <c r="W593" t="inlineStr">
        <is>
          <t>Kassette</t>
        </is>
      </c>
      <c r="X593" t="inlineStr">
        <is>
          <t>Nein, Signaturfahne austauschen</t>
        </is>
      </c>
      <c r="Y593" t="n">
        <v>0</v>
      </c>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n">
        <v>0</v>
      </c>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t>
        </is>
      </c>
      <c r="B594" t="b">
        <v>0</v>
      </c>
      <c r="C594" t="inlineStr"/>
      <c r="D594" t="inlineStr"/>
      <c r="E594" t="inlineStr"/>
      <c r="F594">
        <f>HYPERLINK("https://portal.dnb.de/opac.htm?method=simpleSearch&amp;cqlMode=true&amp;query=idn%3D", "Portal")</f>
        <v/>
      </c>
      <c r="G594" t="inlineStr"/>
      <c r="H594" t="inlineStr"/>
      <c r="I594" t="inlineStr"/>
      <c r="J594" t="inlineStr"/>
      <c r="K594" t="inlineStr"/>
      <c r="L594" t="inlineStr">
        <is>
          <t>II 80,5a - Einband</t>
        </is>
      </c>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t>
        </is>
      </c>
      <c r="B595" t="b">
        <v>1</v>
      </c>
      <c r="C595" t="inlineStr"/>
      <c r="D595" t="inlineStr"/>
      <c r="E595" t="n">
        <v>587</v>
      </c>
      <c r="F595">
        <f>HYPERLINK("https://portal.dnb.de/opac.htm?method=simpleSearch&amp;cqlMode=true&amp;query=idn%3D1072161729", "Portal")</f>
        <v/>
      </c>
      <c r="G595" t="inlineStr">
        <is>
          <t>Aa</t>
        </is>
      </c>
      <c r="H595" t="inlineStr">
        <is>
          <t>L-1480-326998683</t>
        </is>
      </c>
      <c r="I595" t="inlineStr">
        <is>
          <t>1072161729</t>
        </is>
      </c>
      <c r="J595" t="inlineStr">
        <is>
          <t>II 80,6a</t>
        </is>
      </c>
      <c r="K595" t="inlineStr">
        <is>
          <t>II 80,6a</t>
        </is>
      </c>
      <c r="L595" t="inlineStr">
        <is>
          <t>II 80,6a</t>
        </is>
      </c>
      <c r="M595" t="inlineStr"/>
      <c r="N595" t="inlineStr">
        <is>
          <t xml:space="preserve">Institutiones oratoriae : </t>
        </is>
      </c>
      <c r="O595" t="inlineStr">
        <is>
          <t xml:space="preserve"> : </t>
        </is>
      </c>
      <c r="P595" t="inlineStr">
        <is>
          <t>X</t>
        </is>
      </c>
      <c r="Q595" t="inlineStr"/>
      <c r="R595" t="inlineStr">
        <is>
          <t>Halbledereinband, Schließen, erhabene Buchbeschläge</t>
        </is>
      </c>
      <c r="S595" t="inlineStr">
        <is>
          <t>bis 35 cm</t>
        </is>
      </c>
      <c r="T595" t="inlineStr">
        <is>
          <t>80° bis 110°, einseitig digitalisierbar?</t>
        </is>
      </c>
      <c r="U595" t="inlineStr">
        <is>
          <t>fester Rücken mit Schmuckprägung, welliger Buchblock</t>
        </is>
      </c>
      <c r="V595" t="inlineStr"/>
      <c r="W595" t="inlineStr">
        <is>
          <t>Kassette</t>
        </is>
      </c>
      <c r="X595" t="inlineStr">
        <is>
          <t>Nein</t>
        </is>
      </c>
      <c r="Y595" t="n">
        <v>2</v>
      </c>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n">
        <v>0</v>
      </c>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t>
        </is>
      </c>
      <c r="B596" t="b">
        <v>1</v>
      </c>
      <c r="C596" t="inlineStr"/>
      <c r="D596" t="inlineStr"/>
      <c r="E596" t="n">
        <v>588</v>
      </c>
      <c r="F596">
        <f>HYPERLINK("https://portal.dnb.de/opac.htm?method=simpleSearch&amp;cqlMode=true&amp;query=idn%3D1072162407", "Portal")</f>
        <v/>
      </c>
      <c r="G596" t="inlineStr">
        <is>
          <t>Aa</t>
        </is>
      </c>
      <c r="H596" t="inlineStr">
        <is>
          <t>L-1470-326999035</t>
        </is>
      </c>
      <c r="I596" t="inlineStr">
        <is>
          <t>1072162407</t>
        </is>
      </c>
      <c r="J596" t="inlineStr">
        <is>
          <t>II 82,1 c</t>
        </is>
      </c>
      <c r="K596" t="inlineStr">
        <is>
          <t>II 82,1 c</t>
        </is>
      </c>
      <c r="L596" t="inlineStr">
        <is>
          <t>II 82,1 c</t>
        </is>
      </c>
      <c r="M596" t="inlineStr"/>
      <c r="N596" t="inlineStr">
        <is>
          <t xml:space="preserve">De coniuratione Catilinae. De bello Iugurthino : </t>
        </is>
      </c>
      <c r="O596" t="inlineStr">
        <is>
          <t xml:space="preserve"> : </t>
        </is>
      </c>
      <c r="P596" t="inlineStr">
        <is>
          <t>X</t>
        </is>
      </c>
      <c r="Q596" t="inlineStr"/>
      <c r="R596" t="inlineStr">
        <is>
          <t>Halbledereinband</t>
        </is>
      </c>
      <c r="S596" t="inlineStr">
        <is>
          <t>bis 35 cm</t>
        </is>
      </c>
      <c r="T596" t="inlineStr">
        <is>
          <t>80° bis 110°, einseitig digitalisierbar?</t>
        </is>
      </c>
      <c r="U596" t="inlineStr">
        <is>
          <t>hohler Rücken, erhabene Illuminationen</t>
        </is>
      </c>
      <c r="V596" t="inlineStr">
        <is>
          <t>nicht auflegen</t>
        </is>
      </c>
      <c r="W596" t="inlineStr">
        <is>
          <t>Kassette</t>
        </is>
      </c>
      <c r="X596" t="inlineStr">
        <is>
          <t>Nein</t>
        </is>
      </c>
      <c r="Y596" t="n">
        <v>2</v>
      </c>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t>
        </is>
      </c>
      <c r="B597" t="b">
        <v>1</v>
      </c>
      <c r="C597" t="inlineStr"/>
      <c r="D597" t="inlineStr"/>
      <c r="E597" t="n">
        <v>589</v>
      </c>
      <c r="F597">
        <f>HYPERLINK("https://portal.dnb.de/opac.htm?method=simpleSearch&amp;cqlMode=true&amp;query=idn%3D1072162032", "Portal")</f>
        <v/>
      </c>
      <c r="G597" t="inlineStr">
        <is>
          <t>Aa</t>
        </is>
      </c>
      <c r="H597" t="inlineStr">
        <is>
          <t>L-1470-326998888</t>
        </is>
      </c>
      <c r="I597" t="inlineStr">
        <is>
          <t>1072162032</t>
        </is>
      </c>
      <c r="J597" t="inlineStr">
        <is>
          <t>II 82,1b</t>
        </is>
      </c>
      <c r="K597" t="inlineStr">
        <is>
          <t>II 82,1b</t>
        </is>
      </c>
      <c r="L597" t="inlineStr">
        <is>
          <t>II 82,1b</t>
        </is>
      </c>
      <c r="M597" t="inlineStr"/>
      <c r="N597" t="inlineStr">
        <is>
          <t xml:space="preserve">Satirae : </t>
        </is>
      </c>
      <c r="O597" t="inlineStr">
        <is>
          <t xml:space="preserve"> : </t>
        </is>
      </c>
      <c r="P597" t="inlineStr">
        <is>
          <t>X</t>
        </is>
      </c>
      <c r="Q597" t="inlineStr"/>
      <c r="R597" t="inlineStr">
        <is>
          <t>Halbledereinband, Schließen, erhabene Buchbeschläge</t>
        </is>
      </c>
      <c r="S597" t="inlineStr">
        <is>
          <t>bis 35 cm</t>
        </is>
      </c>
      <c r="T597" t="inlineStr">
        <is>
          <t>80° bis 110°, einseitig digitalisierbar?</t>
        </is>
      </c>
      <c r="U597" t="inlineStr">
        <is>
          <t>erhabene Illuminationen</t>
        </is>
      </c>
      <c r="V597" t="inlineStr">
        <is>
          <t>nicht auflegen</t>
        </is>
      </c>
      <c r="W597" t="inlineStr">
        <is>
          <t>Kassette</t>
        </is>
      </c>
      <c r="X597" t="inlineStr">
        <is>
          <t>Nein</t>
        </is>
      </c>
      <c r="Y597" t="n">
        <v>0</v>
      </c>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n">
        <v>0</v>
      </c>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t>
        </is>
      </c>
      <c r="B598" t="b">
        <v>1</v>
      </c>
      <c r="C598" t="inlineStr"/>
      <c r="D598" t="inlineStr"/>
      <c r="E598" t="n">
        <v>590</v>
      </c>
      <c r="F598">
        <f>HYPERLINK("https://portal.dnb.de/opac.htm?method=simpleSearch&amp;cqlMode=true&amp;query=idn%3D1066967393", "Portal")</f>
        <v/>
      </c>
      <c r="G598" t="inlineStr">
        <is>
          <t>Aa</t>
        </is>
      </c>
      <c r="H598" t="inlineStr">
        <is>
          <t>L-1472-315497645</t>
        </is>
      </c>
      <c r="I598" t="inlineStr">
        <is>
          <t>1066967393</t>
        </is>
      </c>
      <c r="J598" t="inlineStr">
        <is>
          <t>II 82,1e</t>
        </is>
      </c>
      <c r="K598" t="inlineStr">
        <is>
          <t>II 82,1e</t>
        </is>
      </c>
      <c r="L598" t="inlineStr">
        <is>
          <t>II 82,1e</t>
        </is>
      </c>
      <c r="M598" t="inlineStr"/>
      <c r="N598" t="inlineStr">
        <is>
          <t>Sermones quadragesimales de poenitentia. Sermo in festo annuntiationis virginis Mariae Ne timeas Maria ... . Sermo de praedestinatorum numero et damna</t>
        </is>
      </c>
      <c r="O598" t="inlineStr">
        <is>
          <t xml:space="preserve"> : </t>
        </is>
      </c>
      <c r="P598" t="inlineStr">
        <is>
          <t>X</t>
        </is>
      </c>
      <c r="Q598" t="inlineStr"/>
      <c r="R598" t="inlineStr">
        <is>
          <t>Halbledereinband, Schließen, erhabene Buchbeschläge</t>
        </is>
      </c>
      <c r="S598" t="inlineStr">
        <is>
          <t>bis 35 cm</t>
        </is>
      </c>
      <c r="T598" t="inlineStr">
        <is>
          <t>80° bis 110°, einseitig digitalisierbar?</t>
        </is>
      </c>
      <c r="U598" t="inlineStr">
        <is>
          <t>hohler Rücken, welliger Buchblock, erhabene Illuminationen</t>
        </is>
      </c>
      <c r="V598" t="inlineStr">
        <is>
          <t>nicht auflegen</t>
        </is>
      </c>
      <c r="W598" t="inlineStr">
        <is>
          <t>Kassette</t>
        </is>
      </c>
      <c r="X598" t="inlineStr">
        <is>
          <t>Nein</t>
        </is>
      </c>
      <c r="Y598" t="n">
        <v>0</v>
      </c>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t>
        </is>
      </c>
      <c r="B599" t="b">
        <v>1</v>
      </c>
      <c r="C599" t="inlineStr">
        <is>
          <t>x</t>
        </is>
      </c>
      <c r="D599" t="inlineStr"/>
      <c r="E599" t="n">
        <v>591</v>
      </c>
      <c r="F599">
        <f>HYPERLINK("https://portal.dnb.de/opac.htm?method=simpleSearch&amp;cqlMode=true&amp;query=idn%3D1066966125", "Portal")</f>
        <v/>
      </c>
      <c r="G599" t="inlineStr">
        <is>
          <t>Aaf</t>
        </is>
      </c>
      <c r="H599" t="inlineStr">
        <is>
          <t>L-1471-315496428</t>
        </is>
      </c>
      <c r="I599" t="inlineStr">
        <is>
          <t>1066966125</t>
        </is>
      </c>
      <c r="J599" t="inlineStr">
        <is>
          <t>II 82,1g (I)</t>
        </is>
      </c>
      <c r="K599" t="inlineStr">
        <is>
          <t>II 82,1g (I)</t>
        </is>
      </c>
      <c r="L599" t="inlineStr">
        <is>
          <t>II 82,1g (I)</t>
        </is>
      </c>
      <c r="M599" t="inlineStr"/>
      <c r="N599" t="inlineStr">
        <is>
          <t xml:space="preserve">Super prima parte Codicis : </t>
        </is>
      </c>
      <c r="O599" t="inlineStr">
        <is>
          <t xml:space="preserve"> : </t>
        </is>
      </c>
      <c r="P599" t="inlineStr"/>
      <c r="Q599" t="inlineStr">
        <is>
          <t>20000,00 EUR</t>
        </is>
      </c>
      <c r="R599" t="inlineStr"/>
      <c r="S599" t="inlineStr">
        <is>
          <t>&gt; 42 cm</t>
        </is>
      </c>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is>
          <t>HD</t>
        </is>
      </c>
      <c r="AJ599" t="inlineStr"/>
      <c r="AK599" t="inlineStr"/>
      <c r="AL599" t="inlineStr"/>
      <c r="AM599" t="inlineStr">
        <is>
          <t>f</t>
        </is>
      </c>
      <c r="AN599" t="inlineStr"/>
      <c r="AO599" t="inlineStr"/>
      <c r="AP599" t="inlineStr"/>
      <c r="AQ599" t="inlineStr"/>
      <c r="AR599" t="inlineStr"/>
      <c r="AS599" t="inlineStr">
        <is>
          <t>Pa</t>
        </is>
      </c>
      <c r="AT599" t="inlineStr"/>
      <c r="AU599" t="inlineStr"/>
      <c r="AV599" t="inlineStr"/>
      <c r="AW599" t="inlineStr"/>
      <c r="AX599" t="inlineStr"/>
      <c r="AY599" t="inlineStr"/>
      <c r="AZ599" t="inlineStr"/>
      <c r="BA599" t="inlineStr"/>
      <c r="BB599" t="inlineStr"/>
      <c r="BC599" t="inlineStr">
        <is>
          <t>B/I/R</t>
        </is>
      </c>
      <c r="BD599" t="inlineStr">
        <is>
          <t>x</t>
        </is>
      </c>
      <c r="BE599" t="inlineStr"/>
      <c r="BF599" t="inlineStr"/>
      <c r="BG599" t="n">
        <v>60</v>
      </c>
      <c r="BH599" t="inlineStr"/>
      <c r="BI599" t="inlineStr"/>
      <c r="BJ599" t="inlineStr"/>
      <c r="BK599" t="inlineStr"/>
      <c r="BL599" t="inlineStr"/>
      <c r="BM599" t="inlineStr">
        <is>
          <t>ja vor</t>
        </is>
      </c>
      <c r="BN599" t="n">
        <v>1</v>
      </c>
      <c r="BO599" t="inlineStr"/>
      <c r="BP599" t="inlineStr"/>
      <c r="BQ599" t="inlineStr"/>
      <c r="BR599" t="inlineStr">
        <is>
          <t>x</t>
        </is>
      </c>
      <c r="BS599" t="inlineStr"/>
      <c r="BT599" t="inlineStr"/>
      <c r="BU599" t="inlineStr"/>
      <c r="BV599" t="inlineStr"/>
      <c r="BW599" t="inlineStr"/>
      <c r="BX599" t="inlineStr"/>
      <c r="BY599" t="inlineStr"/>
      <c r="BZ599" t="inlineStr">
        <is>
          <t>x</t>
        </is>
      </c>
      <c r="CA599" t="inlineStr"/>
      <c r="CB599" t="inlineStr">
        <is>
          <t>x</t>
        </is>
      </c>
      <c r="CC599" t="inlineStr"/>
      <c r="CD599" t="inlineStr"/>
      <c r="CE599" t="inlineStr"/>
      <c r="CF599" t="inlineStr"/>
      <c r="CG599" t="inlineStr"/>
      <c r="CH599" t="inlineStr"/>
      <c r="CI599" t="inlineStr"/>
      <c r="CJ599" t="inlineStr"/>
      <c r="CK599" t="inlineStr"/>
      <c r="CL599" t="inlineStr"/>
      <c r="CM599" t="n">
        <v>1</v>
      </c>
      <c r="CN599" t="inlineStr">
        <is>
          <t>Leder fixieren</t>
        </is>
      </c>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t>
        </is>
      </c>
      <c r="B600" t="b">
        <v>1</v>
      </c>
      <c r="C600" t="inlineStr"/>
      <c r="D600" t="inlineStr"/>
      <c r="E600" t="n">
        <v>592</v>
      </c>
      <c r="F600">
        <f>HYPERLINK("https://portal.dnb.de/opac.htm?method=simpleSearch&amp;cqlMode=true&amp;query=idn%3D1066966133", "Portal")</f>
        <v/>
      </c>
      <c r="G600" t="inlineStr">
        <is>
          <t>Aaf</t>
        </is>
      </c>
      <c r="H600" t="inlineStr">
        <is>
          <t>L-1471-315496436</t>
        </is>
      </c>
      <c r="I600" t="inlineStr">
        <is>
          <t>1066966133</t>
        </is>
      </c>
      <c r="J600" t="inlineStr">
        <is>
          <t>II 82,1g (II)</t>
        </is>
      </c>
      <c r="K600" t="inlineStr">
        <is>
          <t>II 82,1g (II)</t>
        </is>
      </c>
      <c r="L600" t="inlineStr">
        <is>
          <t>II 82,1g (II)</t>
        </is>
      </c>
      <c r="M600" t="inlineStr"/>
      <c r="N600" t="inlineStr">
        <is>
          <t xml:space="preserve">Super secunda parte Codicis : </t>
        </is>
      </c>
      <c r="O600" t="inlineStr">
        <is>
          <t xml:space="preserve"> : </t>
        </is>
      </c>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n">
        <v>0</v>
      </c>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t>
        </is>
      </c>
      <c r="B601" t="b">
        <v>1</v>
      </c>
      <c r="C601" t="inlineStr"/>
      <c r="D601" t="inlineStr"/>
      <c r="E601" t="n">
        <v>593</v>
      </c>
      <c r="F601">
        <f>HYPERLINK("https://portal.dnb.de/opac.htm?method=simpleSearch&amp;cqlMode=true&amp;query=idn%3D1066971307", "Portal")</f>
        <v/>
      </c>
      <c r="G601" t="inlineStr">
        <is>
          <t>Aaf</t>
        </is>
      </c>
      <c r="H601" t="inlineStr">
        <is>
          <t>L-1476-315501669</t>
        </is>
      </c>
      <c r="I601" t="inlineStr">
        <is>
          <t>1066971307</t>
        </is>
      </c>
      <c r="J601" t="inlineStr">
        <is>
          <t>II 82,2 c</t>
        </is>
      </c>
      <c r="K601" t="inlineStr">
        <is>
          <t>II 82,2 c</t>
        </is>
      </c>
      <c r="L601" t="inlineStr">
        <is>
          <t>II 82,2c</t>
        </is>
      </c>
      <c r="M601" t="inlineStr"/>
      <c r="N601" t="inlineStr">
        <is>
          <t xml:space="preserve">De proprietate latini sermonis : </t>
        </is>
      </c>
      <c r="O601" t="inlineStr">
        <is>
          <t xml:space="preserve"> : </t>
        </is>
      </c>
      <c r="P601" t="inlineStr">
        <is>
          <t>X</t>
        </is>
      </c>
      <c r="Q601" t="inlineStr"/>
      <c r="R601" t="inlineStr">
        <is>
          <t>Ledereinband</t>
        </is>
      </c>
      <c r="S601" t="inlineStr">
        <is>
          <t>bis 35 cm</t>
        </is>
      </c>
      <c r="T601" t="inlineStr">
        <is>
          <t>80° bis 110°, einseitig digitalisierbar?</t>
        </is>
      </c>
      <c r="U601" t="inlineStr">
        <is>
          <t>fester Rücken mit Schmuckprägung</t>
        </is>
      </c>
      <c r="V601" t="inlineStr"/>
      <c r="W601" t="inlineStr">
        <is>
          <t>Kassette im Schuber</t>
        </is>
      </c>
      <c r="X601" t="inlineStr">
        <is>
          <t>Nein</t>
        </is>
      </c>
      <c r="Y601" t="n">
        <v>0</v>
      </c>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t>
        </is>
      </c>
      <c r="B602" t="b">
        <v>1</v>
      </c>
      <c r="C602" t="inlineStr"/>
      <c r="D602" t="inlineStr"/>
      <c r="E602" t="n">
        <v>594</v>
      </c>
      <c r="F602">
        <f>HYPERLINK("https://portal.dnb.de/opac.htm?method=simpleSearch&amp;cqlMode=true&amp;query=idn%3D1173179313", "Portal")</f>
        <v/>
      </c>
      <c r="G602" t="inlineStr">
        <is>
          <t>Af</t>
        </is>
      </c>
      <c r="H602" t="inlineStr">
        <is>
          <t>L-1477-315495669</t>
        </is>
      </c>
      <c r="I602" t="inlineStr">
        <is>
          <t>1173179313</t>
        </is>
      </c>
      <c r="J602" t="inlineStr">
        <is>
          <t>II 82,2d</t>
        </is>
      </c>
      <c r="K602" t="inlineStr">
        <is>
          <t>II 82,2d</t>
        </is>
      </c>
      <c r="L602" t="inlineStr">
        <is>
          <t>II 82,2d</t>
        </is>
      </c>
      <c r="M602" t="inlineStr"/>
      <c r="N602" t="inlineStr">
        <is>
          <t>Summa theologica, P. 1-4</t>
        </is>
      </c>
      <c r="O602" t="inlineStr">
        <is>
          <t>2. : Pars 2</t>
        </is>
      </c>
      <c r="P602" t="inlineStr">
        <is>
          <t>X</t>
        </is>
      </c>
      <c r="Q602" t="inlineStr"/>
      <c r="R602" t="inlineStr">
        <is>
          <t>Halbledereinband, Schließen, erhabene Buchbeschläge</t>
        </is>
      </c>
      <c r="S602" t="inlineStr">
        <is>
          <t>bis 35 cm</t>
        </is>
      </c>
      <c r="T602" t="inlineStr">
        <is>
          <t>80° bis 110°, einseitig digitalisierbar?</t>
        </is>
      </c>
      <c r="U602" t="inlineStr">
        <is>
          <t>hohler Rücken, welliger Buchblock</t>
        </is>
      </c>
      <c r="V602" t="inlineStr"/>
      <c r="W602" t="inlineStr">
        <is>
          <t>Kassette</t>
        </is>
      </c>
      <c r="X602" t="inlineStr">
        <is>
          <t>Nein</t>
        </is>
      </c>
      <c r="Y602" t="n">
        <v>0</v>
      </c>
      <c r="Z602" t="inlineStr"/>
      <c r="AA602" t="inlineStr">
        <is>
          <t>Holzdeckel</t>
        </is>
      </c>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n">
        <v>0</v>
      </c>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t>
        </is>
      </c>
      <c r="B603" t="b">
        <v>1</v>
      </c>
      <c r="C603" t="inlineStr"/>
      <c r="D603" t="inlineStr"/>
      <c r="E603" t="n">
        <v>595</v>
      </c>
      <c r="F603">
        <f>HYPERLINK("https://portal.dnb.de/opac.htm?method=simpleSearch&amp;cqlMode=true&amp;query=idn%3D1066969515", "Portal")</f>
        <v/>
      </c>
      <c r="G603" t="inlineStr">
        <is>
          <t>Aaf</t>
        </is>
      </c>
      <c r="H603" t="inlineStr">
        <is>
          <t>L-1478-315499842</t>
        </is>
      </c>
      <c r="I603" t="inlineStr">
        <is>
          <t>1066969515</t>
        </is>
      </c>
      <c r="J603" t="inlineStr">
        <is>
          <t>II 82,2e</t>
        </is>
      </c>
      <c r="K603" t="inlineStr">
        <is>
          <t>II 82,2e</t>
        </is>
      </c>
      <c r="L603" t="inlineStr">
        <is>
          <t>II 82,2e</t>
        </is>
      </c>
      <c r="M603" t="inlineStr"/>
      <c r="N603" t="inlineStr">
        <is>
          <t xml:space="preserve">Digestum vetus : </t>
        </is>
      </c>
      <c r="O603" t="inlineStr">
        <is>
          <t xml:space="preserve"> : </t>
        </is>
      </c>
      <c r="P603" t="inlineStr"/>
      <c r="Q603" t="inlineStr"/>
      <c r="R603" t="inlineStr"/>
      <c r="S603" t="inlineStr"/>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n">
        <v>0</v>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t>
        </is>
      </c>
      <c r="B604" t="b">
        <v>1</v>
      </c>
      <c r="C604" t="inlineStr"/>
      <c r="D604" t="inlineStr"/>
      <c r="E604" t="n">
        <v>596</v>
      </c>
      <c r="F604">
        <f>HYPERLINK("https://portal.dnb.de/opac.htm?method=simpleSearch&amp;cqlMode=true&amp;query=idn%3D1066966117", "Portal")</f>
        <v/>
      </c>
      <c r="G604" t="inlineStr">
        <is>
          <t>Aaf</t>
        </is>
      </c>
      <c r="H604" t="inlineStr">
        <is>
          <t>L-1478-31549641X</t>
        </is>
      </c>
      <c r="I604" t="inlineStr">
        <is>
          <t>1066966117</t>
        </is>
      </c>
      <c r="J604" t="inlineStr">
        <is>
          <t>II 82,2f - 1</t>
        </is>
      </c>
      <c r="K604" t="inlineStr">
        <is>
          <t>II 82,2f  - 1</t>
        </is>
      </c>
      <c r="L604" t="inlineStr">
        <is>
          <t>II 82,2f</t>
        </is>
      </c>
      <c r="M604" t="inlineStr"/>
      <c r="N604" t="inlineStr">
        <is>
          <t xml:space="preserve">Super I. parte Infortiati : </t>
        </is>
      </c>
      <c r="O604" t="inlineStr">
        <is>
          <t xml:space="preserve"> : </t>
        </is>
      </c>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n">
        <v>0</v>
      </c>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t>
        </is>
      </c>
      <c r="B605" t="b">
        <v>1</v>
      </c>
      <c r="C605" t="inlineStr"/>
      <c r="D605" t="inlineStr"/>
      <c r="E605" t="n">
        <v>597</v>
      </c>
      <c r="F605">
        <f>HYPERLINK("https://portal.dnb.de/opac.htm?method=simpleSearch&amp;cqlMode=true&amp;query=idn%3D1079560564", "Portal")</f>
        <v/>
      </c>
      <c r="G605" t="inlineStr">
        <is>
          <t>Aa</t>
        </is>
      </c>
      <c r="H605" t="inlineStr">
        <is>
          <t>L-1478-343708906</t>
        </is>
      </c>
      <c r="I605" t="inlineStr">
        <is>
          <t>1079560564</t>
        </is>
      </c>
      <c r="J605" t="inlineStr">
        <is>
          <t>II 82,2f - 2</t>
        </is>
      </c>
      <c r="K605" t="inlineStr">
        <is>
          <t>II 82,2f - 2</t>
        </is>
      </c>
      <c r="L605" t="inlineStr">
        <is>
          <t>II 82,2f (angebunden)</t>
        </is>
      </c>
      <c r="M605" t="inlineStr"/>
      <c r="N605" t="inlineStr">
        <is>
          <t xml:space="preserve">Super II. parte Infortiati : </t>
        </is>
      </c>
      <c r="O605" t="inlineStr">
        <is>
          <t xml:space="preserve"> : </t>
        </is>
      </c>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n">
        <v>0</v>
      </c>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t>
        </is>
      </c>
      <c r="B606" t="b">
        <v>1</v>
      </c>
      <c r="C606" t="inlineStr"/>
      <c r="D606" t="inlineStr"/>
      <c r="E606" t="n">
        <v>598</v>
      </c>
      <c r="F606">
        <f>HYPERLINK("https://portal.dnb.de/opac.htm?method=simpleSearch&amp;cqlMode=true&amp;query=idn%3D1072170264", "Portal")</f>
        <v/>
      </c>
      <c r="G606" t="inlineStr">
        <is>
          <t>Aa</t>
        </is>
      </c>
      <c r="H606" t="inlineStr">
        <is>
          <t>L-1471-327006366</t>
        </is>
      </c>
      <c r="I606" t="inlineStr">
        <is>
          <t>1072170264</t>
        </is>
      </c>
      <c r="J606" t="inlineStr">
        <is>
          <t>II 82,3a</t>
        </is>
      </c>
      <c r="K606" t="inlineStr">
        <is>
          <t>II 82,3a</t>
        </is>
      </c>
      <c r="L606" t="inlineStr">
        <is>
          <t>II 82,3a</t>
        </is>
      </c>
      <c r="M606" t="inlineStr"/>
      <c r="N606" t="inlineStr">
        <is>
          <t xml:space="preserve">Commentarium in Vergilii opera : </t>
        </is>
      </c>
      <c r="O606" t="inlineStr">
        <is>
          <t xml:space="preserve"> : </t>
        </is>
      </c>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n">
        <v>0</v>
      </c>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t>
        </is>
      </c>
      <c r="B607" t="b">
        <v>1</v>
      </c>
      <c r="C607" t="inlineStr"/>
      <c r="D607" t="inlineStr"/>
      <c r="E607" t="n">
        <v>599</v>
      </c>
      <c r="F607">
        <f>HYPERLINK("https://portal.dnb.de/opac.htm?method=simpleSearch&amp;cqlMode=true&amp;query=idn%3D1066970912", "Portal")</f>
        <v/>
      </c>
      <c r="G607" t="inlineStr">
        <is>
          <t>Aaf</t>
        </is>
      </c>
      <c r="H607" t="inlineStr">
        <is>
          <t>L-1476-315501278</t>
        </is>
      </c>
      <c r="I607" t="inlineStr">
        <is>
          <t>1066970912</t>
        </is>
      </c>
      <c r="J607" t="inlineStr">
        <is>
          <t>II 82,4b</t>
        </is>
      </c>
      <c r="K607" t="inlineStr">
        <is>
          <t>II 82,4b</t>
        </is>
      </c>
      <c r="L607" t="inlineStr">
        <is>
          <t>II 82,4b</t>
        </is>
      </c>
      <c r="M607" t="inlineStr"/>
      <c r="N607" t="inlineStr">
        <is>
          <t xml:space="preserve">Sermonarium de peccatis per adventum et per duas quadragesimas : </t>
        </is>
      </c>
      <c r="O607" t="inlineStr">
        <is>
          <t xml:space="preserve"> : </t>
        </is>
      </c>
      <c r="P607" t="inlineStr">
        <is>
          <t>X</t>
        </is>
      </c>
      <c r="Q607" t="inlineStr"/>
      <c r="R607" t="inlineStr">
        <is>
          <t>Ledereinband, Schließen, erhabene Buchbeschläge</t>
        </is>
      </c>
      <c r="S607" t="inlineStr"/>
      <c r="T607" t="inlineStr">
        <is>
          <t>80° bis 110°, einseitig digitalisierbar?</t>
        </is>
      </c>
      <c r="U607" t="inlineStr">
        <is>
          <t>fester Rücken mit Schmuckprägung</t>
        </is>
      </c>
      <c r="V607" t="inlineStr"/>
      <c r="W607" t="inlineStr">
        <is>
          <t>Kassette</t>
        </is>
      </c>
      <c r="X607" t="inlineStr">
        <is>
          <t>Nein</t>
        </is>
      </c>
      <c r="Y607" t="n">
        <v>0</v>
      </c>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n">
        <v>0</v>
      </c>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c r="DC607" t="inlineStr"/>
      <c r="DD607" t="inlineStr"/>
      <c r="DE607" t="inlineStr"/>
      <c r="DF607" t="inlineStr"/>
      <c r="DG607" t="inlineStr"/>
    </row>
    <row r="608">
      <c r="A608" t="inlineStr">
        <is>
          <t>II</t>
        </is>
      </c>
      <c r="B608" t="b">
        <v>1</v>
      </c>
      <c r="C608" t="inlineStr">
        <is>
          <t>x</t>
        </is>
      </c>
      <c r="D608" t="inlineStr"/>
      <c r="E608" t="n">
        <v>600</v>
      </c>
      <c r="F608">
        <f>HYPERLINK("https://portal.dnb.de/opac.htm?method=simpleSearch&amp;cqlMode=true&amp;query=idn%3D1066964793", "Portal")</f>
        <v/>
      </c>
      <c r="G608" t="inlineStr">
        <is>
          <t>Aaf</t>
        </is>
      </c>
      <c r="H608" t="inlineStr">
        <is>
          <t>L-1482-315494972</t>
        </is>
      </c>
      <c r="I608" t="inlineStr">
        <is>
          <t>1066964793</t>
        </is>
      </c>
      <c r="J608" t="inlineStr">
        <is>
          <t>II 82,4c</t>
        </is>
      </c>
      <c r="K608" t="inlineStr">
        <is>
          <t>II 82,4c</t>
        </is>
      </c>
      <c r="L608" t="inlineStr">
        <is>
          <t>II 82,4c</t>
        </is>
      </c>
      <c r="M608" t="inlineStr"/>
      <c r="N608" t="inlineStr">
        <is>
          <t xml:space="preserve">Biblia, lat. : </t>
        </is>
      </c>
      <c r="O608" t="inlineStr">
        <is>
          <t xml:space="preserve"> : </t>
        </is>
      </c>
      <c r="P608" t="inlineStr">
        <is>
          <t>X</t>
        </is>
      </c>
      <c r="Q608" t="inlineStr">
        <is>
          <t>18000,00 EUR</t>
        </is>
      </c>
      <c r="R608" t="inlineStr">
        <is>
          <t>Ledereinband, Schließen, erhabene Buchbeschläge</t>
        </is>
      </c>
      <c r="S608" t="inlineStr">
        <is>
          <t>bis 35 cm</t>
        </is>
      </c>
      <c r="T608" t="inlineStr">
        <is>
          <t>80° bis 110°, einseitig digitalisierbar?</t>
        </is>
      </c>
      <c r="U608" t="inlineStr">
        <is>
          <t>hohler Rücken, welliger Buchblock, erhabene Illuminationen</t>
        </is>
      </c>
      <c r="V608" t="inlineStr">
        <is>
          <t>nicht auflegen</t>
        </is>
      </c>
      <c r="W608" t="inlineStr">
        <is>
          <t>Kassette</t>
        </is>
      </c>
      <c r="X608" t="inlineStr">
        <is>
          <t>Nein</t>
        </is>
      </c>
      <c r="Y608" t="n">
        <v>1</v>
      </c>
      <c r="Z608" t="inlineStr"/>
      <c r="AA608" t="inlineStr">
        <is>
          <t xml:space="preserve">3 Bd. Jeweils Einzeln in e. Kassette </t>
        </is>
      </c>
      <c r="AB608" t="inlineStr"/>
      <c r="AC608" t="inlineStr"/>
      <c r="AD608" t="inlineStr"/>
      <c r="AE608" t="inlineStr"/>
      <c r="AF608" t="inlineStr"/>
      <c r="AG608" t="inlineStr"/>
      <c r="AH608" t="inlineStr"/>
      <c r="AI608" t="inlineStr">
        <is>
          <t>L</t>
        </is>
      </c>
      <c r="AJ608" t="inlineStr"/>
      <c r="AK608" t="inlineStr">
        <is>
          <t>x</t>
        </is>
      </c>
      <c r="AL608" t="inlineStr"/>
      <c r="AM608" t="inlineStr">
        <is>
          <t>h/E</t>
        </is>
      </c>
      <c r="AN608" t="inlineStr"/>
      <c r="AO608" t="inlineStr"/>
      <c r="AP608" t="inlineStr"/>
      <c r="AQ608" t="inlineStr"/>
      <c r="AR608" t="inlineStr"/>
      <c r="AS608" t="inlineStr">
        <is>
          <t>Pa</t>
        </is>
      </c>
      <c r="AT608" t="inlineStr"/>
      <c r="AU608" t="inlineStr"/>
      <c r="AV608" t="inlineStr"/>
      <c r="AW608" t="inlineStr"/>
      <c r="AX608" t="inlineStr"/>
      <c r="AY608" t="inlineStr"/>
      <c r="AZ608" t="inlineStr"/>
      <c r="BA608" t="inlineStr"/>
      <c r="BB608" t="inlineStr"/>
      <c r="BC608" t="inlineStr">
        <is>
          <t>B/I/R</t>
        </is>
      </c>
      <c r="BD608" t="inlineStr">
        <is>
          <t>x</t>
        </is>
      </c>
      <c r="BE608" t="inlineStr"/>
      <c r="BF608" t="inlineStr"/>
      <c r="BG608" t="n">
        <v>60</v>
      </c>
      <c r="BH608" t="inlineStr"/>
      <c r="BI608" t="inlineStr">
        <is>
          <t>x</t>
        </is>
      </c>
      <c r="BJ608" t="inlineStr">
        <is>
          <t xml:space="preserve">
Buch hat kaputte Gelenke, öffnet sich aber so besser, DL erklären, dass es weiter kaputt gehen kann und in diesem Fall ok ist. Wird nachher rest.</t>
        </is>
      </c>
      <c r="BK608" t="inlineStr"/>
      <c r="BL608" t="inlineStr"/>
      <c r="BM608" t="inlineStr">
        <is>
          <t>ja nach</t>
        </is>
      </c>
      <c r="BN608" t="n">
        <v>0.5</v>
      </c>
      <c r="BO608" t="inlineStr"/>
      <c r="BP608" t="inlineStr">
        <is>
          <t>Wellpappe</t>
        </is>
      </c>
      <c r="BQ608" t="inlineStr"/>
      <c r="BR608" t="inlineStr"/>
      <c r="BS608" t="inlineStr"/>
      <c r="BT608" t="inlineStr"/>
      <c r="BU608" t="inlineStr"/>
      <c r="BV608" t="inlineStr"/>
      <c r="BW608" t="inlineStr"/>
      <c r="BX608" t="inlineStr"/>
      <c r="BY608" t="inlineStr"/>
      <c r="BZ608" t="inlineStr">
        <is>
          <t>x</t>
        </is>
      </c>
      <c r="CA608" t="inlineStr">
        <is>
          <t>x</t>
        </is>
      </c>
      <c r="CB608" t="inlineStr"/>
      <c r="CC608" t="inlineStr"/>
      <c r="CD608" t="inlineStr">
        <is>
          <t>v</t>
        </is>
      </c>
      <c r="CE608" t="inlineStr"/>
      <c r="CF608" t="inlineStr">
        <is>
          <t>x</t>
        </is>
      </c>
      <c r="CG608" t="inlineStr"/>
      <c r="CH608" t="inlineStr"/>
      <c r="CI608" t="inlineStr"/>
      <c r="CJ608" t="inlineStr"/>
      <c r="CK608" t="inlineStr"/>
      <c r="CL608" t="inlineStr"/>
      <c r="CM608" t="n">
        <v>0.5</v>
      </c>
      <c r="CN608" t="inlineStr">
        <is>
          <t>Hülse</t>
        </is>
      </c>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t>
        </is>
      </c>
      <c r="B609" t="b">
        <v>1</v>
      </c>
      <c r="C609" t="inlineStr"/>
      <c r="D609" t="inlineStr"/>
      <c r="E609" t="n">
        <v>601</v>
      </c>
      <c r="F609">
        <f>HYPERLINK("https://portal.dnb.de/opac.htm?method=simpleSearch&amp;cqlMode=true&amp;query=idn%3D1066967431", "Portal")</f>
        <v/>
      </c>
      <c r="G609" t="inlineStr">
        <is>
          <t>Aaf</t>
        </is>
      </c>
      <c r="H609" t="inlineStr">
        <is>
          <t>L-1479-315497696</t>
        </is>
      </c>
      <c r="I609" t="inlineStr">
        <is>
          <t>1066967431</t>
        </is>
      </c>
      <c r="J609" t="inlineStr">
        <is>
          <t>II 82,5a</t>
        </is>
      </c>
      <c r="K609" t="inlineStr">
        <is>
          <t>II 82,5a</t>
        </is>
      </c>
      <c r="L609" t="inlineStr">
        <is>
          <t>II 82,5a</t>
        </is>
      </c>
      <c r="M609" t="inlineStr"/>
      <c r="N609" t="inlineStr">
        <is>
          <t xml:space="preserve">De inventione sive Rhetorica vetus : </t>
        </is>
      </c>
      <c r="O609" t="inlineStr">
        <is>
          <t xml:space="preserve"> : </t>
        </is>
      </c>
      <c r="P609" t="inlineStr">
        <is>
          <t>X</t>
        </is>
      </c>
      <c r="Q609" t="inlineStr"/>
      <c r="R609" t="inlineStr">
        <is>
          <t>Halbledereinband</t>
        </is>
      </c>
      <c r="S609" t="inlineStr">
        <is>
          <t>bis 35 cm</t>
        </is>
      </c>
      <c r="T609" t="inlineStr">
        <is>
          <t>80° bis 110°, einseitig digitalisierbar?</t>
        </is>
      </c>
      <c r="U609" t="inlineStr">
        <is>
          <t>hohler Rücken, welliger Buchblock, erhabene Illuminationen</t>
        </is>
      </c>
      <c r="V609" t="inlineStr">
        <is>
          <t>nicht auflegen</t>
        </is>
      </c>
      <c r="W609" t="inlineStr">
        <is>
          <t>Kassette</t>
        </is>
      </c>
      <c r="X609" t="inlineStr">
        <is>
          <t>Nein</t>
        </is>
      </c>
      <c r="Y609" t="n">
        <v>2</v>
      </c>
      <c r="Z609" t="inlineStr"/>
      <c r="AA609" t="inlineStr">
        <is>
          <t>Buchrückenteile extra in Sammelbox</t>
        </is>
      </c>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n">
        <v>0</v>
      </c>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t>
        </is>
      </c>
      <c r="B610" t="b">
        <v>1</v>
      </c>
      <c r="C610" t="inlineStr"/>
      <c r="D610" t="inlineStr"/>
      <c r="E610" t="n">
        <v>602</v>
      </c>
      <c r="F610">
        <f>HYPERLINK("https://portal.dnb.de/opac.htm?method=simpleSearch&amp;cqlMode=true&amp;query=idn%3D106696548X", "Portal")</f>
        <v/>
      </c>
      <c r="G610" t="inlineStr">
        <is>
          <t>Aaf</t>
        </is>
      </c>
      <c r="H610" t="inlineStr">
        <is>
          <t>L-1476-315495723</t>
        </is>
      </c>
      <c r="I610" t="inlineStr">
        <is>
          <t>106696548X</t>
        </is>
      </c>
      <c r="J610" t="inlineStr">
        <is>
          <t>II 82,6a</t>
        </is>
      </c>
      <c r="K610" t="inlineStr">
        <is>
          <t>II 82,6a</t>
        </is>
      </c>
      <c r="L610" t="inlineStr">
        <is>
          <t>II 82,6a</t>
        </is>
      </c>
      <c r="M610" t="inlineStr"/>
      <c r="N610" t="inlineStr">
        <is>
          <t xml:space="preserve">De animalibus : </t>
        </is>
      </c>
      <c r="O610" t="inlineStr">
        <is>
          <t xml:space="preserve"> : </t>
        </is>
      </c>
      <c r="P610" t="inlineStr"/>
      <c r="Q610" t="inlineStr"/>
      <c r="R610" t="inlineStr"/>
      <c r="S610" t="inlineStr">
        <is>
          <t>bis 35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L</t>
        </is>
      </c>
      <c r="AJ610" t="inlineStr"/>
      <c r="AK610" t="inlineStr"/>
      <c r="AL610" t="inlineStr"/>
      <c r="AM610" t="inlineStr">
        <is>
          <t>h/E</t>
        </is>
      </c>
      <c r="AN610" t="inlineStr"/>
      <c r="AO610" t="inlineStr"/>
      <c r="AP610" t="inlineStr"/>
      <c r="AQ610" t="inlineStr"/>
      <c r="AR610" t="inlineStr"/>
      <c r="AS610" t="inlineStr">
        <is>
          <t>Pa</t>
        </is>
      </c>
      <c r="AT610" t="inlineStr"/>
      <c r="AU610" t="inlineStr"/>
      <c r="AV610" t="inlineStr"/>
      <c r="AW610" t="inlineStr"/>
      <c r="AX610" t="inlineStr"/>
      <c r="AY610" t="inlineStr"/>
      <c r="AZ610" t="inlineStr"/>
      <c r="BA610" t="inlineStr"/>
      <c r="BB610" t="inlineStr"/>
      <c r="BC610" t="inlineStr"/>
      <c r="BD610" t="inlineStr"/>
      <c r="BE610" t="inlineStr"/>
      <c r="BF610" t="inlineStr"/>
      <c r="BG610" t="n">
        <v>110</v>
      </c>
      <c r="BH610" t="inlineStr"/>
      <c r="BI610" t="inlineStr"/>
      <c r="BJ610" t="inlineStr"/>
      <c r="BK610" t="inlineStr"/>
      <c r="BL610" t="inlineStr"/>
      <c r="BM610" t="inlineStr">
        <is>
          <t>n</t>
        </is>
      </c>
      <c r="BN610" t="n">
        <v>0</v>
      </c>
      <c r="BO610" t="inlineStr"/>
      <c r="BP610" t="inlineStr">
        <is>
          <t>Wellpappe</t>
        </is>
      </c>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t>
        </is>
      </c>
      <c r="B611" t="b">
        <v>1</v>
      </c>
      <c r="C611" t="inlineStr"/>
      <c r="D611" t="inlineStr"/>
      <c r="E611" t="inlineStr"/>
      <c r="F611">
        <f>HYPERLINK("https://portal.dnb.de/opac.htm?method=simpleSearch&amp;cqlMode=true&amp;query=idn%3D1138321850", "Portal")</f>
        <v/>
      </c>
      <c r="G611" t="inlineStr">
        <is>
          <t>Qd</t>
        </is>
      </c>
      <c r="H611" t="inlineStr">
        <is>
          <t>L-9999-414838785</t>
        </is>
      </c>
      <c r="I611" t="inlineStr">
        <is>
          <t>1138321850</t>
        </is>
      </c>
      <c r="J611" t="inlineStr">
        <is>
          <t>II 82,7 h</t>
        </is>
      </c>
      <c r="K611" t="inlineStr">
        <is>
          <t>II 82,7 h</t>
        </is>
      </c>
      <c r="L611" t="inlineStr">
        <is>
          <t>II 82,7 h</t>
        </is>
      </c>
      <c r="M611" t="inlineStr"/>
      <c r="N611" t="inlineStr">
        <is>
          <t xml:space="preserve">Sammelband mit zwei Inkunabeln : </t>
        </is>
      </c>
      <c r="O611" t="inlineStr">
        <is>
          <t xml:space="preserve"> : </t>
        </is>
      </c>
      <c r="P611" t="inlineStr"/>
      <c r="Q611" t="inlineStr"/>
      <c r="R611" t="inlineStr"/>
      <c r="S611" t="inlineStr">
        <is>
          <t>bis 25 cm</t>
        </is>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is>
          <t>Pg</t>
        </is>
      </c>
      <c r="AJ611" t="inlineStr"/>
      <c r="AK611" t="inlineStr"/>
      <c r="AL611" t="inlineStr"/>
      <c r="AM611" t="inlineStr">
        <is>
          <t>h</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is>
          <t>K</t>
        </is>
      </c>
      <c r="BD611" t="inlineStr">
        <is>
          <t>x</t>
        </is>
      </c>
      <c r="BE611" t="inlineStr"/>
      <c r="BF611" t="inlineStr"/>
      <c r="BG611" t="n">
        <v>110</v>
      </c>
      <c r="BH611" t="inlineStr"/>
      <c r="BI611" t="inlineStr"/>
      <c r="BJ611" t="inlineStr"/>
      <c r="BK611" t="inlineStr"/>
      <c r="BL611" t="inlineStr"/>
      <c r="BM611" t="inlineStr">
        <is>
          <t>n</t>
        </is>
      </c>
      <c r="BN611" t="n">
        <v>0</v>
      </c>
      <c r="BO611" t="inlineStr"/>
      <c r="BP611" t="inlineStr">
        <is>
          <t>Wellpappe</t>
        </is>
      </c>
      <c r="BQ611" t="inlineStr"/>
      <c r="BR611" t="inlineStr"/>
      <c r="BS611" t="inlineStr"/>
      <c r="BT611" t="inlineStr"/>
      <c r="BU611" t="inlineStr"/>
      <c r="BV611" t="inlineStr">
        <is>
          <t>Schaden ist stabil genug</t>
        </is>
      </c>
      <c r="BW611" t="inlineStr">
        <is>
          <t>x 110</t>
        </is>
      </c>
      <c r="BX611" t="inlineStr">
        <is>
          <t xml:space="preserve">
Pg., beschädigt, koloriert</t>
        </is>
      </c>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t>
        </is>
      </c>
      <c r="B612" t="b">
        <v>1</v>
      </c>
      <c r="C612" t="inlineStr"/>
      <c r="D612" t="inlineStr"/>
      <c r="E612" t="n">
        <v>603</v>
      </c>
      <c r="F612">
        <f>HYPERLINK("https://portal.dnb.de/opac.htm?method=simpleSearch&amp;cqlMode=true&amp;query=idn%3D1066970831", "Portal")</f>
        <v/>
      </c>
      <c r="G612" t="inlineStr">
        <is>
          <t>Aaf</t>
        </is>
      </c>
      <c r="H612" t="inlineStr">
        <is>
          <t>L-1468-315501197</t>
        </is>
      </c>
      <c r="I612" t="inlineStr">
        <is>
          <t>1066970831</t>
        </is>
      </c>
      <c r="J612" t="inlineStr">
        <is>
          <t>II 82,7b</t>
        </is>
      </c>
      <c r="K612" t="inlineStr">
        <is>
          <t>II 82,7b</t>
        </is>
      </c>
      <c r="L612" t="inlineStr">
        <is>
          <t>II 82,7b</t>
        </is>
      </c>
      <c r="M612" t="inlineStr"/>
      <c r="N612" t="inlineStr">
        <is>
          <t xml:space="preserve">De componendis versibus hexametro et pentametro : </t>
        </is>
      </c>
      <c r="O612" t="inlineStr">
        <is>
          <t xml:space="preserve"> : </t>
        </is>
      </c>
      <c r="P612" t="inlineStr"/>
      <c r="Q612" t="inlineStr"/>
      <c r="R612" t="inlineStr"/>
      <c r="S612" t="inlineStr">
        <is>
          <t>bis 25 cm</t>
        </is>
      </c>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is>
          <t>G</t>
        </is>
      </c>
      <c r="AJ612" t="inlineStr"/>
      <c r="AK612" t="inlineStr">
        <is>
          <t>x</t>
        </is>
      </c>
      <c r="AL612" t="inlineStr">
        <is>
          <t>x</t>
        </is>
      </c>
      <c r="AM612" t="inlineStr">
        <is>
          <t>h/E</t>
        </is>
      </c>
      <c r="AN612" t="inlineStr"/>
      <c r="AO612" t="inlineStr"/>
      <c r="AP612" t="inlineStr"/>
      <c r="AQ612" t="inlineStr"/>
      <c r="AR612" t="inlineStr"/>
      <c r="AS612" t="inlineStr">
        <is>
          <t>Pa</t>
        </is>
      </c>
      <c r="AT612" t="inlineStr">
        <is>
          <t>x</t>
        </is>
      </c>
      <c r="AU612" t="inlineStr"/>
      <c r="AV612" t="inlineStr"/>
      <c r="AW612" t="inlineStr"/>
      <c r="AX612" t="inlineStr"/>
      <c r="AY612" t="inlineStr"/>
      <c r="AZ612" t="inlineStr"/>
      <c r="BA612" t="inlineStr"/>
      <c r="BB612" t="inlineStr"/>
      <c r="BC612" t="inlineStr"/>
      <c r="BD612" t="inlineStr"/>
      <c r="BE612" t="inlineStr"/>
      <c r="BF612" t="inlineStr"/>
      <c r="BG612" t="n">
        <v>110</v>
      </c>
      <c r="BH612" t="inlineStr"/>
      <c r="BI612" t="inlineStr"/>
      <c r="BJ612" t="inlineStr"/>
      <c r="BK612" t="inlineStr"/>
      <c r="BL612" t="inlineStr"/>
      <c r="BM612" t="inlineStr">
        <is>
          <t>n</t>
        </is>
      </c>
      <c r="BN612" t="n">
        <v>0</v>
      </c>
      <c r="BO612" t="inlineStr"/>
      <c r="BP612" t="inlineStr">
        <is>
          <t>Wellpappe</t>
        </is>
      </c>
      <c r="BQ612" t="inlineStr"/>
      <c r="BR612" t="inlineStr"/>
      <c r="BS612" t="inlineStr"/>
      <c r="BT612" t="inlineStr"/>
      <c r="BU612" t="inlineStr"/>
      <c r="BV612" t="inlineStr"/>
      <c r="BW612" t="inlineStr">
        <is>
          <t>x 110</t>
        </is>
      </c>
      <c r="BX612" t="inlineStr">
        <is>
          <t xml:space="preserve">
mit saurem Füllmaterial</t>
        </is>
      </c>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t>
        </is>
      </c>
      <c r="B613" t="b">
        <v>1</v>
      </c>
      <c r="C613" t="inlineStr">
        <is>
          <t>x</t>
        </is>
      </c>
      <c r="D613" t="inlineStr"/>
      <c r="E613" t="n">
        <v>604</v>
      </c>
      <c r="F613">
        <f>HYPERLINK("https://portal.dnb.de/opac.htm?method=simpleSearch&amp;cqlMode=true&amp;query=idn%3D1066968098", "Portal")</f>
        <v/>
      </c>
      <c r="G613" t="inlineStr">
        <is>
          <t>Aaf</t>
        </is>
      </c>
      <c r="H613" t="inlineStr">
        <is>
          <t>L-1483-327015608</t>
        </is>
      </c>
      <c r="I613" t="inlineStr">
        <is>
          <t>1066968098</t>
        </is>
      </c>
      <c r="J613" t="inlineStr">
        <is>
          <t>II 82,7d</t>
        </is>
      </c>
      <c r="K613" t="inlineStr">
        <is>
          <t>II 82,7d</t>
        </is>
      </c>
      <c r="L613" t="inlineStr">
        <is>
          <t>II 82,7d</t>
        </is>
      </c>
      <c r="M613" t="inlineStr"/>
      <c r="N613" t="inlineStr">
        <is>
          <t xml:space="preserve">Chronicon : </t>
        </is>
      </c>
      <c r="O613" t="inlineStr">
        <is>
          <t xml:space="preserve"> : </t>
        </is>
      </c>
      <c r="P613" t="inlineStr"/>
      <c r="Q613" t="inlineStr">
        <is>
          <t>7500,00 EUR</t>
        </is>
      </c>
      <c r="R613" t="inlineStr"/>
      <c r="S613" t="inlineStr">
        <is>
          <t>bis 25 cm</t>
        </is>
      </c>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is>
          <t>HPg</t>
        </is>
      </c>
      <c r="AJ613" t="inlineStr"/>
      <c r="AK613" t="inlineStr"/>
      <c r="AL613" t="inlineStr"/>
      <c r="AM613" t="inlineStr">
        <is>
          <t>f</t>
        </is>
      </c>
      <c r="AN613" t="inlineStr"/>
      <c r="AO613" t="inlineStr"/>
      <c r="AP613" t="inlineStr"/>
      <c r="AQ613" t="inlineStr"/>
      <c r="AR613" t="inlineStr"/>
      <c r="AS613" t="inlineStr">
        <is>
          <t>Pa</t>
        </is>
      </c>
      <c r="AT613" t="inlineStr"/>
      <c r="AU613" t="inlineStr"/>
      <c r="AV613" t="inlineStr"/>
      <c r="AW613" t="inlineStr"/>
      <c r="AX613" t="inlineStr"/>
      <c r="AY613" t="inlineStr"/>
      <c r="AZ613" t="inlineStr"/>
      <c r="BA613" t="inlineStr"/>
      <c r="BB613" t="inlineStr"/>
      <c r="BC613" t="inlineStr"/>
      <c r="BD613" t="inlineStr"/>
      <c r="BE613" t="inlineStr"/>
      <c r="BF613" t="inlineStr"/>
      <c r="BG613" t="n">
        <v>60</v>
      </c>
      <c r="BH613" t="inlineStr"/>
      <c r="BI613" t="inlineStr"/>
      <c r="BJ613" t="inlineStr"/>
      <c r="BK613" t="inlineStr"/>
      <c r="BL613" t="inlineStr"/>
      <c r="BM613" t="inlineStr">
        <is>
          <t>ja vor</t>
        </is>
      </c>
      <c r="BN613" t="n">
        <v>3.5</v>
      </c>
      <c r="BO613" t="inlineStr"/>
      <c r="BP613" t="inlineStr">
        <is>
          <t>Wellpappe</t>
        </is>
      </c>
      <c r="BQ613" t="inlineStr"/>
      <c r="BR613" t="inlineStr"/>
      <c r="BS613" t="inlineStr"/>
      <c r="BT613" t="inlineStr"/>
      <c r="BU613" t="inlineStr"/>
      <c r="BV613" t="inlineStr"/>
      <c r="BW613" t="inlineStr"/>
      <c r="BX613" t="inlineStr"/>
      <c r="BY613" t="inlineStr"/>
      <c r="BZ613" t="inlineStr"/>
      <c r="CA613" t="inlineStr"/>
      <c r="CB613" t="inlineStr">
        <is>
          <t>x</t>
        </is>
      </c>
      <c r="CC613" t="inlineStr"/>
      <c r="CD613" t="inlineStr">
        <is>
          <t>v</t>
        </is>
      </c>
      <c r="CE613" t="inlineStr"/>
      <c r="CF613" t="inlineStr"/>
      <c r="CG613" t="inlineStr"/>
      <c r="CH613" t="inlineStr"/>
      <c r="CI613" t="inlineStr">
        <is>
          <t>VD/RD</t>
        </is>
      </c>
      <c r="CJ613" t="inlineStr"/>
      <c r="CK613" t="inlineStr"/>
      <c r="CL613" t="inlineStr"/>
      <c r="CM613" t="n">
        <v>3</v>
      </c>
      <c r="CN613" t="inlineStr">
        <is>
          <t xml:space="preserve">Kanten stabilisieren und ggf. mit JP einfassen (Form beigehalten), Gelenk schließen, </t>
        </is>
      </c>
      <c r="CO613" t="inlineStr"/>
      <c r="CP613" t="inlineStr"/>
      <c r="CQ613" t="inlineStr"/>
      <c r="CR613" t="inlineStr"/>
      <c r="CS613" t="inlineStr">
        <is>
          <t>x</t>
        </is>
      </c>
      <c r="CT613" t="inlineStr"/>
      <c r="CU613" t="inlineStr"/>
      <c r="CV613" t="inlineStr"/>
      <c r="CW613" t="inlineStr"/>
      <c r="CX613" t="inlineStr"/>
      <c r="CY613" t="inlineStr"/>
      <c r="CZ613" t="inlineStr"/>
      <c r="DA613" t="inlineStr"/>
      <c r="DB613" t="inlineStr"/>
      <c r="DC613" t="inlineStr"/>
      <c r="DD613" t="inlineStr"/>
      <c r="DE613" t="inlineStr"/>
      <c r="DF613" t="n">
        <v>0.5</v>
      </c>
      <c r="DG613" t="inlineStr"/>
    </row>
    <row r="614">
      <c r="A614" t="inlineStr">
        <is>
          <t>II</t>
        </is>
      </c>
      <c r="B614" t="b">
        <v>1</v>
      </c>
      <c r="C614" t="inlineStr"/>
      <c r="D614" t="inlineStr"/>
      <c r="E614" t="n">
        <v>605</v>
      </c>
      <c r="F614">
        <f>HYPERLINK("https://portal.dnb.de/opac.htm?method=simpleSearch&amp;cqlMode=true&amp;query=idn%3D1066970807", "Portal")</f>
        <v/>
      </c>
      <c r="G614" t="inlineStr">
        <is>
          <t>Aaf</t>
        </is>
      </c>
      <c r="H614" t="inlineStr">
        <is>
          <t>L-1483-315501162</t>
        </is>
      </c>
      <c r="I614" t="inlineStr">
        <is>
          <t>1066970807</t>
        </is>
      </c>
      <c r="J614" t="inlineStr">
        <is>
          <t>II 82,7 e</t>
        </is>
      </c>
      <c r="K614" t="inlineStr">
        <is>
          <t>II 82,7 e</t>
        </is>
      </c>
      <c r="L614" t="inlineStr">
        <is>
          <t>II 82,7e</t>
        </is>
      </c>
      <c r="M614" t="inlineStr"/>
      <c r="N614" t="inlineStr">
        <is>
          <t xml:space="preserve">Buch der zehn Gebote : </t>
        </is>
      </c>
      <c r="O614" t="inlineStr">
        <is>
          <t xml:space="preserve"> : </t>
        </is>
      </c>
      <c r="P614" t="inlineStr"/>
      <c r="Q614" t="inlineStr"/>
      <c r="R614" t="inlineStr"/>
      <c r="S614" t="inlineStr">
        <is>
          <t>bis 35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HPg</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c r="BD614" t="inlineStr"/>
      <c r="BE614" t="inlineStr"/>
      <c r="BF614" t="inlineStr"/>
      <c r="BG614" t="n">
        <v>110</v>
      </c>
      <c r="BH614" t="inlineStr"/>
      <c r="BI614" t="inlineStr"/>
      <c r="BJ614" t="inlineStr"/>
      <c r="BK614" t="inlineStr"/>
      <c r="BL614" t="inlineStr"/>
      <c r="BM614" t="inlineStr">
        <is>
          <t>n</t>
        </is>
      </c>
      <c r="BN614" t="n">
        <v>0</v>
      </c>
      <c r="BO614" t="inlineStr"/>
      <c r="BP614" t="inlineStr">
        <is>
          <t>Wellpappe</t>
        </is>
      </c>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c r="DC614" t="inlineStr"/>
      <c r="DD614" t="inlineStr"/>
      <c r="DE614" t="inlineStr"/>
      <c r="DF614" t="inlineStr"/>
      <c r="DG614" t="inlineStr"/>
    </row>
    <row r="615">
      <c r="A615" t="inlineStr">
        <is>
          <t>II</t>
        </is>
      </c>
      <c r="B615" t="b">
        <v>1</v>
      </c>
      <c r="C615" t="inlineStr"/>
      <c r="D615" t="inlineStr"/>
      <c r="E615" t="n">
        <v>606</v>
      </c>
      <c r="F615">
        <f>HYPERLINK("https://portal.dnb.de/opac.htm?method=simpleSearch&amp;cqlMode=true&amp;query=idn%3D1066968179", "Portal")</f>
        <v/>
      </c>
      <c r="G615" t="inlineStr">
        <is>
          <t>Aaf</t>
        </is>
      </c>
      <c r="H615" t="inlineStr">
        <is>
          <t>L-1485-315498447</t>
        </is>
      </c>
      <c r="I615" t="inlineStr">
        <is>
          <t>1066968179</t>
        </is>
      </c>
      <c r="J615" t="inlineStr">
        <is>
          <t>II 82,7f</t>
        </is>
      </c>
      <c r="K615" t="inlineStr">
        <is>
          <t>II 82,7f</t>
        </is>
      </c>
      <c r="L615" t="inlineStr">
        <is>
          <t>II 82,7f</t>
        </is>
      </c>
      <c r="M615" t="inlineStr"/>
      <c r="N615" t="inlineStr">
        <is>
          <t xml:space="preserve">Opusculum repertorii prognosticon in mutationes aeris : </t>
        </is>
      </c>
      <c r="O615" t="inlineStr">
        <is>
          <t xml:space="preserve"> : </t>
        </is>
      </c>
      <c r="P615" t="inlineStr"/>
      <c r="Q615" t="inlineStr"/>
      <c r="R615" t="inlineStr"/>
      <c r="S615" t="inlineStr">
        <is>
          <t>bis 25 cm</t>
        </is>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is>
          <t>HL</t>
        </is>
      </c>
      <c r="AJ615" t="inlineStr"/>
      <c r="AK615" t="inlineStr">
        <is>
          <t>x</t>
        </is>
      </c>
      <c r="AL615" t="inlineStr"/>
      <c r="AM615" t="inlineStr">
        <is>
          <t>h/E</t>
        </is>
      </c>
      <c r="AN615" t="inlineStr"/>
      <c r="AO615" t="inlineStr"/>
      <c r="AP615" t="inlineStr"/>
      <c r="AQ615" t="inlineStr"/>
      <c r="AR615" t="inlineStr"/>
      <c r="AS615" t="inlineStr">
        <is>
          <t>Pa</t>
        </is>
      </c>
      <c r="AT615" t="inlineStr">
        <is>
          <t>x</t>
        </is>
      </c>
      <c r="AU615" t="inlineStr"/>
      <c r="AV615" t="inlineStr"/>
      <c r="AW615" t="inlineStr"/>
      <c r="AX615" t="inlineStr"/>
      <c r="AY615" t="inlineStr"/>
      <c r="AZ615" t="inlineStr"/>
      <c r="BA615" t="inlineStr"/>
      <c r="BB615" t="inlineStr"/>
      <c r="BC615" t="inlineStr"/>
      <c r="BD615" t="inlineStr"/>
      <c r="BE615" t="inlineStr"/>
      <c r="BF615" t="inlineStr"/>
      <c r="BG615" t="n">
        <v>110</v>
      </c>
      <c r="BH615" t="inlineStr"/>
      <c r="BI615" t="inlineStr"/>
      <c r="BJ615" t="inlineStr"/>
      <c r="BK615" t="inlineStr"/>
      <c r="BL615" t="inlineStr"/>
      <c r="BM615" t="inlineStr">
        <is>
          <t>n</t>
        </is>
      </c>
      <c r="BN615" t="n">
        <v>0</v>
      </c>
      <c r="BO615" t="inlineStr"/>
      <c r="BP615" t="inlineStr">
        <is>
          <t>Wellpappe</t>
        </is>
      </c>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t>
        </is>
      </c>
      <c r="B616" t="b">
        <v>1</v>
      </c>
      <c r="C616" t="inlineStr"/>
      <c r="D616" t="inlineStr"/>
      <c r="E616" t="n">
        <v>607</v>
      </c>
      <c r="F616">
        <f>HYPERLINK("https://portal.dnb.de/opac.htm?method=simpleSearch&amp;cqlMode=true&amp;query=idn%3D1066969655", "Portal")</f>
        <v/>
      </c>
      <c r="G616" t="inlineStr">
        <is>
          <t>Aaf</t>
        </is>
      </c>
      <c r="H616" t="inlineStr">
        <is>
          <t>L-1480-315499982</t>
        </is>
      </c>
      <c r="I616" t="inlineStr">
        <is>
          <t>1066969655</t>
        </is>
      </c>
      <c r="J616" t="inlineStr">
        <is>
          <t>II 82,7g</t>
        </is>
      </c>
      <c r="K616" t="inlineStr">
        <is>
          <t>II 82,7g</t>
        </is>
      </c>
      <c r="L616" t="inlineStr">
        <is>
          <t>II 82,7g</t>
        </is>
      </c>
      <c r="M616" t="inlineStr"/>
      <c r="N616" t="inlineStr">
        <is>
          <t xml:space="preserve">De urbis Collosensis obsidione a. 1480 a Turcis tentata : </t>
        </is>
      </c>
      <c r="O616" t="inlineStr">
        <is>
          <t xml:space="preserve"> : </t>
        </is>
      </c>
      <c r="P616" t="inlineStr"/>
      <c r="Q616" t="inlineStr"/>
      <c r="R616" t="inlineStr"/>
      <c r="S616" t="inlineStr">
        <is>
          <t>bis 25 cm</t>
        </is>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is>
          <t>HL</t>
        </is>
      </c>
      <c r="AJ616" t="inlineStr"/>
      <c r="AK616" t="inlineStr">
        <is>
          <t>x</t>
        </is>
      </c>
      <c r="AL616" t="inlineStr"/>
      <c r="AM616" t="inlineStr">
        <is>
          <t>f/E</t>
        </is>
      </c>
      <c r="AN616" t="inlineStr"/>
      <c r="AO616" t="inlineStr"/>
      <c r="AP616" t="inlineStr"/>
      <c r="AQ616" t="inlineStr"/>
      <c r="AR616" t="inlineStr"/>
      <c r="AS616" t="inlineStr">
        <is>
          <t>Pa</t>
        </is>
      </c>
      <c r="AT616" t="inlineStr">
        <is>
          <t>x</t>
        </is>
      </c>
      <c r="AU616" t="inlineStr"/>
      <c r="AV616" t="inlineStr"/>
      <c r="AW616" t="inlineStr"/>
      <c r="AX616" t="inlineStr"/>
      <c r="AY616" t="inlineStr"/>
      <c r="AZ616" t="inlineStr"/>
      <c r="BA616" t="inlineStr"/>
      <c r="BB616" t="inlineStr"/>
      <c r="BC616" t="inlineStr"/>
      <c r="BD616" t="inlineStr"/>
      <c r="BE616" t="inlineStr"/>
      <c r="BF616" t="inlineStr"/>
      <c r="BG616" t="n">
        <v>110</v>
      </c>
      <c r="BH616" t="inlineStr"/>
      <c r="BI616" t="inlineStr"/>
      <c r="BJ616" t="inlineStr"/>
      <c r="BK616" t="inlineStr"/>
      <c r="BL616" t="inlineStr"/>
      <c r="BM616" t="inlineStr">
        <is>
          <t>n</t>
        </is>
      </c>
      <c r="BN616" t="n">
        <v>0</v>
      </c>
      <c r="BO616" t="inlineStr"/>
      <c r="BP616" t="inlineStr">
        <is>
          <t>Wellpappe</t>
        </is>
      </c>
      <c r="BQ616" t="inlineStr"/>
      <c r="BR616" t="inlineStr"/>
      <c r="BS616" t="inlineStr"/>
      <c r="BT616" t="inlineStr"/>
      <c r="BU616" t="inlineStr"/>
      <c r="BV616" t="inlineStr">
        <is>
          <t>Schaden ist stabil genug</t>
        </is>
      </c>
      <c r="BW616" t="inlineStr">
        <is>
          <t>x 110</t>
        </is>
      </c>
      <c r="BX616" t="inlineStr">
        <is>
          <t xml:space="preserve">
mit saurem Füllmaterial, Gelenk vorn gebrochen</t>
        </is>
      </c>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t>
        </is>
      </c>
      <c r="B617" t="b">
        <v>1</v>
      </c>
      <c r="C617" t="inlineStr">
        <is>
          <t>x</t>
        </is>
      </c>
      <c r="D617" t="inlineStr"/>
      <c r="E617" t="n">
        <v>610</v>
      </c>
      <c r="F617">
        <f>HYPERLINK("https://portal.dnb.de/opac.htm?method=simpleSearch&amp;cqlMode=true&amp;query=idn%3D1066967768", "Portal")</f>
        <v/>
      </c>
      <c r="G617" t="inlineStr">
        <is>
          <t>Aaf</t>
        </is>
      </c>
      <c r="H617" t="inlineStr">
        <is>
          <t>L-1476-315498021</t>
        </is>
      </c>
      <c r="I617" t="inlineStr">
        <is>
          <t>1066967768</t>
        </is>
      </c>
      <c r="J617" t="inlineStr">
        <is>
          <t>II 82,9a</t>
        </is>
      </c>
      <c r="K617" t="inlineStr">
        <is>
          <t>II 82,9a</t>
        </is>
      </c>
      <c r="L617" t="inlineStr">
        <is>
          <t>II 82,9a</t>
        </is>
      </c>
      <c r="M617" t="inlineStr"/>
      <c r="N617" t="inlineStr">
        <is>
          <t xml:space="preserve">Bibliothecae historicae libri VI : </t>
        </is>
      </c>
      <c r="O617" t="inlineStr">
        <is>
          <t xml:space="preserve"> : </t>
        </is>
      </c>
      <c r="P617" t="inlineStr"/>
      <c r="Q617" t="inlineStr">
        <is>
          <t>2000,00 EUR</t>
        </is>
      </c>
      <c r="R617" t="inlineStr"/>
      <c r="S617" t="inlineStr">
        <is>
          <t>bis 35 cm</t>
        </is>
      </c>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is>
          <t>HL</t>
        </is>
      </c>
      <c r="AJ617" t="inlineStr"/>
      <c r="AK617" t="inlineStr">
        <is>
          <t>x</t>
        </is>
      </c>
      <c r="AL617" t="inlineStr"/>
      <c r="AM617" t="inlineStr">
        <is>
          <t>h/E</t>
        </is>
      </c>
      <c r="AN617" t="inlineStr"/>
      <c r="AO617" t="inlineStr"/>
      <c r="AP617" t="inlineStr"/>
      <c r="AQ617" t="inlineStr"/>
      <c r="AR617" t="inlineStr"/>
      <c r="AS617" t="inlineStr">
        <is>
          <t>Pa</t>
        </is>
      </c>
      <c r="AT617" t="inlineStr"/>
      <c r="AU617" t="inlineStr"/>
      <c r="AV617" t="inlineStr"/>
      <c r="AW617" t="inlineStr"/>
      <c r="AX617" t="inlineStr"/>
      <c r="AY617" t="inlineStr"/>
      <c r="AZ617" t="inlineStr"/>
      <c r="BA617" t="inlineStr"/>
      <c r="BB617" t="inlineStr"/>
      <c r="BC617" t="inlineStr"/>
      <c r="BD617" t="inlineStr"/>
      <c r="BE617" t="inlineStr"/>
      <c r="BF617" t="inlineStr"/>
      <c r="BG617" t="n">
        <v>110</v>
      </c>
      <c r="BH617" t="inlineStr"/>
      <c r="BI617" t="inlineStr"/>
      <c r="BJ617" t="inlineStr"/>
      <c r="BK617" t="inlineStr"/>
      <c r="BL617" t="inlineStr"/>
      <c r="BM617" t="inlineStr">
        <is>
          <t>ja vor</t>
        </is>
      </c>
      <c r="BN617" t="n">
        <v>1</v>
      </c>
      <c r="BO617" t="inlineStr"/>
      <c r="BP617" t="inlineStr">
        <is>
          <t>Wellpappe</t>
        </is>
      </c>
      <c r="BQ617" t="inlineStr"/>
      <c r="BR617" t="inlineStr"/>
      <c r="BS617" t="inlineStr"/>
      <c r="BT617" t="inlineStr"/>
      <c r="BU617" t="inlineStr"/>
      <c r="BV617" t="inlineStr"/>
      <c r="BW617" t="inlineStr">
        <is>
          <t>x 110</t>
        </is>
      </c>
      <c r="BX617" t="inlineStr">
        <is>
          <t xml:space="preserve">
Gelenke kaputt</t>
        </is>
      </c>
      <c r="BY617" t="inlineStr"/>
      <c r="BZ617" t="inlineStr"/>
      <c r="CA617" t="inlineStr">
        <is>
          <t>x</t>
        </is>
      </c>
      <c r="CB617" t="inlineStr"/>
      <c r="CC617" t="inlineStr"/>
      <c r="CD617" t="inlineStr">
        <is>
          <t>v/h</t>
        </is>
      </c>
      <c r="CE617" t="inlineStr"/>
      <c r="CF617" t="inlineStr">
        <is>
          <t>x</t>
        </is>
      </c>
      <c r="CG617" t="inlineStr"/>
      <c r="CH617" t="inlineStr"/>
      <c r="CI617" t="inlineStr"/>
      <c r="CJ617" t="inlineStr"/>
      <c r="CK617" t="inlineStr"/>
      <c r="CL617" t="inlineStr"/>
      <c r="CM617" t="n">
        <v>1</v>
      </c>
      <c r="CN617" t="inlineStr">
        <is>
          <t>Rücken zusammensetzen, Hülse anbringen und Rest belassen</t>
        </is>
      </c>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t>
        </is>
      </c>
      <c r="B618" t="b">
        <v>1</v>
      </c>
      <c r="C618" t="inlineStr"/>
      <c r="D618" t="inlineStr"/>
      <c r="E618" t="n">
        <v>611</v>
      </c>
      <c r="F618">
        <f>HYPERLINK("https://portal.dnb.de/opac.htm?method=simpleSearch&amp;cqlMode=true&amp;query=idn%3D1066970475", "Portal")</f>
        <v/>
      </c>
      <c r="G618" t="inlineStr">
        <is>
          <t>Aaf</t>
        </is>
      </c>
      <c r="H618" t="inlineStr">
        <is>
          <t>L-1478-315500832</t>
        </is>
      </c>
      <c r="I618" t="inlineStr">
        <is>
          <t>1066970475</t>
        </is>
      </c>
      <c r="J618" t="inlineStr">
        <is>
          <t>II 82,9b</t>
        </is>
      </c>
      <c r="K618" t="inlineStr">
        <is>
          <t>II 82,9b</t>
        </is>
      </c>
      <c r="L618" t="inlineStr">
        <is>
          <t>II 82,9b</t>
        </is>
      </c>
      <c r="M618" t="inlineStr"/>
      <c r="N618" t="inlineStr">
        <is>
          <t xml:space="preserve">Opera : </t>
        </is>
      </c>
      <c r="O618" t="inlineStr">
        <is>
          <t xml:space="preserve"> : </t>
        </is>
      </c>
      <c r="P618" t="inlineStr"/>
      <c r="Q618" t="inlineStr"/>
      <c r="R618" t="inlineStr"/>
      <c r="S618" t="inlineStr">
        <is>
          <t>bis 35 cm</t>
        </is>
      </c>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is>
          <t>HL</t>
        </is>
      </c>
      <c r="AJ618" t="inlineStr"/>
      <c r="AK618" t="inlineStr">
        <is>
          <t>x</t>
        </is>
      </c>
      <c r="AL618" t="inlineStr"/>
      <c r="AM618" t="inlineStr">
        <is>
          <t>h/E</t>
        </is>
      </c>
      <c r="AN618" t="inlineStr"/>
      <c r="AO618" t="inlineStr"/>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c r="BD618" t="inlineStr"/>
      <c r="BE618" t="inlineStr"/>
      <c r="BF618" t="inlineStr"/>
      <c r="BG618" t="n">
        <v>110</v>
      </c>
      <c r="BH618" t="inlineStr"/>
      <c r="BI618" t="inlineStr"/>
      <c r="BJ618" t="inlineStr"/>
      <c r="BK618" t="inlineStr"/>
      <c r="BL618" t="inlineStr"/>
      <c r="BM618" t="inlineStr">
        <is>
          <t>n</t>
        </is>
      </c>
      <c r="BN618" t="n">
        <v>0</v>
      </c>
      <c r="BO618" t="inlineStr"/>
      <c r="BP618" t="inlineStr">
        <is>
          <t>Wellpappe</t>
        </is>
      </c>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t>
        </is>
      </c>
      <c r="B619" t="b">
        <v>1</v>
      </c>
      <c r="C619" t="inlineStr"/>
      <c r="D619" t="inlineStr"/>
      <c r="E619" t="n">
        <v>612</v>
      </c>
      <c r="F619">
        <f>HYPERLINK("https://portal.dnb.de/opac.htm?method=simpleSearch&amp;cqlMode=true&amp;query=idn%3D1066966478", "Portal")</f>
        <v/>
      </c>
      <c r="G619" t="inlineStr">
        <is>
          <t>Aa</t>
        </is>
      </c>
      <c r="H619" t="inlineStr">
        <is>
          <t>L-1478-315496762</t>
        </is>
      </c>
      <c r="I619" t="inlineStr">
        <is>
          <t>1066966478</t>
        </is>
      </c>
      <c r="J619" t="inlineStr">
        <is>
          <t>II 82,10 b</t>
        </is>
      </c>
      <c r="K619" t="inlineStr">
        <is>
          <t>II 82,10 b</t>
        </is>
      </c>
      <c r="L619" t="inlineStr">
        <is>
          <t>II 82,10 b</t>
        </is>
      </c>
      <c r="M619" t="inlineStr">
        <is>
          <t>ws. bei GF</t>
        </is>
      </c>
      <c r="N619" t="inlineStr">
        <is>
          <t xml:space="preserve">Biblia, lat. : </t>
        </is>
      </c>
      <c r="O619" t="inlineStr">
        <is>
          <t xml:space="preserve"> : </t>
        </is>
      </c>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t>
        </is>
      </c>
      <c r="B620" t="b">
        <v>1</v>
      </c>
      <c r="C620" t="inlineStr">
        <is>
          <t>x</t>
        </is>
      </c>
      <c r="D620" t="inlineStr"/>
      <c r="E620" t="n">
        <v>613</v>
      </c>
      <c r="F620">
        <f>HYPERLINK("https://portal.dnb.de/opac.htm?method=simpleSearch&amp;cqlMode=true&amp;query=idn%3D1066968675", "Portal")</f>
        <v/>
      </c>
      <c r="G620" t="inlineStr">
        <is>
          <t>Aa</t>
        </is>
      </c>
      <c r="H620" t="inlineStr">
        <is>
          <t>L-1480-315498919</t>
        </is>
      </c>
      <c r="I620" t="inlineStr">
        <is>
          <t>1066968675</t>
        </is>
      </c>
      <c r="J620" t="inlineStr">
        <is>
          <t>II 82,10a</t>
        </is>
      </c>
      <c r="K620" t="inlineStr">
        <is>
          <t>II 82,10a</t>
        </is>
      </c>
      <c r="L620" t="inlineStr">
        <is>
          <t>II 82,10a</t>
        </is>
      </c>
      <c r="M620" t="inlineStr"/>
      <c r="N620" t="inlineStr">
        <is>
          <t xml:space="preserve">Moralia sive Expositio in Job : </t>
        </is>
      </c>
      <c r="O620" t="inlineStr">
        <is>
          <t xml:space="preserve"> : </t>
        </is>
      </c>
      <c r="P620" t="inlineStr"/>
      <c r="Q620" t="inlineStr">
        <is>
          <t>4000,00 EUR</t>
        </is>
      </c>
      <c r="R620" t="inlineStr"/>
      <c r="S620" t="inlineStr">
        <is>
          <t>bis 35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is>
          <t>HD</t>
        </is>
      </c>
      <c r="AJ620" t="inlineStr"/>
      <c r="AK620" t="inlineStr">
        <is>
          <t>x</t>
        </is>
      </c>
      <c r="AL620" t="inlineStr"/>
      <c r="AM620" t="inlineStr">
        <is>
          <t>h/E</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is>
          <t>I/R</t>
        </is>
      </c>
      <c r="BD620" t="inlineStr">
        <is>
          <t>x</t>
        </is>
      </c>
      <c r="BE620" t="inlineStr"/>
      <c r="BF620" t="inlineStr"/>
      <c r="BG620" t="n">
        <v>45</v>
      </c>
      <c r="BH620" t="inlineStr"/>
      <c r="BI620" t="inlineStr"/>
      <c r="BJ620" t="inlineStr"/>
      <c r="BK620" t="inlineStr"/>
      <c r="BL620" t="inlineStr"/>
      <c r="BM620" t="inlineStr">
        <is>
          <t>ja vor</t>
        </is>
      </c>
      <c r="BN620" t="n">
        <v>2.5</v>
      </c>
      <c r="BO620" t="inlineStr"/>
      <c r="BP620" t="inlineStr"/>
      <c r="BQ620" t="inlineStr"/>
      <c r="BR620" t="inlineStr">
        <is>
          <t>x</t>
        </is>
      </c>
      <c r="BS620" t="inlineStr"/>
      <c r="BT620" t="inlineStr"/>
      <c r="BU620" t="inlineStr"/>
      <c r="BV620" t="inlineStr"/>
      <c r="BW620" t="inlineStr"/>
      <c r="BX620" t="inlineStr"/>
      <c r="BY620" t="inlineStr"/>
      <c r="BZ620" t="inlineStr">
        <is>
          <t xml:space="preserve">x </t>
        </is>
      </c>
      <c r="CA620" t="inlineStr">
        <is>
          <t>x</t>
        </is>
      </c>
      <c r="CB620" t="inlineStr">
        <is>
          <t>x</t>
        </is>
      </c>
      <c r="CC620" t="inlineStr"/>
      <c r="CD620" t="inlineStr"/>
      <c r="CE620" t="inlineStr"/>
      <c r="CF620" t="inlineStr"/>
      <c r="CG620" t="inlineStr"/>
      <c r="CH620" t="inlineStr"/>
      <c r="CI620" t="inlineStr"/>
      <c r="CJ620" t="inlineStr"/>
      <c r="CK620" t="inlineStr"/>
      <c r="CL620" t="inlineStr"/>
      <c r="CM620" t="n">
        <v>1.5</v>
      </c>
      <c r="CN620" t="inlineStr">
        <is>
          <t>Leder fixieren</t>
        </is>
      </c>
      <c r="CO620" t="inlineStr"/>
      <c r="CP620" t="inlineStr"/>
      <c r="CQ620" t="inlineStr"/>
      <c r="CR620" t="inlineStr"/>
      <c r="CS620" t="inlineStr"/>
      <c r="CT620" t="inlineStr"/>
      <c r="CU620" t="inlineStr"/>
      <c r="CV620" t="inlineStr">
        <is>
          <t>x</t>
        </is>
      </c>
      <c r="CW620" t="inlineStr"/>
      <c r="CX620" t="inlineStr">
        <is>
          <t>x</t>
        </is>
      </c>
      <c r="CY620" t="inlineStr"/>
      <c r="CZ620" t="inlineStr"/>
      <c r="DA620" t="inlineStr"/>
      <c r="DB620" t="inlineStr"/>
      <c r="DC620" t="inlineStr"/>
      <c r="DD620" t="inlineStr"/>
      <c r="DE620" t="inlineStr"/>
      <c r="DF620" t="n">
        <v>1</v>
      </c>
      <c r="DG620" t="inlineStr">
        <is>
          <t>Riss im Vorsatzfalz schließen, dabei Heftfaden in richtige Position bringen</t>
        </is>
      </c>
    </row>
    <row r="621">
      <c r="A621" t="inlineStr">
        <is>
          <t>II</t>
        </is>
      </c>
      <c r="B621" t="b">
        <v>1</v>
      </c>
      <c r="C621" t="inlineStr">
        <is>
          <t>x</t>
        </is>
      </c>
      <c r="D621" t="inlineStr"/>
      <c r="E621" t="inlineStr"/>
      <c r="F621">
        <f>HYPERLINK("https://portal.dnb.de/opac.htm?method=simpleSearch&amp;cqlMode=true&amp;query=idn%3D1268947210", "Portal")</f>
        <v/>
      </c>
      <c r="G621" t="inlineStr">
        <is>
          <t>Qd</t>
        </is>
      </c>
      <c r="H621" t="inlineStr">
        <is>
          <t>L-1482-834329506</t>
        </is>
      </c>
      <c r="I621" t="inlineStr">
        <is>
          <t>1268947210</t>
        </is>
      </c>
      <c r="J621" t="inlineStr">
        <is>
          <t>II 82,11a</t>
        </is>
      </c>
      <c r="K621" t="inlineStr">
        <is>
          <t>II 82,11a</t>
        </is>
      </c>
      <c r="L621" t="inlineStr">
        <is>
          <t>II 82,11a</t>
        </is>
      </c>
      <c r="M621" t="inlineStr"/>
      <c r="N621" t="inlineStr">
        <is>
          <t xml:space="preserve">Sammelband mit zwei Inkunabeln, gedruckt in Venedig : </t>
        </is>
      </c>
      <c r="O621" t="inlineStr">
        <is>
          <t xml:space="preserve"> : </t>
        </is>
      </c>
      <c r="P621" t="inlineStr"/>
      <c r="Q621" t="inlineStr">
        <is>
          <t>5000,00 EUR</t>
        </is>
      </c>
      <c r="R621" t="inlineStr"/>
      <c r="S621" t="inlineStr">
        <is>
          <t>bis 35 cm</t>
        </is>
      </c>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is>
          <t>HL</t>
        </is>
      </c>
      <c r="AJ621" t="inlineStr"/>
      <c r="AK621" t="inlineStr">
        <is>
          <t>x</t>
        </is>
      </c>
      <c r="AL621" t="inlineStr"/>
      <c r="AM621" t="inlineStr">
        <is>
          <t>f/V</t>
        </is>
      </c>
      <c r="AN621" t="inlineStr"/>
      <c r="AO621" t="inlineStr"/>
      <c r="AP621" t="inlineStr"/>
      <c r="AQ621" t="inlineStr"/>
      <c r="AR621" t="inlineStr"/>
      <c r="AS621" t="inlineStr">
        <is>
          <t>Pa</t>
        </is>
      </c>
      <c r="AT621" t="inlineStr"/>
      <c r="AU621" t="inlineStr"/>
      <c r="AV621" t="inlineStr"/>
      <c r="AW621" t="inlineStr"/>
      <c r="AX621" t="inlineStr"/>
      <c r="AY621" t="inlineStr"/>
      <c r="AZ621" t="inlineStr"/>
      <c r="BA621" t="inlineStr"/>
      <c r="BB621" t="inlineStr"/>
      <c r="BC621" t="inlineStr"/>
      <c r="BD621" t="inlineStr"/>
      <c r="BE621" t="inlineStr"/>
      <c r="BF621" t="inlineStr"/>
      <c r="BG621" t="n">
        <v>60</v>
      </c>
      <c r="BH621" t="inlineStr"/>
      <c r="BI621" t="inlineStr"/>
      <c r="BJ621" t="inlineStr"/>
      <c r="BK621" t="inlineStr"/>
      <c r="BL621" t="inlineStr"/>
      <c r="BM621" t="inlineStr">
        <is>
          <t>ja vor</t>
        </is>
      </c>
      <c r="BN621" t="n">
        <v>1</v>
      </c>
      <c r="BO621" t="inlineStr"/>
      <c r="BP621" t="inlineStr">
        <is>
          <t>Wellpappe</t>
        </is>
      </c>
      <c r="BQ621" t="inlineStr"/>
      <c r="BR621" t="inlineStr"/>
      <c r="BS621" t="inlineStr"/>
      <c r="BT621" t="inlineStr"/>
      <c r="BU621" t="inlineStr"/>
      <c r="BV621" t="inlineStr"/>
      <c r="BW621" t="inlineStr"/>
      <c r="BX621" t="inlineStr"/>
      <c r="BY621" t="inlineStr"/>
      <c r="BZ621" t="inlineStr"/>
      <c r="CA621" t="inlineStr">
        <is>
          <t>x</t>
        </is>
      </c>
      <c r="CB621" t="inlineStr">
        <is>
          <t>x</t>
        </is>
      </c>
      <c r="CC621" t="inlineStr"/>
      <c r="CD621" t="inlineStr"/>
      <c r="CE621" t="inlineStr"/>
      <c r="CF621" t="inlineStr"/>
      <c r="CG621" t="inlineStr"/>
      <c r="CH621" t="inlineStr"/>
      <c r="CI621" t="inlineStr"/>
      <c r="CJ621" t="inlineStr"/>
      <c r="CK621" t="inlineStr"/>
      <c r="CL621" t="inlineStr"/>
      <c r="CM621" t="n">
        <v>1</v>
      </c>
      <c r="CN621" t="inlineStr">
        <is>
          <t>Gelenk vorn festigen u. mit JP überfangen</t>
        </is>
      </c>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t>
        </is>
      </c>
      <c r="B622" t="b">
        <v>1</v>
      </c>
      <c r="C622" t="inlineStr"/>
      <c r="D622" t="inlineStr"/>
      <c r="E622" t="n">
        <v>616</v>
      </c>
      <c r="F622">
        <f>HYPERLINK("https://portal.dnb.de/opac.htm?method=simpleSearch&amp;cqlMode=true&amp;query=idn%3D1066968268", "Portal")</f>
        <v/>
      </c>
      <c r="G622" t="inlineStr">
        <is>
          <t>Aaf</t>
        </is>
      </c>
      <c r="H622" t="inlineStr">
        <is>
          <t>L-1480-315498528</t>
        </is>
      </c>
      <c r="I622" t="inlineStr">
        <is>
          <t>1066968268</t>
        </is>
      </c>
      <c r="J622" t="inlineStr">
        <is>
          <t>II 82,12a</t>
        </is>
      </c>
      <c r="K622" t="inlineStr">
        <is>
          <t>II 82,12a</t>
        </is>
      </c>
      <c r="L622" t="inlineStr">
        <is>
          <t>II 82,12a</t>
        </is>
      </c>
      <c r="M622" t="inlineStr"/>
      <c r="N622" t="inlineStr">
        <is>
          <t xml:space="preserve">Grammatica : </t>
        </is>
      </c>
      <c r="O622" t="inlineStr">
        <is>
          <t xml:space="preserve"> : </t>
        </is>
      </c>
      <c r="P622" t="inlineStr"/>
      <c r="Q622" t="inlineStr"/>
      <c r="R622" t="inlineStr"/>
      <c r="S622" t="inlineStr">
        <is>
          <t>bis 25 cm</t>
        </is>
      </c>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is>
          <t>HD</t>
        </is>
      </c>
      <c r="AJ622" t="inlineStr"/>
      <c r="AK622" t="inlineStr">
        <is>
          <t>x</t>
        </is>
      </c>
      <c r="AL622" t="inlineStr"/>
      <c r="AM622" t="inlineStr">
        <is>
          <t>f/V</t>
        </is>
      </c>
      <c r="AN622" t="inlineStr"/>
      <c r="AO622" t="inlineStr"/>
      <c r="AP622" t="inlineStr"/>
      <c r="AQ622" t="inlineStr"/>
      <c r="AR622" t="inlineStr"/>
      <c r="AS622" t="inlineStr">
        <is>
          <t>Pa</t>
        </is>
      </c>
      <c r="AT622" t="inlineStr"/>
      <c r="AU622" t="inlineStr"/>
      <c r="AV622" t="inlineStr"/>
      <c r="AW622" t="inlineStr"/>
      <c r="AX622" t="inlineStr"/>
      <c r="AY622" t="inlineStr"/>
      <c r="AZ622" t="inlineStr"/>
      <c r="BA622" t="inlineStr"/>
      <c r="BB622" t="inlineStr"/>
      <c r="BC622" t="inlineStr">
        <is>
          <t>B</t>
        </is>
      </c>
      <c r="BD622" t="inlineStr">
        <is>
          <t>x</t>
        </is>
      </c>
      <c r="BE622" t="inlineStr"/>
      <c r="BF622" t="inlineStr"/>
      <c r="BG622" t="n">
        <v>60</v>
      </c>
      <c r="BH622" t="inlineStr"/>
      <c r="BI622" t="inlineStr"/>
      <c r="BJ622" t="inlineStr"/>
      <c r="BK622" t="inlineStr"/>
      <c r="BL622" t="inlineStr"/>
      <c r="BM622" t="inlineStr">
        <is>
          <t>n</t>
        </is>
      </c>
      <c r="BN622" t="n">
        <v>0</v>
      </c>
      <c r="BO622" t="inlineStr"/>
      <c r="BP622" t="inlineStr">
        <is>
          <t>Wellpappe</t>
        </is>
      </c>
      <c r="BQ622" t="inlineStr"/>
      <c r="BR622" t="inlineStr"/>
      <c r="BS622" t="inlineStr"/>
      <c r="BT622" t="inlineStr"/>
      <c r="BU622" t="inlineStr"/>
      <c r="BV622" t="inlineStr">
        <is>
          <t>Schaden ist stabil genug</t>
        </is>
      </c>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t>
        </is>
      </c>
      <c r="B623" t="b">
        <v>1</v>
      </c>
      <c r="C623" t="inlineStr"/>
      <c r="D623" t="inlineStr"/>
      <c r="E623" t="n">
        <v>617</v>
      </c>
      <c r="F623">
        <f>HYPERLINK("https://portal.dnb.de/opac.htm?method=simpleSearch&amp;cqlMode=true&amp;query=idn%3D1072183919", "Portal")</f>
        <v/>
      </c>
      <c r="G623" t="inlineStr">
        <is>
          <t>Aa</t>
        </is>
      </c>
      <c r="H623" t="inlineStr">
        <is>
          <t>L-1496-327016809</t>
        </is>
      </c>
      <c r="I623" t="inlineStr">
        <is>
          <t>1072183919</t>
        </is>
      </c>
      <c r="J623" t="inlineStr">
        <is>
          <t>II 82,13a</t>
        </is>
      </c>
      <c r="K623" t="inlineStr">
        <is>
          <t>II 82,13a</t>
        </is>
      </c>
      <c r="L623" t="inlineStr">
        <is>
          <t>II 82,13a</t>
        </is>
      </c>
      <c r="M623" t="inlineStr">
        <is>
          <t>ws. bei GF</t>
        </is>
      </c>
      <c r="N623" t="inlineStr">
        <is>
          <t xml:space="preserve">Decisiones  rotae Romanae (I-III) : </t>
        </is>
      </c>
      <c r="O623" t="inlineStr">
        <is>
          <t xml:space="preserve"> : </t>
        </is>
      </c>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t>
        </is>
      </c>
      <c r="B624" t="b">
        <v>1</v>
      </c>
      <c r="C624" t="inlineStr">
        <is>
          <t>x</t>
        </is>
      </c>
      <c r="D624" t="inlineStr"/>
      <c r="E624" t="n">
        <v>618</v>
      </c>
      <c r="F624">
        <f>HYPERLINK("https://portal.dnb.de/opac.htm?method=simpleSearch&amp;cqlMode=true&amp;query=idn%3D1066970947", "Portal")</f>
        <v/>
      </c>
      <c r="G624" t="inlineStr">
        <is>
          <t>Aaf</t>
        </is>
      </c>
      <c r="H624" t="inlineStr">
        <is>
          <t>L-1482-315501308</t>
        </is>
      </c>
      <c r="I624" t="inlineStr">
        <is>
          <t>1066970947</t>
        </is>
      </c>
      <c r="J624" t="inlineStr">
        <is>
          <t>II 82,14 a</t>
        </is>
      </c>
      <c r="K624" t="inlineStr">
        <is>
          <t>II 82,14 a</t>
        </is>
      </c>
      <c r="L624" t="inlineStr">
        <is>
          <t>II 82,14 a</t>
        </is>
      </c>
      <c r="M624" t="inlineStr"/>
      <c r="N624" t="inlineStr">
        <is>
          <t xml:space="preserve">Missale dominicanum seu ordinis praedicatorum : </t>
        </is>
      </c>
      <c r="O624" t="inlineStr">
        <is>
          <t xml:space="preserve"> : </t>
        </is>
      </c>
      <c r="P624" t="inlineStr"/>
      <c r="Q624" t="inlineStr">
        <is>
          <t>8000,00 EUR</t>
        </is>
      </c>
      <c r="R624" t="inlineStr"/>
      <c r="S624" t="inlineStr">
        <is>
          <t>bis 25 cm</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is>
          <t>HD</t>
        </is>
      </c>
      <c r="AJ624" t="inlineStr"/>
      <c r="AK624" t="inlineStr">
        <is>
          <t>x</t>
        </is>
      </c>
      <c r="AL624" t="inlineStr"/>
      <c r="AM624" t="inlineStr">
        <is>
          <t>f/V</t>
        </is>
      </c>
      <c r="AN624" t="inlineStr"/>
      <c r="AO624" t="inlineStr">
        <is>
          <t>x</t>
        </is>
      </c>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is>
          <t>I/R</t>
        </is>
      </c>
      <c r="BD624" t="inlineStr">
        <is>
          <t>x</t>
        </is>
      </c>
      <c r="BE624" t="inlineStr"/>
      <c r="BF624" t="inlineStr"/>
      <c r="BG624" t="n">
        <v>60</v>
      </c>
      <c r="BH624" t="inlineStr"/>
      <c r="BI624" t="inlineStr"/>
      <c r="BJ624" t="inlineStr"/>
      <c r="BK624" t="inlineStr"/>
      <c r="BL624" t="inlineStr"/>
      <c r="BM624" t="inlineStr">
        <is>
          <t>ja vor</t>
        </is>
      </c>
      <c r="BN624" t="n">
        <v>2</v>
      </c>
      <c r="BO624" t="inlineStr"/>
      <c r="BP624" t="inlineStr">
        <is>
          <t>Wellpappe</t>
        </is>
      </c>
      <c r="BQ624" t="inlineStr"/>
      <c r="BR624" t="inlineStr"/>
      <c r="BS624" t="inlineStr"/>
      <c r="BT624" t="inlineStr"/>
      <c r="BU624" t="inlineStr"/>
      <c r="BV624" t="inlineStr"/>
      <c r="BW624" t="inlineStr"/>
      <c r="BX624" t="inlineStr"/>
      <c r="BY624" t="inlineStr">
        <is>
          <t>Umschlag (Leder pudert)</t>
        </is>
      </c>
      <c r="BZ624" t="inlineStr"/>
      <c r="CA624" t="inlineStr">
        <is>
          <t>x</t>
        </is>
      </c>
      <c r="CB624" t="inlineStr">
        <is>
          <t>x</t>
        </is>
      </c>
      <c r="CC624" t="inlineStr"/>
      <c r="CD624" t="inlineStr"/>
      <c r="CE624" t="inlineStr"/>
      <c r="CF624" t="inlineStr"/>
      <c r="CG624" t="inlineStr"/>
      <c r="CH624" t="inlineStr"/>
      <c r="CI624" t="inlineStr"/>
      <c r="CJ624" t="inlineStr"/>
      <c r="CK624" t="inlineStr"/>
      <c r="CL624" t="inlineStr"/>
      <c r="CM624" t="n">
        <v>2</v>
      </c>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c r="DC624" t="inlineStr"/>
      <c r="DD624" t="inlineStr"/>
      <c r="DE624" t="inlineStr"/>
      <c r="DF624" t="inlineStr"/>
      <c r="DG624" t="inlineStr"/>
    </row>
    <row r="625">
      <c r="A625" t="inlineStr">
        <is>
          <t>II</t>
        </is>
      </c>
      <c r="B625" t="b">
        <v>1</v>
      </c>
      <c r="C625" t="inlineStr"/>
      <c r="D625" t="inlineStr"/>
      <c r="E625" t="n">
        <v>619</v>
      </c>
      <c r="F625">
        <f>HYPERLINK("https://portal.dnb.de/opac.htm?method=simpleSearch&amp;cqlMode=true&amp;query=idn%3D1066972702", "Portal")</f>
        <v/>
      </c>
      <c r="G625" t="inlineStr">
        <is>
          <t>Aaf</t>
        </is>
      </c>
      <c r="H625" t="inlineStr">
        <is>
          <t>L-1486-315503114</t>
        </is>
      </c>
      <c r="I625" t="inlineStr">
        <is>
          <t>1066972702</t>
        </is>
      </c>
      <c r="J625" t="inlineStr">
        <is>
          <t>II 82,15a</t>
        </is>
      </c>
      <c r="K625" t="inlineStr">
        <is>
          <t>II 82,15a</t>
        </is>
      </c>
      <c r="L625" t="inlineStr">
        <is>
          <t>II 82,15a</t>
        </is>
      </c>
      <c r="M625" t="inlineStr">
        <is>
          <t>ws. bei GF</t>
        </is>
      </c>
      <c r="N625" t="inlineStr">
        <is>
          <t xml:space="preserve">Super primo libro Sententiarum : </t>
        </is>
      </c>
      <c r="O625" t="inlineStr">
        <is>
          <t xml:space="preserve"> : </t>
        </is>
      </c>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n">
        <v>0</v>
      </c>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t>
        </is>
      </c>
      <c r="B626" t="b">
        <v>1</v>
      </c>
      <c r="C626" t="inlineStr"/>
      <c r="D626" t="inlineStr"/>
      <c r="E626" t="inlineStr"/>
      <c r="F626">
        <f>HYPERLINK("https://portal.dnb.de/opac.htm?method=simpleSearch&amp;cqlMode=true&amp;query=idn%3D1268949337", "Portal")</f>
        <v/>
      </c>
      <c r="G626" t="inlineStr">
        <is>
          <t>Qd</t>
        </is>
      </c>
      <c r="H626" t="inlineStr">
        <is>
          <t>L-1489-83433187X</t>
        </is>
      </c>
      <c r="I626" t="inlineStr">
        <is>
          <t>1268949337</t>
        </is>
      </c>
      <c r="J626" t="inlineStr">
        <is>
          <t>II 82,15b</t>
        </is>
      </c>
      <c r="K626" t="inlineStr">
        <is>
          <t>II 82,15b</t>
        </is>
      </c>
      <c r="L626" t="inlineStr">
        <is>
          <t>II 82,15b</t>
        </is>
      </c>
      <c r="M626" t="inlineStr"/>
      <c r="N626" t="inlineStr">
        <is>
          <t>Sammelband mit zwei Inkunabeln : zwei Bände der Summa theologiae aus verschiedenen Venediger Offizinen</t>
        </is>
      </c>
      <c r="O626" t="inlineStr">
        <is>
          <t xml:space="preserve"> : </t>
        </is>
      </c>
      <c r="P626" t="inlineStr"/>
      <c r="Q626" t="inlineStr"/>
      <c r="R626" t="inlineStr"/>
      <c r="S626" t="inlineStr">
        <is>
          <t>bis 35 cm</t>
        </is>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is>
          <t>HD</t>
        </is>
      </c>
      <c r="AJ626" t="inlineStr"/>
      <c r="AK626" t="inlineStr">
        <is>
          <t>x</t>
        </is>
      </c>
      <c r="AL626" t="inlineStr"/>
      <c r="AM626" t="inlineStr">
        <is>
          <t>f/V</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is>
          <t>I/R</t>
        </is>
      </c>
      <c r="BD626" t="inlineStr">
        <is>
          <t>x</t>
        </is>
      </c>
      <c r="BE626" t="inlineStr"/>
      <c r="BF626" t="inlineStr"/>
      <c r="BG626" t="n">
        <v>60</v>
      </c>
      <c r="BH626" t="inlineStr"/>
      <c r="BI626" t="inlineStr"/>
      <c r="BJ626" t="inlineStr"/>
      <c r="BK626" t="inlineStr"/>
      <c r="BL626" t="inlineStr"/>
      <c r="BM626" t="inlineStr">
        <is>
          <t>n</t>
        </is>
      </c>
      <c r="BN626" t="n">
        <v>0</v>
      </c>
      <c r="BO626" t="inlineStr"/>
      <c r="BP626" t="inlineStr">
        <is>
          <t>Wellpappe</t>
        </is>
      </c>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t>
        </is>
      </c>
      <c r="B627" t="b">
        <v>1</v>
      </c>
      <c r="C627" t="inlineStr"/>
      <c r="D627" t="inlineStr"/>
      <c r="E627" t="n">
        <v>622</v>
      </c>
      <c r="F627">
        <f>HYPERLINK("https://portal.dnb.de/opac.htm?method=simpleSearch&amp;cqlMode=true&amp;query=idn%3D1032687681", "Portal")</f>
        <v/>
      </c>
      <c r="G627" t="inlineStr">
        <is>
          <t>Aa</t>
        </is>
      </c>
      <c r="H627" t="inlineStr">
        <is>
          <t>L-2013-303556</t>
        </is>
      </c>
      <c r="I627" t="inlineStr">
        <is>
          <t>1032687681</t>
        </is>
      </c>
      <c r="J627" t="inlineStr">
        <is>
          <t>II 82,15c</t>
        </is>
      </c>
      <c r="K627" t="inlineStr">
        <is>
          <t>II 82,15c</t>
        </is>
      </c>
      <c r="L627" t="inlineStr">
        <is>
          <t>II 82,15c</t>
        </is>
      </c>
      <c r="M627" t="inlineStr"/>
      <c r="N627" t="inlineStr">
        <is>
          <t xml:space="preserve">Flaviano Myrmeico v. c. suo salutem : </t>
        </is>
      </c>
      <c r="O627" t="inlineStr">
        <is>
          <t xml:space="preserve"> : </t>
        </is>
      </c>
      <c r="P627" t="inlineStr"/>
      <c r="Q627" t="inlineStr"/>
      <c r="R627" t="inlineStr"/>
      <c r="S627" t="inlineStr">
        <is>
          <t>bis 25 cm</t>
        </is>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is>
          <t>G</t>
        </is>
      </c>
      <c r="AJ627" t="inlineStr"/>
      <c r="AK627" t="inlineStr"/>
      <c r="AL627" t="inlineStr"/>
      <c r="AM627" t="inlineStr">
        <is>
          <t>h/E</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c r="BD627" t="inlineStr"/>
      <c r="BE627" t="inlineStr"/>
      <c r="BF627" t="inlineStr"/>
      <c r="BG627" t="n">
        <v>180</v>
      </c>
      <c r="BH627" t="inlineStr"/>
      <c r="BI627" t="inlineStr"/>
      <c r="BJ627" t="inlineStr"/>
      <c r="BK627" t="inlineStr"/>
      <c r="BL627" t="inlineStr"/>
      <c r="BM627" t="inlineStr">
        <is>
          <t>n</t>
        </is>
      </c>
      <c r="BN627" t="n">
        <v>0</v>
      </c>
      <c r="BO627" t="inlineStr"/>
      <c r="BP627" t="inlineStr"/>
      <c r="BQ627" t="inlineStr"/>
      <c r="BR627" t="inlineStr"/>
      <c r="BS627" t="inlineStr">
        <is>
          <t>x</t>
        </is>
      </c>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t>
        </is>
      </c>
      <c r="B628" t="b">
        <v>1</v>
      </c>
      <c r="C628" t="inlineStr"/>
      <c r="D628" t="inlineStr"/>
      <c r="E628" t="n">
        <v>623</v>
      </c>
      <c r="F628">
        <f>HYPERLINK("https://portal.dnb.de/opac.htm?method=simpleSearch&amp;cqlMode=true&amp;query=idn%3D1066968594", "Portal")</f>
        <v/>
      </c>
      <c r="G628" t="inlineStr">
        <is>
          <t>Aaf</t>
        </is>
      </c>
      <c r="H628" t="inlineStr">
        <is>
          <t>L-1496-327017139</t>
        </is>
      </c>
      <c r="I628" t="inlineStr">
        <is>
          <t>1066968594</t>
        </is>
      </c>
      <c r="J628" t="inlineStr">
        <is>
          <t>II 82,16 a</t>
        </is>
      </c>
      <c r="K628" t="inlineStr">
        <is>
          <t>II 82,16 a</t>
        </is>
      </c>
      <c r="L628" t="inlineStr">
        <is>
          <t>II 82,16 a</t>
        </is>
      </c>
      <c r="M628" t="inlineStr">
        <is>
          <t>ws. bei GF</t>
        </is>
      </c>
      <c r="N628" t="inlineStr">
        <is>
          <t xml:space="preserve">Decretum : </t>
        </is>
      </c>
      <c r="O628" t="inlineStr">
        <is>
          <t xml:space="preserve"> : </t>
        </is>
      </c>
      <c r="P628" t="inlineStr"/>
      <c r="Q628" t="inlineStr"/>
      <c r="R628" t="inlineStr"/>
      <c r="S628" t="inlineStr"/>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n">
        <v>0</v>
      </c>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t>
        </is>
      </c>
      <c r="B629" t="b">
        <v>1</v>
      </c>
      <c r="C629" t="inlineStr"/>
      <c r="D629" t="inlineStr"/>
      <c r="E629" t="n">
        <v>624</v>
      </c>
      <c r="F629">
        <f>HYPERLINK("https://portal.dnb.de/opac.htm?method=simpleSearch&amp;cqlMode=true&amp;query=idn%3D1066968136", "Portal")</f>
        <v/>
      </c>
      <c r="G629" t="inlineStr">
        <is>
          <t>Aaf</t>
        </is>
      </c>
      <c r="H629" t="inlineStr">
        <is>
          <t>L-1497-315498404</t>
        </is>
      </c>
      <c r="I629" t="inlineStr">
        <is>
          <t>1066968136</t>
        </is>
      </c>
      <c r="J629" t="inlineStr">
        <is>
          <t>II 82,16 b</t>
        </is>
      </c>
      <c r="K629" t="inlineStr">
        <is>
          <t>II 82,16 b</t>
        </is>
      </c>
      <c r="L629" t="inlineStr">
        <is>
          <t>II 82,16 b</t>
        </is>
      </c>
      <c r="M629" t="inlineStr">
        <is>
          <t>ws. bei GF</t>
        </is>
      </c>
      <c r="N629" t="inlineStr">
        <is>
          <t xml:space="preserve">Commentarius in Institutiones : </t>
        </is>
      </c>
      <c r="O629" t="inlineStr">
        <is>
          <t xml:space="preserve"> : </t>
        </is>
      </c>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n">
        <v>0</v>
      </c>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t>
        </is>
      </c>
      <c r="B630" t="b">
        <v>1</v>
      </c>
      <c r="C630" t="inlineStr">
        <is>
          <t>x</t>
        </is>
      </c>
      <c r="D630" t="inlineStr"/>
      <c r="E630" t="n">
        <v>625</v>
      </c>
      <c r="F630">
        <f>HYPERLINK("https://portal.dnb.de/opac.htm?method=simpleSearch&amp;cqlMode=true&amp;query=idn%3D1066968594", "Portal")</f>
        <v/>
      </c>
      <c r="G630" t="inlineStr">
        <is>
          <t>Aaf</t>
        </is>
      </c>
      <c r="H630" t="inlineStr">
        <is>
          <t>L-1496-315498846</t>
        </is>
      </c>
      <c r="I630" t="inlineStr">
        <is>
          <t>1066968594</t>
        </is>
      </c>
      <c r="J630" t="inlineStr">
        <is>
          <t>II 82,16ab - Fragm.</t>
        </is>
      </c>
      <c r="K630" t="inlineStr">
        <is>
          <t>II 82,16ab - Fragm.</t>
        </is>
      </c>
      <c r="L630" t="inlineStr">
        <is>
          <t>II 82,16ab - Fragm.</t>
        </is>
      </c>
      <c r="M630" t="inlineStr"/>
      <c r="N630" t="inlineStr">
        <is>
          <t xml:space="preserve">Decretum : </t>
        </is>
      </c>
      <c r="O630" t="inlineStr">
        <is>
          <t xml:space="preserve"> : </t>
        </is>
      </c>
      <c r="P630" t="inlineStr"/>
      <c r="Q630" t="inlineStr">
        <is>
          <t>1500,00 EUR</t>
        </is>
      </c>
      <c r="R630" t="inlineStr"/>
      <c r="S630" t="inlineStr">
        <is>
          <t>bis 42 cm</t>
        </is>
      </c>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is>
          <t>oE</t>
        </is>
      </c>
      <c r="AJ630" t="inlineStr"/>
      <c r="AK630" t="inlineStr"/>
      <c r="AL630" t="inlineStr"/>
      <c r="AM630" t="inlineStr"/>
      <c r="AN630" t="inlineStr"/>
      <c r="AO630" t="inlineStr"/>
      <c r="AP630" t="inlineStr"/>
      <c r="AQ630" t="inlineStr"/>
      <c r="AR630" t="inlineStr"/>
      <c r="AS630" t="inlineStr">
        <is>
          <t>Pa</t>
        </is>
      </c>
      <c r="AT630" t="inlineStr"/>
      <c r="AU630" t="inlineStr"/>
      <c r="AV630" t="inlineStr"/>
      <c r="AW630" t="inlineStr"/>
      <c r="AX630" t="inlineStr"/>
      <c r="AY630" t="inlineStr"/>
      <c r="AZ630" t="inlineStr"/>
      <c r="BA630" t="inlineStr"/>
      <c r="BB630" t="inlineStr"/>
      <c r="BC630" t="inlineStr">
        <is>
          <t>I</t>
        </is>
      </c>
      <c r="BD630" t="inlineStr">
        <is>
          <t>x</t>
        </is>
      </c>
      <c r="BE630" t="inlineStr"/>
      <c r="BF630" t="inlineStr"/>
      <c r="BG630" t="inlineStr">
        <is>
          <t>nur 110</t>
        </is>
      </c>
      <c r="BH630" t="inlineStr">
        <is>
          <t xml:space="preserve">
zumindest im ungebundenen Zustand</t>
        </is>
      </c>
      <c r="BI630" t="inlineStr"/>
      <c r="BJ630" t="inlineStr"/>
      <c r="BK630" t="inlineStr"/>
      <c r="BL630" t="inlineStr">
        <is>
          <t>x</t>
        </is>
      </c>
      <c r="BM630" t="inlineStr">
        <is>
          <t>ja vor und nach</t>
        </is>
      </c>
      <c r="BN630" t="n">
        <v>2</v>
      </c>
      <c r="BO630" t="inlineStr"/>
      <c r="BP630" t="inlineStr">
        <is>
          <t>Gewebe</t>
        </is>
      </c>
      <c r="BQ630" t="inlineStr"/>
      <c r="BR630" t="inlineStr"/>
      <c r="BS630" t="inlineStr"/>
      <c r="BT630" t="inlineStr"/>
      <c r="BU630" t="inlineStr"/>
      <c r="BV630" t="inlineStr">
        <is>
          <t>mit Stephanie besprechen, ohne Einband, teils lose Lagen, zum Digit. Belassen und nur lose Blätter am Rand rest., nach der Digit. Restaurieren??</t>
        </is>
      </c>
      <c r="BW630" t="inlineStr"/>
      <c r="BX630" t="inlineStr"/>
      <c r="BY630" t="inlineStr"/>
      <c r="BZ630" t="inlineStr">
        <is>
          <t>x</t>
        </is>
      </c>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is>
          <t>x</t>
        </is>
      </c>
      <c r="CT630" t="inlineStr">
        <is>
          <t>x</t>
        </is>
      </c>
      <c r="CU630" t="inlineStr"/>
      <c r="CV630" t="inlineStr"/>
      <c r="CW630" t="inlineStr"/>
      <c r="CX630" t="inlineStr">
        <is>
          <t>x</t>
        </is>
      </c>
      <c r="CY630" t="inlineStr"/>
      <c r="CZ630" t="inlineStr"/>
      <c r="DA630" t="inlineStr"/>
      <c r="DB630" t="inlineStr"/>
      <c r="DC630" t="inlineStr"/>
      <c r="DD630" t="inlineStr"/>
      <c r="DE630" t="inlineStr"/>
      <c r="DF630" t="n">
        <v>2</v>
      </c>
      <c r="DG630" t="inlineStr">
        <is>
          <t>vor der Digit. Nur das Nötigste: an losen Seiten die Blattränder bearbeiten, sonst belassen</t>
        </is>
      </c>
    </row>
    <row r="631">
      <c r="A631" t="inlineStr">
        <is>
          <t>II</t>
        </is>
      </c>
      <c r="B631" t="b">
        <v>1</v>
      </c>
      <c r="C631" t="inlineStr">
        <is>
          <t>x</t>
        </is>
      </c>
      <c r="D631" t="inlineStr"/>
      <c r="E631" t="n">
        <v>626</v>
      </c>
      <c r="F631">
        <f>HYPERLINK("https://portal.dnb.de/opac.htm?method=simpleSearch&amp;cqlMode=true&amp;query=idn%3D106696825X", "Portal")</f>
        <v/>
      </c>
      <c r="G631" t="inlineStr">
        <is>
          <t>Aaf</t>
        </is>
      </c>
      <c r="H631" t="inlineStr">
        <is>
          <t>L-1481-31549851X</t>
        </is>
      </c>
      <c r="I631" t="inlineStr">
        <is>
          <t>106696825X</t>
        </is>
      </c>
      <c r="J631" t="inlineStr">
        <is>
          <t>II 82,17 a</t>
        </is>
      </c>
      <c r="K631" t="inlineStr">
        <is>
          <t>II 82,17 a</t>
        </is>
      </c>
      <c r="L631" t="inlineStr">
        <is>
          <t>II 82,17 a</t>
        </is>
      </c>
      <c r="M631" t="inlineStr"/>
      <c r="N631" t="inlineStr">
        <is>
          <t xml:space="preserve">Lectura super Clementinis : </t>
        </is>
      </c>
      <c r="O631" t="inlineStr">
        <is>
          <t xml:space="preserve"> : </t>
        </is>
      </c>
      <c r="P631" t="inlineStr"/>
      <c r="Q631" t="inlineStr">
        <is>
          <t>4000,00 EUR</t>
        </is>
      </c>
      <c r="R631" t="inlineStr"/>
      <c r="S631" t="inlineStr">
        <is>
          <t>bis 42 cm</t>
        </is>
      </c>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is>
          <t>HPg</t>
        </is>
      </c>
      <c r="AJ631" t="inlineStr"/>
      <c r="AK631" t="inlineStr">
        <is>
          <t>x</t>
        </is>
      </c>
      <c r="AL631" t="inlineStr"/>
      <c r="AM631" t="inlineStr">
        <is>
          <t>h</t>
        </is>
      </c>
      <c r="AN631" t="inlineStr"/>
      <c r="AO631" t="inlineStr"/>
      <c r="AP631" t="inlineStr"/>
      <c r="AQ631" t="inlineStr"/>
      <c r="AR631" t="inlineStr"/>
      <c r="AS631" t="inlineStr">
        <is>
          <t>Pa</t>
        </is>
      </c>
      <c r="AT631" t="inlineStr"/>
      <c r="AU631" t="inlineStr"/>
      <c r="AV631" t="inlineStr"/>
      <c r="AW631" t="inlineStr"/>
      <c r="AX631" t="inlineStr"/>
      <c r="AY631" t="inlineStr"/>
      <c r="AZ631" t="inlineStr"/>
      <c r="BA631" t="inlineStr"/>
      <c r="BB631" t="inlineStr"/>
      <c r="BC631" t="inlineStr">
        <is>
          <t>I/R</t>
        </is>
      </c>
      <c r="BD631" t="inlineStr">
        <is>
          <t>x</t>
        </is>
      </c>
      <c r="BE631" t="inlineStr"/>
      <c r="BF631" t="inlineStr"/>
      <c r="BG631" t="n">
        <v>80</v>
      </c>
      <c r="BH631" t="inlineStr"/>
      <c r="BI631" t="inlineStr"/>
      <c r="BJ631" t="inlineStr"/>
      <c r="BK631" t="inlineStr"/>
      <c r="BL631" t="inlineStr"/>
      <c r="BM631" t="inlineStr">
        <is>
          <t>ja vor</t>
        </is>
      </c>
      <c r="BN631" t="n">
        <v>1</v>
      </c>
      <c r="BO631" t="inlineStr"/>
      <c r="BP631" t="inlineStr"/>
      <c r="BQ631" t="inlineStr"/>
      <c r="BR631" t="inlineStr">
        <is>
          <t>x</t>
        </is>
      </c>
      <c r="BS631" t="inlineStr"/>
      <c r="BT631" t="inlineStr"/>
      <c r="BU631" t="inlineStr"/>
      <c r="BV631" t="inlineStr"/>
      <c r="BW631" t="inlineStr"/>
      <c r="BX631" t="inlineStr"/>
      <c r="BY631" t="inlineStr"/>
      <c r="BZ631" t="inlineStr">
        <is>
          <t>x</t>
        </is>
      </c>
      <c r="CA631" t="inlineStr"/>
      <c r="CB631" t="inlineStr">
        <is>
          <t>x</t>
        </is>
      </c>
      <c r="CC631" t="inlineStr"/>
      <c r="CD631" t="inlineStr"/>
      <c r="CE631" t="inlineStr"/>
      <c r="CF631" t="inlineStr"/>
      <c r="CG631" t="inlineStr"/>
      <c r="CH631" t="inlineStr"/>
      <c r="CI631" t="inlineStr"/>
      <c r="CJ631" t="inlineStr"/>
      <c r="CK631" t="inlineStr"/>
      <c r="CL631" t="inlineStr"/>
      <c r="CM631" t="n">
        <v>1</v>
      </c>
      <c r="CN631" t="inlineStr">
        <is>
          <t>Titelschild sichern, Gewebe wirklich zurückkleben? (wegen Buntpapier)</t>
        </is>
      </c>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t>
        </is>
      </c>
      <c r="B632" t="b">
        <v>1</v>
      </c>
      <c r="C632" t="inlineStr">
        <is>
          <t>x</t>
        </is>
      </c>
      <c r="D632" t="inlineStr"/>
      <c r="E632" t="n">
        <v>627</v>
      </c>
      <c r="F632">
        <f>HYPERLINK("https://portal.dnb.de/opac.htm?method=simpleSearch&amp;cqlMode=true&amp;query=idn%3D1066968853", "Portal")</f>
        <v/>
      </c>
      <c r="G632" t="inlineStr">
        <is>
          <t>Aal</t>
        </is>
      </c>
      <c r="H632" t="inlineStr">
        <is>
          <t>L-1481-315499125</t>
        </is>
      </c>
      <c r="I632" t="inlineStr">
        <is>
          <t>1066968853</t>
        </is>
      </c>
      <c r="J632" t="inlineStr">
        <is>
          <t>II 82,17 b</t>
        </is>
      </c>
      <c r="K632" t="inlineStr">
        <is>
          <t>II 82,17 b</t>
        </is>
      </c>
      <c r="L632" t="inlineStr">
        <is>
          <t>II 82,17 b</t>
        </is>
      </c>
      <c r="M632" t="inlineStr"/>
      <c r="N632" t="inlineStr">
        <is>
          <t xml:space="preserve">Rosarium decretorum : </t>
        </is>
      </c>
      <c r="O632" t="inlineStr">
        <is>
          <t xml:space="preserve"> : </t>
        </is>
      </c>
      <c r="P632" t="inlineStr"/>
      <c r="Q632" t="inlineStr">
        <is>
          <t>16490,00 EUR</t>
        </is>
      </c>
      <c r="R632" t="inlineStr"/>
      <c r="S632" t="inlineStr">
        <is>
          <t>&gt; 42 cm</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is>
          <t>HD</t>
        </is>
      </c>
      <c r="AJ632" t="inlineStr"/>
      <c r="AK632" t="inlineStr">
        <is>
          <t>x</t>
        </is>
      </c>
      <c r="AL632" t="inlineStr"/>
      <c r="AM632" t="inlineStr">
        <is>
          <t>f/V</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is>
          <t>I/R</t>
        </is>
      </c>
      <c r="BD632" t="inlineStr">
        <is>
          <t>x</t>
        </is>
      </c>
      <c r="BE632" t="inlineStr"/>
      <c r="BF632" t="inlineStr"/>
      <c r="BG632" t="n">
        <v>45</v>
      </c>
      <c r="BH632" t="inlineStr"/>
      <c r="BI632" t="inlineStr"/>
      <c r="BJ632" t="inlineStr"/>
      <c r="BK632" t="inlineStr"/>
      <c r="BL632" t="inlineStr"/>
      <c r="BM632" t="inlineStr">
        <is>
          <t>ja vor</t>
        </is>
      </c>
      <c r="BN632" t="n">
        <v>4</v>
      </c>
      <c r="BO632" t="inlineStr"/>
      <c r="BP632" t="inlineStr"/>
      <c r="BQ632" t="inlineStr"/>
      <c r="BR632" t="inlineStr">
        <is>
          <t>x</t>
        </is>
      </c>
      <c r="BS632" t="inlineStr"/>
      <c r="BT632" t="inlineStr"/>
      <c r="BU632" t="inlineStr"/>
      <c r="BV632" t="inlineStr"/>
      <c r="BW632" t="inlineStr"/>
      <c r="BX632" t="inlineStr"/>
      <c r="BY632" t="inlineStr"/>
      <c r="BZ632" t="inlineStr">
        <is>
          <t>x</t>
        </is>
      </c>
      <c r="CA632" t="inlineStr">
        <is>
          <t>x</t>
        </is>
      </c>
      <c r="CB632" t="inlineStr">
        <is>
          <t>x</t>
        </is>
      </c>
      <c r="CC632" t="inlineStr"/>
      <c r="CD632" t="inlineStr"/>
      <c r="CE632" t="inlineStr"/>
      <c r="CF632" t="inlineStr"/>
      <c r="CG632" t="inlineStr"/>
      <c r="CH632" t="inlineStr"/>
      <c r="CI632" t="inlineStr">
        <is>
          <t>x</t>
        </is>
      </c>
      <c r="CJ632" t="inlineStr"/>
      <c r="CK632" t="inlineStr"/>
      <c r="CL632" t="inlineStr">
        <is>
          <t>u</t>
        </is>
      </c>
      <c r="CM632" t="n">
        <v>4</v>
      </c>
      <c r="CN632" t="inlineStr">
        <is>
          <t>Kapitalfäden fixieren, Rücken unten mit JP ergänzen, loses Leder zurückkleben, Deckelecke hinten unten mit Paste ergänzen und loses Material zurückkleben</t>
        </is>
      </c>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t>
        </is>
      </c>
      <c r="B633" t="b">
        <v>1</v>
      </c>
      <c r="C633" t="inlineStr">
        <is>
          <t>x</t>
        </is>
      </c>
      <c r="D633" t="inlineStr"/>
      <c r="E633" t="n">
        <v>628</v>
      </c>
      <c r="F633">
        <f>HYPERLINK("https://portal.dnb.de/opac.htm?method=simpleSearch&amp;cqlMode=true&amp;query=idn%3D1066972737", "Portal")</f>
        <v/>
      </c>
      <c r="G633" t="inlineStr">
        <is>
          <t>Aaf</t>
        </is>
      </c>
      <c r="H633" t="inlineStr">
        <is>
          <t>L-1481-315503130</t>
        </is>
      </c>
      <c r="I633" t="inlineStr">
        <is>
          <t>1066972737</t>
        </is>
      </c>
      <c r="J633" t="inlineStr">
        <is>
          <t>II 82,17c</t>
        </is>
      </c>
      <c r="K633" t="inlineStr">
        <is>
          <t>II 82,17c</t>
        </is>
      </c>
      <c r="L633" t="inlineStr">
        <is>
          <t>II 82,17c</t>
        </is>
      </c>
      <c r="M633" t="inlineStr"/>
      <c r="N633" t="inlineStr">
        <is>
          <t xml:space="preserve">Super quarto libro Sententiarum : </t>
        </is>
      </c>
      <c r="O633" t="inlineStr">
        <is>
          <t xml:space="preserve"> : </t>
        </is>
      </c>
      <c r="P633" t="inlineStr"/>
      <c r="Q633" t="inlineStr">
        <is>
          <t>1800,00 EUR</t>
        </is>
      </c>
      <c r="R633" t="inlineStr"/>
      <c r="S633" t="inlineStr">
        <is>
          <t>bis 35 cm</t>
        </is>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is>
          <t>HD</t>
        </is>
      </c>
      <c r="AJ633" t="inlineStr"/>
      <c r="AK633" t="inlineStr">
        <is>
          <t>x</t>
        </is>
      </c>
      <c r="AL633" t="inlineStr"/>
      <c r="AM633" t="inlineStr">
        <is>
          <t>f/V</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is>
          <t>I/R</t>
        </is>
      </c>
      <c r="BD633" t="inlineStr">
        <is>
          <t>x</t>
        </is>
      </c>
      <c r="BE633" t="inlineStr"/>
      <c r="BF633" t="inlineStr"/>
      <c r="BG633" t="n">
        <v>45</v>
      </c>
      <c r="BH633" t="inlineStr"/>
      <c r="BI633" t="inlineStr"/>
      <c r="BJ633" t="inlineStr"/>
      <c r="BK633" t="inlineStr"/>
      <c r="BL633" t="inlineStr"/>
      <c r="BM633" t="inlineStr">
        <is>
          <t>ja vor</t>
        </is>
      </c>
      <c r="BN633" t="n">
        <v>0.5</v>
      </c>
      <c r="BO633" t="inlineStr"/>
      <c r="BP633" t="inlineStr">
        <is>
          <t>Wellpappe</t>
        </is>
      </c>
      <c r="BQ633" t="inlineStr"/>
      <c r="BR633" t="inlineStr"/>
      <c r="BS633" t="inlineStr"/>
      <c r="BT633" t="inlineStr"/>
      <c r="BU633" t="inlineStr"/>
      <c r="BV633" t="inlineStr"/>
      <c r="BW633" t="inlineStr"/>
      <c r="BX633" t="inlineStr"/>
      <c r="BY633" t="inlineStr"/>
      <c r="BZ633" t="inlineStr"/>
      <c r="CA633" t="inlineStr">
        <is>
          <t>x</t>
        </is>
      </c>
      <c r="CB633" t="inlineStr">
        <is>
          <t>x</t>
        </is>
      </c>
      <c r="CC633" t="inlineStr"/>
      <c r="CD633" t="inlineStr"/>
      <c r="CE633" t="inlineStr"/>
      <c r="CF633" t="inlineStr"/>
      <c r="CG633" t="inlineStr"/>
      <c r="CH633" t="inlineStr"/>
      <c r="CI633" t="inlineStr"/>
      <c r="CJ633" t="inlineStr"/>
      <c r="CK633" t="inlineStr"/>
      <c r="CL633" t="inlineStr"/>
      <c r="CM633" t="n">
        <v>0.5</v>
      </c>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t>
        </is>
      </c>
      <c r="B634" t="b">
        <v>1</v>
      </c>
      <c r="C634" t="inlineStr">
        <is>
          <t>x</t>
        </is>
      </c>
      <c r="D634" t="inlineStr"/>
      <c r="E634" t="n">
        <v>629</v>
      </c>
      <c r="F634">
        <f>HYPERLINK("https://portal.dnb.de/opac.htm?method=simpleSearch&amp;cqlMode=true&amp;query=idn%3D1066968780", "Portal")</f>
        <v/>
      </c>
      <c r="G634" t="inlineStr">
        <is>
          <t>Aa</t>
        </is>
      </c>
      <c r="H634" t="inlineStr">
        <is>
          <t>L-1481-315499052</t>
        </is>
      </c>
      <c r="I634" t="inlineStr">
        <is>
          <t>1066968780</t>
        </is>
      </c>
      <c r="J634" t="inlineStr">
        <is>
          <t>II 82,17d</t>
        </is>
      </c>
      <c r="K634" t="inlineStr">
        <is>
          <t>II 82,17d</t>
        </is>
      </c>
      <c r="L634" t="inlineStr">
        <is>
          <t>II 82,17d</t>
        </is>
      </c>
      <c r="M634" t="inlineStr"/>
      <c r="N634" t="inlineStr">
        <is>
          <t xml:space="preserve">Decretales : </t>
        </is>
      </c>
      <c r="O634" t="inlineStr">
        <is>
          <t xml:space="preserve"> : </t>
        </is>
      </c>
      <c r="P634" t="inlineStr"/>
      <c r="Q634" t="inlineStr">
        <is>
          <t>10000,00 EUR</t>
        </is>
      </c>
      <c r="R634" t="inlineStr"/>
      <c r="S634" t="inlineStr">
        <is>
          <t>&gt; 42 cm</t>
        </is>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is>
          <t>HD</t>
        </is>
      </c>
      <c r="AJ634" t="inlineStr"/>
      <c r="AK634" t="inlineStr">
        <is>
          <t>x</t>
        </is>
      </c>
      <c r="AL634" t="inlineStr"/>
      <c r="AM634" t="inlineStr">
        <is>
          <t>f/V</t>
        </is>
      </c>
      <c r="AN634" t="inlineStr"/>
      <c r="AO634" t="inlineStr"/>
      <c r="AP634" t="inlineStr"/>
      <c r="AQ634" t="inlineStr"/>
      <c r="AR634" t="inlineStr">
        <is>
          <t>x</t>
        </is>
      </c>
      <c r="AS634" t="inlineStr">
        <is>
          <t>Pa</t>
        </is>
      </c>
      <c r="AT634" t="inlineStr"/>
      <c r="AU634" t="inlineStr"/>
      <c r="AV634" t="inlineStr"/>
      <c r="AW634" t="inlineStr"/>
      <c r="AX634" t="inlineStr"/>
      <c r="AY634" t="inlineStr"/>
      <c r="AZ634" t="inlineStr"/>
      <c r="BA634" t="inlineStr"/>
      <c r="BB634" t="inlineStr"/>
      <c r="BC634" t="inlineStr">
        <is>
          <t>I/R</t>
        </is>
      </c>
      <c r="BD634" t="inlineStr">
        <is>
          <t>x</t>
        </is>
      </c>
      <c r="BE634" t="inlineStr"/>
      <c r="BF634" t="inlineStr"/>
      <c r="BG634" t="n">
        <v>45</v>
      </c>
      <c r="BH634" t="inlineStr"/>
      <c r="BI634" t="inlineStr"/>
      <c r="BJ634" t="inlineStr"/>
      <c r="BK634" t="inlineStr"/>
      <c r="BL634" t="inlineStr"/>
      <c r="BM634" t="inlineStr">
        <is>
          <t>ja vor</t>
        </is>
      </c>
      <c r="BN634" t="n">
        <v>2</v>
      </c>
      <c r="BO634" t="inlineStr"/>
      <c r="BP634" t="inlineStr"/>
      <c r="BQ634" t="inlineStr"/>
      <c r="BR634" t="inlineStr">
        <is>
          <t>x</t>
        </is>
      </c>
      <c r="BS634" t="inlineStr"/>
      <c r="BT634" t="inlineStr"/>
      <c r="BU634" t="inlineStr"/>
      <c r="BV634" t="inlineStr">
        <is>
          <t>Erfurter Einband</t>
        </is>
      </c>
      <c r="BW634" t="inlineStr"/>
      <c r="BX634" t="inlineStr"/>
      <c r="BY634" t="inlineStr"/>
      <c r="BZ634" t="inlineStr">
        <is>
          <t>x</t>
        </is>
      </c>
      <c r="CA634" t="inlineStr">
        <is>
          <t>x</t>
        </is>
      </c>
      <c r="CB634" t="inlineStr">
        <is>
          <t>x</t>
        </is>
      </c>
      <c r="CC634" t="inlineStr"/>
      <c r="CD634" t="inlineStr">
        <is>
          <t>v/h</t>
        </is>
      </c>
      <c r="CE634" t="inlineStr"/>
      <c r="CF634" t="inlineStr"/>
      <c r="CG634" t="inlineStr"/>
      <c r="CH634" t="inlineStr"/>
      <c r="CI634" t="inlineStr"/>
      <c r="CJ634" t="inlineStr"/>
      <c r="CK634" t="inlineStr"/>
      <c r="CL634" t="inlineStr"/>
      <c r="CM634" t="n">
        <v>2</v>
      </c>
      <c r="CN634" t="inlineStr">
        <is>
          <t>Gelenke mit JP stabilisieren, Leder zurückkleben</t>
        </is>
      </c>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t>
        </is>
      </c>
      <c r="B635" t="b">
        <v>1</v>
      </c>
      <c r="C635" t="inlineStr"/>
      <c r="D635" t="inlineStr"/>
      <c r="E635" t="n">
        <v>630</v>
      </c>
      <c r="F635">
        <f>HYPERLINK("https://portal.dnb.de/opac.htm?method=simpleSearch&amp;cqlMode=true&amp;query=idn%3D1066967881", "Portal")</f>
        <v/>
      </c>
      <c r="G635" t="inlineStr">
        <is>
          <t>Aaf</t>
        </is>
      </c>
      <c r="H635" t="inlineStr">
        <is>
          <t>L-1481-315498137</t>
        </is>
      </c>
      <c r="I635" t="inlineStr">
        <is>
          <t>1066967881</t>
        </is>
      </c>
      <c r="J635" t="inlineStr">
        <is>
          <t>II 82,17e</t>
        </is>
      </c>
      <c r="K635" t="inlineStr">
        <is>
          <t>II 82,17e</t>
        </is>
      </c>
      <c r="L635" t="inlineStr">
        <is>
          <t>II 82,17e</t>
        </is>
      </c>
      <c r="M635" t="inlineStr"/>
      <c r="N635" t="inlineStr">
        <is>
          <t xml:space="preserve">Quodlibeta : </t>
        </is>
      </c>
      <c r="O635" t="inlineStr">
        <is>
          <t xml:space="preserve"> : </t>
        </is>
      </c>
      <c r="P635" t="inlineStr"/>
      <c r="Q635" t="inlineStr"/>
      <c r="R635" t="inlineStr"/>
      <c r="S635" t="inlineStr">
        <is>
          <t>bis 25 cm</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is>
          <t>HL</t>
        </is>
      </c>
      <c r="AJ635" t="inlineStr"/>
      <c r="AK635" t="inlineStr">
        <is>
          <t>x</t>
        </is>
      </c>
      <c r="AL635" t="inlineStr"/>
      <c r="AM635" t="inlineStr">
        <is>
          <t>h/E</t>
        </is>
      </c>
      <c r="AN635" t="inlineStr"/>
      <c r="AO635" t="inlineStr"/>
      <c r="AP635" t="inlineStr"/>
      <c r="AQ635" t="inlineStr"/>
      <c r="AR635" t="inlineStr"/>
      <c r="AS635" t="inlineStr">
        <is>
          <t>Pa</t>
        </is>
      </c>
      <c r="AT635" t="inlineStr"/>
      <c r="AU635" t="inlineStr"/>
      <c r="AV635" t="inlineStr"/>
      <c r="AW635" t="inlineStr"/>
      <c r="AX635" t="inlineStr">
        <is>
          <t>x</t>
        </is>
      </c>
      <c r="AY635" t="inlineStr"/>
      <c r="AZ635" t="inlineStr"/>
      <c r="BA635" t="inlineStr"/>
      <c r="BB635" t="inlineStr"/>
      <c r="BC635" t="inlineStr"/>
      <c r="BD635" t="inlineStr"/>
      <c r="BE635" t="inlineStr"/>
      <c r="BF635" t="inlineStr"/>
      <c r="BG635" t="n">
        <v>110</v>
      </c>
      <c r="BH635" t="inlineStr"/>
      <c r="BI635" t="inlineStr"/>
      <c r="BJ635" t="inlineStr"/>
      <c r="BK635" t="inlineStr"/>
      <c r="BL635" t="inlineStr"/>
      <c r="BM635" t="inlineStr">
        <is>
          <t>n</t>
        </is>
      </c>
      <c r="BN635" t="n">
        <v>0</v>
      </c>
      <c r="BO635" t="inlineStr"/>
      <c r="BP635" t="inlineStr">
        <is>
          <t>Wellpappe</t>
        </is>
      </c>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c r="DC635" t="inlineStr"/>
      <c r="DD635" t="inlineStr"/>
      <c r="DE635" t="inlineStr"/>
      <c r="DF635" t="inlineStr"/>
      <c r="DG635" t="inlineStr"/>
    </row>
    <row r="636">
      <c r="A636" t="inlineStr">
        <is>
          <t>II</t>
        </is>
      </c>
      <c r="B636" t="b">
        <v>1</v>
      </c>
      <c r="C636" t="inlineStr"/>
      <c r="D636" t="inlineStr"/>
      <c r="E636" t="inlineStr"/>
      <c r="F636">
        <f>HYPERLINK("https://portal.dnb.de/opac.htm?method=simpleSearch&amp;cqlMode=true&amp;query=idn%3D1164536214", "Portal")</f>
        <v/>
      </c>
      <c r="G636" t="inlineStr">
        <is>
          <t>Af</t>
        </is>
      </c>
      <c r="H636" t="inlineStr">
        <is>
          <t>L-1483-457263547</t>
        </is>
      </c>
      <c r="I636" t="inlineStr">
        <is>
          <t>1164536214</t>
        </is>
      </c>
      <c r="J636" t="inlineStr">
        <is>
          <t>II 82,18a</t>
        </is>
      </c>
      <c r="K636" t="inlineStr">
        <is>
          <t>II 82,18a</t>
        </is>
      </c>
      <c r="L636" t="inlineStr">
        <is>
          <t>II 82,18a</t>
        </is>
      </c>
      <c r="M636" t="inlineStr"/>
      <c r="N636" t="inlineStr">
        <is>
          <t>Opera, lat.</t>
        </is>
      </c>
      <c r="O636" t="inlineStr">
        <is>
          <t>P. 3,1 : Metaphysica</t>
        </is>
      </c>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t>
        </is>
      </c>
      <c r="B637" t="b">
        <v>1</v>
      </c>
      <c r="C637" t="inlineStr"/>
      <c r="D637" t="inlineStr"/>
      <c r="E637" t="inlineStr"/>
      <c r="F637">
        <f>HYPERLINK("https://portal.dnb.de/opac.htm?method=simpleSearch&amp;cqlMode=true&amp;query=idn%3D1164536303", "Portal")</f>
        <v/>
      </c>
      <c r="G637" t="inlineStr">
        <is>
          <t>Af</t>
        </is>
      </c>
      <c r="H637" t="inlineStr">
        <is>
          <t>L-1483-457263660</t>
        </is>
      </c>
      <c r="I637" t="inlineStr">
        <is>
          <t>1164536303</t>
        </is>
      </c>
      <c r="J637" t="inlineStr">
        <is>
          <t>II 82,18a</t>
        </is>
      </c>
      <c r="K637" t="inlineStr">
        <is>
          <t>II 82,18a</t>
        </is>
      </c>
      <c r="L637" t="inlineStr">
        <is>
          <t>II 82,18a</t>
        </is>
      </c>
      <c r="M637" t="inlineStr"/>
      <c r="N637" t="inlineStr">
        <is>
          <t>Opera, lat.</t>
        </is>
      </c>
      <c r="O637" t="inlineStr">
        <is>
          <t>P. 3,2 : Ethica ad Nicomachum. Politica. Oeconomica</t>
        </is>
      </c>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t>
        </is>
      </c>
      <c r="B638" t="b">
        <v>1</v>
      </c>
      <c r="C638" t="inlineStr">
        <is>
          <t>x</t>
        </is>
      </c>
      <c r="D638" t="inlineStr"/>
      <c r="E638" t="n">
        <v>631</v>
      </c>
      <c r="F638">
        <f>HYPERLINK("https://portal.dnb.de/opac.htm?method=simpleSearch&amp;cqlMode=true&amp;query=idn%3D1066971951", "Portal")</f>
        <v/>
      </c>
      <c r="G638" t="inlineStr">
        <is>
          <t>Aa</t>
        </is>
      </c>
      <c r="H638" t="inlineStr">
        <is>
          <t>L-1486-315502363</t>
        </is>
      </c>
      <c r="I638" t="inlineStr">
        <is>
          <t>1066971951</t>
        </is>
      </c>
      <c r="J638" t="inlineStr">
        <is>
          <t>II 82,19a</t>
        </is>
      </c>
      <c r="K638" t="inlineStr">
        <is>
          <t>II 82,19a</t>
        </is>
      </c>
      <c r="L638" t="inlineStr">
        <is>
          <t>II 82,19a</t>
        </is>
      </c>
      <c r="M638" t="inlineStr"/>
      <c r="N638" t="inlineStr">
        <is>
          <t xml:space="preserve">Pantheologia sive Summa universae theologiae : </t>
        </is>
      </c>
      <c r="O638" t="inlineStr">
        <is>
          <t xml:space="preserve"> : </t>
        </is>
      </c>
      <c r="P638" t="inlineStr"/>
      <c r="Q638" t="inlineStr">
        <is>
          <t>2200,00 EUR</t>
        </is>
      </c>
      <c r="R638" t="inlineStr"/>
      <c r="S638" t="inlineStr">
        <is>
          <t>bis 35 cm</t>
        </is>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is>
          <t>HL</t>
        </is>
      </c>
      <c r="AJ638" t="inlineStr"/>
      <c r="AK638" t="inlineStr">
        <is>
          <t>x</t>
        </is>
      </c>
      <c r="AL638" t="inlineStr"/>
      <c r="AM638" t="inlineStr">
        <is>
          <t>h/E</t>
        </is>
      </c>
      <c r="AN638" t="inlineStr"/>
      <c r="AO638" t="inlineStr"/>
      <c r="AP638" t="inlineStr"/>
      <c r="AQ638" t="inlineStr"/>
      <c r="AR638" t="inlineStr"/>
      <c r="AS638" t="inlineStr">
        <is>
          <t>Pa</t>
        </is>
      </c>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is>
          <t>nach Rest. festlegen</t>
        </is>
      </c>
      <c r="BH638" t="inlineStr"/>
      <c r="BI638" t="inlineStr"/>
      <c r="BJ638" t="inlineStr"/>
      <c r="BK638" t="inlineStr"/>
      <c r="BL638" t="inlineStr"/>
      <c r="BM638" t="inlineStr">
        <is>
          <t>ja vor</t>
        </is>
      </c>
      <c r="BN638" t="n">
        <v>1</v>
      </c>
      <c r="BO638" t="inlineStr"/>
      <c r="BP638" t="inlineStr">
        <is>
          <t>Wellpappe</t>
        </is>
      </c>
      <c r="BQ638" t="inlineStr"/>
      <c r="BR638" t="inlineStr"/>
      <c r="BS638" t="inlineStr"/>
      <c r="BT638" t="inlineStr"/>
      <c r="BU638" t="inlineStr"/>
      <c r="BV638" t="inlineStr">
        <is>
          <t>Rückeneinlage furchtbar dick und steif --&gt; Rest.maßnahme sehr gut überlegen</t>
        </is>
      </c>
      <c r="BW638" t="inlineStr">
        <is>
          <t>x ? (noch festlegen)</t>
        </is>
      </c>
      <c r="BX638" t="inlineStr"/>
      <c r="BY638" t="inlineStr"/>
      <c r="BZ638" t="inlineStr"/>
      <c r="CA638" t="inlineStr">
        <is>
          <t>x</t>
        </is>
      </c>
      <c r="CB638" t="inlineStr"/>
      <c r="CC638" t="inlineStr"/>
      <c r="CD638" t="inlineStr">
        <is>
          <t>v/h</t>
        </is>
      </c>
      <c r="CE638" t="inlineStr"/>
      <c r="CF638" t="inlineStr">
        <is>
          <t>x</t>
        </is>
      </c>
      <c r="CG638" t="inlineStr"/>
      <c r="CH638" t="inlineStr"/>
      <c r="CI638" t="inlineStr"/>
      <c r="CJ638" t="inlineStr"/>
      <c r="CK638" t="inlineStr"/>
      <c r="CL638" t="inlineStr"/>
      <c r="CM638" t="n">
        <v>1</v>
      </c>
      <c r="CN638" t="inlineStr">
        <is>
          <t>evtl. ist Hülse eine Lösung, die den Rücken wenigstens am Buch hält --&gt; über max.ÖW nach Anbringen der Hülse entscheiden</t>
        </is>
      </c>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t>
        </is>
      </c>
      <c r="B639" t="b">
        <v>0</v>
      </c>
      <c r="C639" t="inlineStr"/>
      <c r="D639" t="inlineStr"/>
      <c r="E639" t="inlineStr"/>
      <c r="F639">
        <f>HYPERLINK("https://portal.dnb.de/opac.htm?method=simpleSearch&amp;cqlMode=true&amp;query=idn%3D", "Portal")</f>
        <v/>
      </c>
      <c r="G639" t="inlineStr"/>
      <c r="H639" t="inlineStr"/>
      <c r="I639" t="inlineStr"/>
      <c r="J639" t="inlineStr"/>
      <c r="K639" t="inlineStr"/>
      <c r="L639" t="inlineStr">
        <is>
          <t>II 82,19b</t>
        </is>
      </c>
      <c r="M639" t="inlineStr"/>
      <c r="N639" t="inlineStr"/>
      <c r="O639" t="inlineStr"/>
      <c r="P639" t="inlineStr"/>
      <c r="Q639" t="inlineStr"/>
      <c r="R639" t="inlineStr"/>
      <c r="S639" t="inlineStr">
        <is>
          <t>bis 25 cm</t>
        </is>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is>
          <t>HL</t>
        </is>
      </c>
      <c r="AJ639" t="inlineStr"/>
      <c r="AK639" t="inlineStr">
        <is>
          <t>x</t>
        </is>
      </c>
      <c r="AL639" t="inlineStr"/>
      <c r="AM639" t="inlineStr">
        <is>
          <t>h/E</t>
        </is>
      </c>
      <c r="AN639" t="inlineStr"/>
      <c r="AO639" t="inlineStr"/>
      <c r="AP639" t="inlineStr"/>
      <c r="AQ639" t="inlineStr"/>
      <c r="AR639" t="inlineStr"/>
      <c r="AS639" t="inlineStr">
        <is>
          <t>Pa</t>
        </is>
      </c>
      <c r="AT639" t="inlineStr"/>
      <c r="AU639" t="inlineStr"/>
      <c r="AV639" t="inlineStr"/>
      <c r="AW639" t="inlineStr"/>
      <c r="AX639" t="inlineStr"/>
      <c r="AY639" t="inlineStr"/>
      <c r="AZ639" t="inlineStr"/>
      <c r="BA639" t="inlineStr"/>
      <c r="BB639" t="inlineStr"/>
      <c r="BC639" t="inlineStr">
        <is>
          <t>I/R</t>
        </is>
      </c>
      <c r="BD639" t="inlineStr">
        <is>
          <t>x</t>
        </is>
      </c>
      <c r="BE639" t="inlineStr"/>
      <c r="BF639" t="inlineStr"/>
      <c r="BG639" t="n">
        <v>110</v>
      </c>
      <c r="BH639" t="inlineStr"/>
      <c r="BI639" t="inlineStr"/>
      <c r="BJ639" t="inlineStr"/>
      <c r="BK639" t="inlineStr"/>
      <c r="BL639" t="inlineStr"/>
      <c r="BM639" t="inlineStr">
        <is>
          <t>n</t>
        </is>
      </c>
      <c r="BN639" t="n">
        <v>0</v>
      </c>
      <c r="BO639" t="inlineStr"/>
      <c r="BP639" t="inlineStr">
        <is>
          <t>Wellpappe</t>
        </is>
      </c>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t>
        </is>
      </c>
      <c r="B640" t="b">
        <v>1</v>
      </c>
      <c r="C640" t="inlineStr"/>
      <c r="D640" t="inlineStr"/>
      <c r="E640" t="n">
        <v>632</v>
      </c>
      <c r="F640">
        <f>HYPERLINK("https://portal.dnb.de/opac.htm?method=simpleSearch&amp;cqlMode=true&amp;query=idn%3D1066967342", "Portal")</f>
        <v/>
      </c>
      <c r="G640" t="inlineStr">
        <is>
          <t>Aaf</t>
        </is>
      </c>
      <c r="H640" t="inlineStr">
        <is>
          <t>L-1485-315497599</t>
        </is>
      </c>
      <c r="I640" t="inlineStr">
        <is>
          <t>1066967342</t>
        </is>
      </c>
      <c r="J640" t="inlineStr">
        <is>
          <t>II 82,20a</t>
        </is>
      </c>
      <c r="K640" t="inlineStr">
        <is>
          <t>II 82,20a</t>
        </is>
      </c>
      <c r="L640" t="inlineStr">
        <is>
          <t>II 82,20a</t>
        </is>
      </c>
      <c r="M640" t="inlineStr"/>
      <c r="N640" t="inlineStr">
        <is>
          <t xml:space="preserve">Opera : </t>
        </is>
      </c>
      <c r="O640" t="inlineStr">
        <is>
          <t xml:space="preserve"> : </t>
        </is>
      </c>
      <c r="P640" t="inlineStr"/>
      <c r="Q640" t="inlineStr"/>
      <c r="R640" t="inlineStr"/>
      <c r="S640" t="inlineStr">
        <is>
          <t>bis 25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HD</t>
        </is>
      </c>
      <c r="AJ640" t="inlineStr"/>
      <c r="AK640" t="inlineStr"/>
      <c r="AL640" t="inlineStr">
        <is>
          <t>x</t>
        </is>
      </c>
      <c r="AM640" t="inlineStr">
        <is>
          <t>f</t>
        </is>
      </c>
      <c r="AN640" t="inlineStr"/>
      <c r="AO640" t="inlineStr"/>
      <c r="AP640" t="inlineStr"/>
      <c r="AQ640" t="inlineStr"/>
      <c r="AR640" t="inlineStr"/>
      <c r="AS640" t="inlineStr">
        <is>
          <t>Pa</t>
        </is>
      </c>
      <c r="AT640" t="inlineStr"/>
      <c r="AU640" t="inlineStr"/>
      <c r="AV640" t="inlineStr"/>
      <c r="AW640" t="inlineStr"/>
      <c r="AX640" t="inlineStr">
        <is>
          <t>x</t>
        </is>
      </c>
      <c r="AY640" t="inlineStr"/>
      <c r="AZ640" t="inlineStr"/>
      <c r="BA640" t="inlineStr"/>
      <c r="BB640" t="inlineStr"/>
      <c r="BC640" t="inlineStr"/>
      <c r="BD640" t="inlineStr"/>
      <c r="BE640" t="n">
        <v>0</v>
      </c>
      <c r="BF640" t="inlineStr">
        <is>
          <t>x</t>
        </is>
      </c>
      <c r="BG640" t="n">
        <v>110</v>
      </c>
      <c r="BH640" t="inlineStr"/>
      <c r="BI640" t="inlineStr"/>
      <c r="BJ640" t="inlineStr"/>
      <c r="BK640" t="inlineStr"/>
      <c r="BL640" t="inlineStr"/>
      <c r="BM640" t="inlineStr">
        <is>
          <t>n</t>
        </is>
      </c>
      <c r="BN640" t="n">
        <v>0</v>
      </c>
      <c r="BO640" t="inlineStr"/>
      <c r="BP640" t="inlineStr">
        <is>
          <t>Gewebe</t>
        </is>
      </c>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t>
        </is>
      </c>
      <c r="B641" t="b">
        <v>1</v>
      </c>
      <c r="C641" t="inlineStr">
        <is>
          <t>x</t>
        </is>
      </c>
      <c r="D641" t="inlineStr"/>
      <c r="E641" t="n">
        <v>633</v>
      </c>
      <c r="F641">
        <f>HYPERLINK("https://portal.dnb.de/opac.htm?method=simpleSearch&amp;cqlMode=true&amp;query=idn%3D1066972664", "Portal")</f>
        <v/>
      </c>
      <c r="G641" t="inlineStr">
        <is>
          <t>Aaf</t>
        </is>
      </c>
      <c r="H641" t="inlineStr">
        <is>
          <t>L-1486-315503084</t>
        </is>
      </c>
      <c r="I641" t="inlineStr">
        <is>
          <t>1066972664</t>
        </is>
      </c>
      <c r="J641" t="inlineStr">
        <is>
          <t>II 82,21a</t>
        </is>
      </c>
      <c r="K641" t="inlineStr">
        <is>
          <t>II 82,21a</t>
        </is>
      </c>
      <c r="L641" t="inlineStr">
        <is>
          <t>II 82,21a</t>
        </is>
      </c>
      <c r="M641" t="inlineStr"/>
      <c r="N641" t="inlineStr">
        <is>
          <t>Summa theologiae : P. 3</t>
        </is>
      </c>
      <c r="O641" t="inlineStr">
        <is>
          <t xml:space="preserve"> : </t>
        </is>
      </c>
      <c r="P641" t="inlineStr"/>
      <c r="Q641" t="inlineStr">
        <is>
          <t>8000,00 EUR</t>
        </is>
      </c>
      <c r="R641" t="inlineStr"/>
      <c r="S641" t="inlineStr">
        <is>
          <t>bis 35 cm</t>
        </is>
      </c>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is>
          <t>HD</t>
        </is>
      </c>
      <c r="AJ641" t="inlineStr">
        <is>
          <t xml:space="preserve">
Erfurter Einband</t>
        </is>
      </c>
      <c r="AK641" t="inlineStr">
        <is>
          <t>x</t>
        </is>
      </c>
      <c r="AL641" t="inlineStr"/>
      <c r="AM641" t="inlineStr">
        <is>
          <t>f/V</t>
        </is>
      </c>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is>
          <t>I/R</t>
        </is>
      </c>
      <c r="BD641" t="inlineStr">
        <is>
          <t>x</t>
        </is>
      </c>
      <c r="BE641" t="inlineStr"/>
      <c r="BF641" t="inlineStr"/>
      <c r="BG641" t="n">
        <v>60</v>
      </c>
      <c r="BH641" t="inlineStr"/>
      <c r="BI641" t="inlineStr"/>
      <c r="BJ641" t="inlineStr"/>
      <c r="BK641" t="inlineStr"/>
      <c r="BL641" t="inlineStr"/>
      <c r="BM641" t="inlineStr">
        <is>
          <t>ja vor</t>
        </is>
      </c>
      <c r="BN641" t="n">
        <v>2</v>
      </c>
      <c r="BO641" t="inlineStr"/>
      <c r="BP641" t="inlineStr">
        <is>
          <t>Wellpappe</t>
        </is>
      </c>
      <c r="BQ641" t="inlineStr"/>
      <c r="BR641" t="inlineStr"/>
      <c r="BS641" t="inlineStr"/>
      <c r="BT641" t="inlineStr"/>
      <c r="BU641" t="inlineStr"/>
      <c r="BV641" t="inlineStr">
        <is>
          <t>Erfurter Einband, leider völlig überarbeitet/überformt</t>
        </is>
      </c>
      <c r="BW641" t="inlineStr"/>
      <c r="BX641" t="inlineStr"/>
      <c r="BY641" t="inlineStr"/>
      <c r="BZ641" t="inlineStr"/>
      <c r="CA641" t="inlineStr"/>
      <c r="CB641" t="inlineStr"/>
      <c r="CC641" t="inlineStr"/>
      <c r="CD641" t="inlineStr"/>
      <c r="CE641" t="inlineStr"/>
      <c r="CF641" t="inlineStr"/>
      <c r="CG641" t="inlineStr"/>
      <c r="CH641" t="inlineStr">
        <is>
          <t>x</t>
        </is>
      </c>
      <c r="CI641" t="inlineStr"/>
      <c r="CJ641" t="inlineStr"/>
      <c r="CK641" t="inlineStr"/>
      <c r="CL641" t="inlineStr"/>
      <c r="CM641" t="n">
        <v>1.5</v>
      </c>
      <c r="CN641" t="inlineStr">
        <is>
          <t>lose schließe anbringen</t>
        </is>
      </c>
      <c r="CO641" t="inlineStr"/>
      <c r="CP641" t="inlineStr"/>
      <c r="CQ641" t="inlineStr"/>
      <c r="CR641" t="inlineStr"/>
      <c r="CS641" t="inlineStr"/>
      <c r="CT641" t="inlineStr"/>
      <c r="CU641" t="inlineStr"/>
      <c r="CV641" t="inlineStr">
        <is>
          <t>x</t>
        </is>
      </c>
      <c r="CW641" t="inlineStr"/>
      <c r="CX641" t="inlineStr"/>
      <c r="CY641" t="inlineStr"/>
      <c r="CZ641" t="inlineStr"/>
      <c r="DA641" t="inlineStr"/>
      <c r="DB641" t="inlineStr"/>
      <c r="DC641" t="inlineStr"/>
      <c r="DD641" t="inlineStr"/>
      <c r="DE641" t="inlineStr"/>
      <c r="DF641" t="n">
        <v>0.5</v>
      </c>
      <c r="DG641" t="inlineStr"/>
    </row>
    <row r="642">
      <c r="A642" t="inlineStr">
        <is>
          <t>II</t>
        </is>
      </c>
      <c r="B642" t="b">
        <v>1</v>
      </c>
      <c r="C642" t="inlineStr"/>
      <c r="D642" t="inlineStr"/>
      <c r="E642" t="n">
        <v>634</v>
      </c>
      <c r="F642">
        <f>HYPERLINK("https://portal.dnb.de/opac.htm?method=simpleSearch&amp;cqlMode=true&amp;query=idn%3D1066971854", "Portal")</f>
        <v/>
      </c>
      <c r="G642" t="inlineStr">
        <is>
          <t>Aa</t>
        </is>
      </c>
      <c r="H642" t="inlineStr">
        <is>
          <t>L-1494-315502258</t>
        </is>
      </c>
      <c r="I642" t="inlineStr">
        <is>
          <t>1066971854</t>
        </is>
      </c>
      <c r="J642" t="inlineStr">
        <is>
          <t>II 82,23a</t>
        </is>
      </c>
      <c r="K642" t="inlineStr">
        <is>
          <t>II 82,23a</t>
        </is>
      </c>
      <c r="L642" t="inlineStr">
        <is>
          <t>II 82,23a</t>
        </is>
      </c>
      <c r="M642" t="inlineStr"/>
      <c r="N642" t="inlineStr">
        <is>
          <t xml:space="preserve">Institutiones oratoriae : </t>
        </is>
      </c>
      <c r="O642" t="inlineStr">
        <is>
          <t xml:space="preserve"> : </t>
        </is>
      </c>
      <c r="P642" t="inlineStr"/>
      <c r="Q642" t="inlineStr"/>
      <c r="R642" t="inlineStr"/>
      <c r="S642" t="inlineStr">
        <is>
          <t>bis 35 cm</t>
        </is>
      </c>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is>
          <t>HL</t>
        </is>
      </c>
      <c r="AJ642" t="inlineStr"/>
      <c r="AK642" t="inlineStr">
        <is>
          <t>x</t>
        </is>
      </c>
      <c r="AL642" t="inlineStr"/>
      <c r="AM642" t="inlineStr">
        <is>
          <t>h/E</t>
        </is>
      </c>
      <c r="AN642" t="inlineStr"/>
      <c r="AO642" t="inlineStr"/>
      <c r="AP642" t="inlineStr"/>
      <c r="AQ642" t="inlineStr"/>
      <c r="AR642" t="inlineStr"/>
      <c r="AS642" t="inlineStr">
        <is>
          <t>Pa</t>
        </is>
      </c>
      <c r="AT642" t="inlineStr"/>
      <c r="AU642" t="inlineStr"/>
      <c r="AV642" t="inlineStr"/>
      <c r="AW642" t="inlineStr"/>
      <c r="AX642" t="inlineStr"/>
      <c r="AY642" t="inlineStr"/>
      <c r="AZ642" t="inlineStr"/>
      <c r="BA642" t="inlineStr"/>
      <c r="BB642" t="inlineStr"/>
      <c r="BC642" t="inlineStr">
        <is>
          <t>I/R</t>
        </is>
      </c>
      <c r="BD642" t="inlineStr">
        <is>
          <t>x</t>
        </is>
      </c>
      <c r="BE642" t="inlineStr"/>
      <c r="BF642" t="inlineStr"/>
      <c r="BG642" t="n">
        <v>110</v>
      </c>
      <c r="BH642" t="inlineStr"/>
      <c r="BI642" t="inlineStr"/>
      <c r="BJ642" t="inlineStr"/>
      <c r="BK642" t="inlineStr"/>
      <c r="BL642" t="inlineStr"/>
      <c r="BM642" t="inlineStr">
        <is>
          <t>n</t>
        </is>
      </c>
      <c r="BN642" t="n">
        <v>0</v>
      </c>
      <c r="BO642" t="inlineStr"/>
      <c r="BP642" t="inlineStr">
        <is>
          <t>Wellpappe</t>
        </is>
      </c>
      <c r="BQ642" t="inlineStr"/>
      <c r="BR642" t="inlineStr"/>
      <c r="BS642" t="inlineStr"/>
      <c r="BT642" t="inlineStr"/>
      <c r="BU642" t="inlineStr"/>
      <c r="BV642" t="inlineStr"/>
      <c r="BW642" t="inlineStr">
        <is>
          <t>x 110</t>
        </is>
      </c>
      <c r="BX642" t="inlineStr">
        <is>
          <t xml:space="preserve">
hat "Steckschließe" (Pergamentriemchen und Holzstift)</t>
        </is>
      </c>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t>
        </is>
      </c>
      <c r="B643" t="b">
        <v>1</v>
      </c>
      <c r="C643" t="inlineStr"/>
      <c r="D643" t="inlineStr"/>
      <c r="E643" t="n">
        <v>635</v>
      </c>
      <c r="F643">
        <f>HYPERLINK("https://portal.dnb.de/opac.htm?method=simpleSearch&amp;cqlMode=true&amp;query=idn%3D106697165X", "Portal")</f>
        <v/>
      </c>
      <c r="G643" t="inlineStr">
        <is>
          <t>Aaf</t>
        </is>
      </c>
      <c r="H643" t="inlineStr">
        <is>
          <t>L-1497-315502037</t>
        </is>
      </c>
      <c r="I643" t="inlineStr">
        <is>
          <t>106697165X</t>
        </is>
      </c>
      <c r="J643" t="inlineStr">
        <is>
          <t>II 82,24a</t>
        </is>
      </c>
      <c r="K643" t="inlineStr">
        <is>
          <t>II 82,24a</t>
        </is>
      </c>
      <c r="L643" t="inlineStr">
        <is>
          <t>II 82,24a</t>
        </is>
      </c>
      <c r="M643" t="inlineStr">
        <is>
          <t>ws. bei GF</t>
        </is>
      </c>
      <c r="N643" t="inlineStr">
        <is>
          <t xml:space="preserve">Historia naturalis : </t>
        </is>
      </c>
      <c r="O643" t="inlineStr">
        <is>
          <t xml:space="preserve"> : </t>
        </is>
      </c>
      <c r="P643" t="inlineStr"/>
      <c r="Q643" t="inlineStr"/>
      <c r="R643" t="inlineStr"/>
      <c r="S643" t="inlineStr"/>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n">
        <v>0</v>
      </c>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t>
        </is>
      </c>
      <c r="B644" t="b">
        <v>1</v>
      </c>
      <c r="C644" t="inlineStr"/>
      <c r="D644" t="inlineStr"/>
      <c r="E644" t="n">
        <v>636</v>
      </c>
      <c r="F644">
        <f>HYPERLINK("https://portal.dnb.de/opac.htm?method=simpleSearch&amp;cqlMode=true&amp;query=idn%3D1066969582", "Portal")</f>
        <v/>
      </c>
      <c r="G644" t="inlineStr">
        <is>
          <t>Aaf</t>
        </is>
      </c>
      <c r="H644" t="inlineStr">
        <is>
          <t>L-1492-315499907</t>
        </is>
      </c>
      <c r="I644" t="inlineStr">
        <is>
          <t>1066969582</t>
        </is>
      </c>
      <c r="J644" t="inlineStr">
        <is>
          <t>II 82,24b</t>
        </is>
      </c>
      <c r="K644" t="inlineStr">
        <is>
          <t>II 82,24b</t>
        </is>
      </c>
      <c r="L644" t="inlineStr">
        <is>
          <t>II 82,24b</t>
        </is>
      </c>
      <c r="M644" t="inlineStr"/>
      <c r="N644" t="inlineStr">
        <is>
          <t xml:space="preserve">Orationes et epistolae : </t>
        </is>
      </c>
      <c r="O644" t="inlineStr">
        <is>
          <t xml:space="preserve"> : </t>
        </is>
      </c>
      <c r="P644" t="inlineStr"/>
      <c r="Q644" t="inlineStr"/>
      <c r="R644" t="inlineStr"/>
      <c r="S644" t="inlineStr">
        <is>
          <t>bis 35 cm</t>
        </is>
      </c>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is>
          <t>HPg</t>
        </is>
      </c>
      <c r="AJ644" t="inlineStr"/>
      <c r="AK644" t="inlineStr">
        <is>
          <t>x</t>
        </is>
      </c>
      <c r="AL644" t="inlineStr"/>
      <c r="AM644" t="inlineStr">
        <is>
          <t>h</t>
        </is>
      </c>
      <c r="AN644" t="inlineStr"/>
      <c r="AO644" t="inlineStr"/>
      <c r="AP644" t="inlineStr"/>
      <c r="AQ644" t="inlineStr"/>
      <c r="AR644" t="inlineStr"/>
      <c r="AS644" t="inlineStr">
        <is>
          <t>Pa</t>
        </is>
      </c>
      <c r="AT644" t="inlineStr"/>
      <c r="AU644" t="inlineStr"/>
      <c r="AV644" t="inlineStr"/>
      <c r="AW644" t="inlineStr"/>
      <c r="AX644" t="inlineStr"/>
      <c r="AY644" t="inlineStr"/>
      <c r="AZ644" t="inlineStr"/>
      <c r="BA644" t="inlineStr"/>
      <c r="BB644" t="inlineStr"/>
      <c r="BC644" t="inlineStr"/>
      <c r="BD644" t="inlineStr"/>
      <c r="BE644" t="inlineStr"/>
      <c r="BF644" t="inlineStr"/>
      <c r="BG644" t="n">
        <v>110</v>
      </c>
      <c r="BH644" t="inlineStr"/>
      <c r="BI644" t="inlineStr"/>
      <c r="BJ644" t="inlineStr"/>
      <c r="BK644" t="inlineStr"/>
      <c r="BL644" t="inlineStr"/>
      <c r="BM644" t="inlineStr">
        <is>
          <t>n</t>
        </is>
      </c>
      <c r="BN644" t="n">
        <v>0</v>
      </c>
      <c r="BO644" t="inlineStr"/>
      <c r="BP644" t="inlineStr">
        <is>
          <t>Wellpappe</t>
        </is>
      </c>
      <c r="BQ644" t="inlineStr"/>
      <c r="BR644" t="inlineStr"/>
      <c r="BS644" t="inlineStr"/>
      <c r="BT644" t="inlineStr"/>
      <c r="BU644" t="inlineStr"/>
      <c r="BV644" t="inlineStr"/>
      <c r="BW644" t="inlineStr">
        <is>
          <t>x 110</t>
        </is>
      </c>
      <c r="BX644" t="inlineStr">
        <is>
          <t xml:space="preserve">
mit Schließe (Klemm-)</t>
        </is>
      </c>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t>
        </is>
      </c>
      <c r="B645" t="b">
        <v>1</v>
      </c>
      <c r="C645" t="inlineStr">
        <is>
          <t>x</t>
        </is>
      </c>
      <c r="D645" t="inlineStr"/>
      <c r="E645" t="n">
        <v>637</v>
      </c>
      <c r="F645">
        <f>HYPERLINK("https://portal.dnb.de/opac.htm?method=simpleSearch&amp;cqlMode=true&amp;query=idn%3D1066969485", "Portal")</f>
        <v/>
      </c>
      <c r="G645" t="inlineStr">
        <is>
          <t>Aaf</t>
        </is>
      </c>
      <c r="H645" t="inlineStr">
        <is>
          <t>L-1483-315499818</t>
        </is>
      </c>
      <c r="I645" t="inlineStr">
        <is>
          <t>1066969485</t>
        </is>
      </c>
      <c r="J645" t="inlineStr">
        <is>
          <t>II 82,25a</t>
        </is>
      </c>
      <c r="K645" t="inlineStr">
        <is>
          <t>II 82,25a</t>
        </is>
      </c>
      <c r="L645" t="inlineStr">
        <is>
          <t>II 82,25a</t>
        </is>
      </c>
      <c r="M645" t="inlineStr"/>
      <c r="N645" t="inlineStr">
        <is>
          <t xml:space="preserve">Etymologiae : </t>
        </is>
      </c>
      <c r="O645" t="inlineStr">
        <is>
          <t xml:space="preserve"> : </t>
        </is>
      </c>
      <c r="P645" t="inlineStr"/>
      <c r="Q645" t="inlineStr">
        <is>
          <t>3400,00 EUR</t>
        </is>
      </c>
      <c r="R645" t="inlineStr"/>
      <c r="S645" t="inlineStr">
        <is>
          <t>bis 35 cm</t>
        </is>
      </c>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is>
          <t>HL</t>
        </is>
      </c>
      <c r="AJ645" t="inlineStr"/>
      <c r="AK645" t="inlineStr">
        <is>
          <t>x</t>
        </is>
      </c>
      <c r="AL645" t="inlineStr"/>
      <c r="AM645" t="inlineStr">
        <is>
          <t>h/E</t>
        </is>
      </c>
      <c r="AN645" t="inlineStr"/>
      <c r="AO645" t="inlineStr"/>
      <c r="AP645" t="inlineStr"/>
      <c r="AQ645" t="inlineStr"/>
      <c r="AR645" t="inlineStr"/>
      <c r="AS645" t="inlineStr">
        <is>
          <t>Pa</t>
        </is>
      </c>
      <c r="AT645" t="inlineStr"/>
      <c r="AU645" t="inlineStr"/>
      <c r="AV645" t="inlineStr"/>
      <c r="AW645" t="inlineStr"/>
      <c r="AX645" t="inlineStr"/>
      <c r="AY645" t="inlineStr"/>
      <c r="AZ645" t="inlineStr"/>
      <c r="BA645" t="inlineStr"/>
      <c r="BB645" t="inlineStr"/>
      <c r="BC645" t="inlineStr">
        <is>
          <t>K/I/R</t>
        </is>
      </c>
      <c r="BD645" t="inlineStr">
        <is>
          <t>x</t>
        </is>
      </c>
      <c r="BE645" t="inlineStr"/>
      <c r="BF645" t="inlineStr"/>
      <c r="BG645" t="n">
        <v>110</v>
      </c>
      <c r="BH645" t="inlineStr"/>
      <c r="BI645" t="inlineStr"/>
      <c r="BJ645" t="inlineStr"/>
      <c r="BK645" t="inlineStr"/>
      <c r="BL645" t="inlineStr"/>
      <c r="BM645" t="inlineStr">
        <is>
          <t>ja vor</t>
        </is>
      </c>
      <c r="BN645" t="n">
        <v>3</v>
      </c>
      <c r="BO645" t="inlineStr"/>
      <c r="BP645" t="inlineStr">
        <is>
          <t>Wellpappe</t>
        </is>
      </c>
      <c r="BQ645" t="inlineStr"/>
      <c r="BR645" t="inlineStr"/>
      <c r="BS645" t="inlineStr"/>
      <c r="BT645" t="inlineStr"/>
      <c r="BU645" t="inlineStr"/>
      <c r="BV645" t="inlineStr"/>
      <c r="BW645" t="inlineStr"/>
      <c r="BX645" t="inlineStr"/>
      <c r="BY645" t="inlineStr"/>
      <c r="BZ645" t="inlineStr"/>
      <c r="CA645" t="inlineStr">
        <is>
          <t>x</t>
        </is>
      </c>
      <c r="CB645" t="inlineStr"/>
      <c r="CC645" t="inlineStr"/>
      <c r="CD645" t="inlineStr">
        <is>
          <t>v/h</t>
        </is>
      </c>
      <c r="CE645" t="inlineStr"/>
      <c r="CF645" t="inlineStr">
        <is>
          <t>x</t>
        </is>
      </c>
      <c r="CG645" t="inlineStr"/>
      <c r="CH645" t="inlineStr"/>
      <c r="CI645" t="inlineStr"/>
      <c r="CJ645" t="inlineStr"/>
      <c r="CK645" t="inlineStr"/>
      <c r="CL645" t="inlineStr"/>
      <c r="CM645" t="n">
        <v>3</v>
      </c>
      <c r="CN645" t="inlineStr">
        <is>
          <t>sehr steife Rückeneinlage, reicht Hülse und Fragmente sichern? Oder Gelenke mit Gewebe unterlegen? Genauer Bedenken! Wenn Gelenke unterlegt werden mind. 3 Std., wenn Hülse reichen würde und nur Fragmente gesichert werden 1 Std.</t>
        </is>
      </c>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t>
        </is>
      </c>
      <c r="B646" t="b">
        <v>1</v>
      </c>
      <c r="C646" t="inlineStr"/>
      <c r="D646" t="inlineStr"/>
      <c r="E646" t="n">
        <v>638</v>
      </c>
      <c r="F646">
        <f>HYPERLINK("https://portal.dnb.de/opac.htm?method=simpleSearch&amp;cqlMode=true&amp;query=idn%3D1066965978", "Portal")</f>
        <v/>
      </c>
      <c r="G646" t="inlineStr">
        <is>
          <t>Aaf</t>
        </is>
      </c>
      <c r="H646" t="inlineStr">
        <is>
          <t>L-1495-315496274</t>
        </is>
      </c>
      <c r="I646" t="inlineStr">
        <is>
          <t>1066965978</t>
        </is>
      </c>
      <c r="J646" t="inlineStr">
        <is>
          <t>II 82,26a</t>
        </is>
      </c>
      <c r="K646" t="inlineStr">
        <is>
          <t>II 82,26a</t>
        </is>
      </c>
      <c r="L646" t="inlineStr">
        <is>
          <t>II 82,26a</t>
        </is>
      </c>
      <c r="M646" t="inlineStr"/>
      <c r="N646" t="inlineStr">
        <is>
          <t xml:space="preserve">Summa casuum conscientiae : </t>
        </is>
      </c>
      <c r="O646" t="inlineStr">
        <is>
          <t xml:space="preserve"> : </t>
        </is>
      </c>
      <c r="P646" t="inlineStr"/>
      <c r="Q646" t="inlineStr"/>
      <c r="R646" t="inlineStr"/>
      <c r="S646" t="inlineStr">
        <is>
          <t>bis 25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G</t>
        </is>
      </c>
      <c r="AJ646" t="inlineStr"/>
      <c r="AK646" t="inlineStr">
        <is>
          <t>x</t>
        </is>
      </c>
      <c r="AL646" t="inlineStr"/>
      <c r="AM646" t="inlineStr">
        <is>
          <t>h/E</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is>
          <t>I/R</t>
        </is>
      </c>
      <c r="BD646" t="inlineStr">
        <is>
          <t>x</t>
        </is>
      </c>
      <c r="BE646" t="inlineStr"/>
      <c r="BF646" t="inlineStr"/>
      <c r="BG646" t="n">
        <v>110</v>
      </c>
      <c r="BH646" t="inlineStr"/>
      <c r="BI646" t="inlineStr"/>
      <c r="BJ646" t="inlineStr"/>
      <c r="BK646" t="inlineStr"/>
      <c r="BL646" t="inlineStr"/>
      <c r="BM646" t="inlineStr">
        <is>
          <t>n</t>
        </is>
      </c>
      <c r="BN646" t="n">
        <v>0</v>
      </c>
      <c r="BO646" t="inlineStr"/>
      <c r="BP646" t="inlineStr">
        <is>
          <t>Wellpappe</t>
        </is>
      </c>
      <c r="BQ646" t="inlineStr"/>
      <c r="BR646" t="inlineStr"/>
      <c r="BS646" t="inlineStr"/>
      <c r="BT646" t="inlineStr"/>
      <c r="BU646" t="inlineStr"/>
      <c r="BV646" t="inlineStr"/>
      <c r="BW646" t="inlineStr">
        <is>
          <t>x 110</t>
        </is>
      </c>
      <c r="BX646" t="inlineStr">
        <is>
          <t xml:space="preserve">
Gewebeeinband</t>
        </is>
      </c>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t>
        </is>
      </c>
      <c r="B647" t="b">
        <v>1</v>
      </c>
      <c r="C647" t="inlineStr"/>
      <c r="D647" t="inlineStr"/>
      <c r="E647" t="n">
        <v>639</v>
      </c>
      <c r="F647">
        <f>HYPERLINK("https://portal.dnb.de/opac.htm?method=simpleSearch&amp;cqlMode=true&amp;query=idn%3D1066965730", "Portal")</f>
        <v/>
      </c>
      <c r="G647" t="inlineStr">
        <is>
          <t>Aaf</t>
        </is>
      </c>
      <c r="H647" t="inlineStr">
        <is>
          <t>L-1489-315495960</t>
        </is>
      </c>
      <c r="I647" t="inlineStr">
        <is>
          <t>1066965730</t>
        </is>
      </c>
      <c r="J647" t="inlineStr">
        <is>
          <t>II 82,27a</t>
        </is>
      </c>
      <c r="K647" t="inlineStr">
        <is>
          <t>II 82,27a</t>
        </is>
      </c>
      <c r="L647" t="inlineStr">
        <is>
          <t>II 82,27a</t>
        </is>
      </c>
      <c r="M647" t="inlineStr"/>
      <c r="N647" t="inlineStr">
        <is>
          <t xml:space="preserve">De civitate Dei : </t>
        </is>
      </c>
      <c r="O647" t="inlineStr">
        <is>
          <t xml:space="preserve"> : </t>
        </is>
      </c>
      <c r="P647" t="inlineStr"/>
      <c r="Q647" t="inlineStr"/>
      <c r="R647" t="inlineStr"/>
      <c r="S647" t="inlineStr">
        <is>
          <t>bis 35 cm</t>
        </is>
      </c>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is>
          <t>HL</t>
        </is>
      </c>
      <c r="AJ647" t="inlineStr"/>
      <c r="AK647" t="inlineStr">
        <is>
          <t>x</t>
        </is>
      </c>
      <c r="AL647" t="inlineStr"/>
      <c r="AM647" t="inlineStr">
        <is>
          <t>h/E</t>
        </is>
      </c>
      <c r="AN647" t="inlineStr"/>
      <c r="AO647" t="inlineStr"/>
      <c r="AP647" t="inlineStr"/>
      <c r="AQ647" t="inlineStr"/>
      <c r="AR647" t="inlineStr"/>
      <c r="AS647" t="inlineStr">
        <is>
          <t>Pa</t>
        </is>
      </c>
      <c r="AT647" t="inlineStr"/>
      <c r="AU647" t="inlineStr"/>
      <c r="AV647" t="inlineStr"/>
      <c r="AW647" t="inlineStr"/>
      <c r="AX647" t="inlineStr"/>
      <c r="AY647" t="inlineStr"/>
      <c r="AZ647" t="inlineStr"/>
      <c r="BA647" t="inlineStr"/>
      <c r="BB647" t="inlineStr"/>
      <c r="BC647" t="inlineStr"/>
      <c r="BD647" t="inlineStr"/>
      <c r="BE647" t="n">
        <v>2</v>
      </c>
      <c r="BF647" t="inlineStr"/>
      <c r="BG647" t="n">
        <v>110</v>
      </c>
      <c r="BH647" t="inlineStr"/>
      <c r="BI647" t="inlineStr"/>
      <c r="BJ647" t="inlineStr"/>
      <c r="BK647" t="inlineStr"/>
      <c r="BL647" t="inlineStr"/>
      <c r="BM647" t="inlineStr">
        <is>
          <t>n</t>
        </is>
      </c>
      <c r="BN647" t="n">
        <v>0</v>
      </c>
      <c r="BO647" t="inlineStr"/>
      <c r="BP647" t="inlineStr">
        <is>
          <t>Wellpappe</t>
        </is>
      </c>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t>
        </is>
      </c>
      <c r="B648" t="b">
        <v>1</v>
      </c>
      <c r="C648" t="inlineStr"/>
      <c r="D648" t="inlineStr"/>
      <c r="E648" t="n">
        <v>640</v>
      </c>
      <c r="F648">
        <f>HYPERLINK("https://portal.dnb.de/opac.htm?method=simpleSearch&amp;cqlMode=true&amp;query=idn%3D1066966575", "Portal")</f>
        <v/>
      </c>
      <c r="G648" t="inlineStr">
        <is>
          <t>Aa</t>
        </is>
      </c>
      <c r="H648" t="inlineStr">
        <is>
          <t>L-1489-315496878</t>
        </is>
      </c>
      <c r="I648" t="inlineStr">
        <is>
          <t>1066966575</t>
        </is>
      </c>
      <c r="J648" t="inlineStr">
        <is>
          <t>II 82,27b</t>
        </is>
      </c>
      <c r="K648" t="inlineStr">
        <is>
          <t>II 82,27b</t>
        </is>
      </c>
      <c r="L648" t="inlineStr">
        <is>
          <t>II 82,27b</t>
        </is>
      </c>
      <c r="M648" t="inlineStr">
        <is>
          <t>ws. bei GF</t>
        </is>
      </c>
      <c r="N648" t="inlineStr">
        <is>
          <t xml:space="preserve">Biblia, lat. : </t>
        </is>
      </c>
      <c r="O648" t="inlineStr">
        <is>
          <t xml:space="preserve"> : </t>
        </is>
      </c>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n">
        <v>0</v>
      </c>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t>
        </is>
      </c>
      <c r="B649" t="b">
        <v>1</v>
      </c>
      <c r="C649" t="inlineStr">
        <is>
          <t>x</t>
        </is>
      </c>
      <c r="D649" t="inlineStr"/>
      <c r="E649" t="n">
        <v>641</v>
      </c>
      <c r="F649">
        <f>HYPERLINK("https://portal.dnb.de/opac.htm?method=simpleSearch&amp;cqlMode=true&amp;query=idn%3D1066972974", "Portal")</f>
        <v/>
      </c>
      <c r="G649" t="inlineStr">
        <is>
          <t>Aa</t>
        </is>
      </c>
      <c r="H649" t="inlineStr">
        <is>
          <t>L-1493-315503351</t>
        </is>
      </c>
      <c r="I649" t="inlineStr">
        <is>
          <t>1066972974</t>
        </is>
      </c>
      <c r="J649" t="inlineStr">
        <is>
          <t>II 82,27c</t>
        </is>
      </c>
      <c r="K649" t="inlineStr">
        <is>
          <t>II 82,27c</t>
        </is>
      </c>
      <c r="L649" t="inlineStr">
        <is>
          <t>II 82,27c</t>
        </is>
      </c>
      <c r="M649" t="inlineStr"/>
      <c r="N649" t="inlineStr">
        <is>
          <t xml:space="preserve">Facta et dicta memorabilia : </t>
        </is>
      </c>
      <c r="O649" t="inlineStr">
        <is>
          <t xml:space="preserve"> : </t>
        </is>
      </c>
      <c r="P649" t="inlineStr"/>
      <c r="Q649" t="inlineStr">
        <is>
          <t>5577,00 EUR</t>
        </is>
      </c>
      <c r="R649" t="inlineStr"/>
      <c r="S649" t="inlineStr">
        <is>
          <t>bis 35 cm</t>
        </is>
      </c>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is>
          <t>HL</t>
        </is>
      </c>
      <c r="AJ649" t="inlineStr"/>
      <c r="AK649" t="inlineStr">
        <is>
          <t>x</t>
        </is>
      </c>
      <c r="AL649" t="inlineStr"/>
      <c r="AM649" t="inlineStr">
        <is>
          <t>f/V</t>
        </is>
      </c>
      <c r="AN649" t="inlineStr"/>
      <c r="AO649" t="inlineStr"/>
      <c r="AP649" t="inlineStr"/>
      <c r="AQ649" t="inlineStr"/>
      <c r="AR649" t="inlineStr"/>
      <c r="AS649" t="inlineStr">
        <is>
          <t>Pa</t>
        </is>
      </c>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is>
          <t>max 110</t>
        </is>
      </c>
      <c r="BH649" t="inlineStr"/>
      <c r="BI649" t="inlineStr"/>
      <c r="BJ649" t="inlineStr"/>
      <c r="BK649" t="inlineStr"/>
      <c r="BL649" t="inlineStr"/>
      <c r="BM649" t="inlineStr">
        <is>
          <t>ja vor</t>
        </is>
      </c>
      <c r="BN649" t="n">
        <v>1</v>
      </c>
      <c r="BO649" t="inlineStr"/>
      <c r="BP649" t="inlineStr">
        <is>
          <t>Wellpappe</t>
        </is>
      </c>
      <c r="BQ649" t="inlineStr"/>
      <c r="BR649" t="inlineStr"/>
      <c r="BS649" t="inlineStr"/>
      <c r="BT649" t="inlineStr"/>
      <c r="BU649" t="inlineStr"/>
      <c r="BV649" t="inlineStr"/>
      <c r="BW649" t="inlineStr">
        <is>
          <t>x max 110</t>
        </is>
      </c>
      <c r="BX649" t="inlineStr"/>
      <c r="BY649" t="inlineStr"/>
      <c r="BZ649" t="inlineStr"/>
      <c r="CA649" t="inlineStr">
        <is>
          <t>x</t>
        </is>
      </c>
      <c r="CB649" t="inlineStr">
        <is>
          <t>x</t>
        </is>
      </c>
      <c r="CC649" t="inlineStr"/>
      <c r="CD649" t="inlineStr">
        <is>
          <t>v</t>
        </is>
      </c>
      <c r="CE649" t="inlineStr"/>
      <c r="CF649" t="inlineStr"/>
      <c r="CG649" t="inlineStr"/>
      <c r="CH649" t="inlineStr"/>
      <c r="CI649" t="inlineStr"/>
      <c r="CJ649" t="inlineStr"/>
      <c r="CK649" t="inlineStr"/>
      <c r="CL649" t="inlineStr"/>
      <c r="CM649" t="n">
        <v>1</v>
      </c>
      <c r="CN649" t="inlineStr">
        <is>
          <t>nur loses Leder fixieren und Ecken stabilisieren, Gelenk belassen (ist stabil)</t>
        </is>
      </c>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t>
        </is>
      </c>
      <c r="B650" t="b">
        <v>1</v>
      </c>
      <c r="C650" t="inlineStr"/>
      <c r="D650" t="inlineStr"/>
      <c r="E650" t="n">
        <v>642</v>
      </c>
      <c r="F650">
        <f>HYPERLINK("https://portal.dnb.de/opac.htm?method=simpleSearch&amp;cqlMode=true&amp;query=idn%3D1066970726", "Portal")</f>
        <v/>
      </c>
      <c r="G650" t="inlineStr">
        <is>
          <t>Aaf</t>
        </is>
      </c>
      <c r="H650" t="inlineStr">
        <is>
          <t>L-1490-315501073</t>
        </is>
      </c>
      <c r="I650" t="inlineStr">
        <is>
          <t>1066970726</t>
        </is>
      </c>
      <c r="J650" t="inlineStr">
        <is>
          <t>II 82,28a</t>
        </is>
      </c>
      <c r="K650" t="inlineStr">
        <is>
          <t>II 82,28a</t>
        </is>
      </c>
      <c r="L650" t="inlineStr">
        <is>
          <t>II 82,28a</t>
        </is>
      </c>
      <c r="M650" t="inlineStr"/>
      <c r="N650" t="inlineStr">
        <is>
          <t xml:space="preserve">De priscorum proprietate verborum : </t>
        </is>
      </c>
      <c r="O650" t="inlineStr">
        <is>
          <t xml:space="preserve"> : </t>
        </is>
      </c>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HL</t>
        </is>
      </c>
      <c r="AJ650" t="inlineStr"/>
      <c r="AK650" t="inlineStr">
        <is>
          <t>x</t>
        </is>
      </c>
      <c r="AL650" t="inlineStr"/>
      <c r="AM650" t="inlineStr">
        <is>
          <t>h/E</t>
        </is>
      </c>
      <c r="AN650" t="inlineStr"/>
      <c r="AO650" t="inlineStr"/>
      <c r="AP650" t="inlineStr"/>
      <c r="AQ650" t="inlineStr"/>
      <c r="AR650" t="inlineStr"/>
      <c r="AS650" t="inlineStr">
        <is>
          <t>Pa</t>
        </is>
      </c>
      <c r="AT650" t="inlineStr"/>
      <c r="AU650" t="inlineStr"/>
      <c r="AV650" t="inlineStr"/>
      <c r="AW650" t="inlineStr">
        <is>
          <t>x</t>
        </is>
      </c>
      <c r="AX650" t="inlineStr"/>
      <c r="AY650" t="inlineStr"/>
      <c r="AZ650" t="inlineStr"/>
      <c r="BA650" t="inlineStr"/>
      <c r="BB650" t="inlineStr"/>
      <c r="BC650" t="inlineStr"/>
      <c r="BD650" t="inlineStr"/>
      <c r="BE650" t="n">
        <v>0</v>
      </c>
      <c r="BF650" t="inlineStr">
        <is>
          <t>x</t>
        </is>
      </c>
      <c r="BG650" t="n">
        <v>80</v>
      </c>
      <c r="BH650" t="inlineStr"/>
      <c r="BI650" t="inlineStr"/>
      <c r="BJ650" t="inlineStr"/>
      <c r="BK650" t="inlineStr"/>
      <c r="BL650" t="inlineStr"/>
      <c r="BM650" t="inlineStr">
        <is>
          <t>n</t>
        </is>
      </c>
      <c r="BN650" t="n">
        <v>0</v>
      </c>
      <c r="BO650" t="inlineStr"/>
      <c r="BP650" t="inlineStr">
        <is>
          <t>Wellpappe</t>
        </is>
      </c>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t>
        </is>
      </c>
      <c r="B651" t="b">
        <v>1</v>
      </c>
      <c r="C651" t="inlineStr"/>
      <c r="D651" t="inlineStr"/>
      <c r="E651" t="n">
        <v>643</v>
      </c>
      <c r="F651">
        <f>HYPERLINK("https://portal.dnb.de/opac.htm?method=simpleSearch&amp;cqlMode=true&amp;query=idn%3D1066967660", "Portal")</f>
        <v/>
      </c>
      <c r="G651" t="inlineStr">
        <is>
          <t>Aaf</t>
        </is>
      </c>
      <c r="H651" t="inlineStr">
        <is>
          <t>L-1477-315497920</t>
        </is>
      </c>
      <c r="I651" t="inlineStr">
        <is>
          <t>1066967660</t>
        </is>
      </c>
      <c r="J651" t="inlineStr">
        <is>
          <t>II 82,28 b</t>
        </is>
      </c>
      <c r="K651" t="inlineStr">
        <is>
          <t>II 82,28 b</t>
        </is>
      </c>
      <c r="L651" t="inlineStr">
        <is>
          <t>II 82,28b</t>
        </is>
      </c>
      <c r="M651" t="inlineStr">
        <is>
          <t>ws. bei GF</t>
        </is>
      </c>
      <c r="N651" t="inlineStr">
        <is>
          <t xml:space="preserve">Corpus iuris civilis. Digesta Iustiniani. Infortiatum : </t>
        </is>
      </c>
      <c r="O651" t="inlineStr">
        <is>
          <t xml:space="preserve"> : </t>
        </is>
      </c>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n">
        <v>0</v>
      </c>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t>
        </is>
      </c>
      <c r="B652" t="b">
        <v>1</v>
      </c>
      <c r="C652" t="inlineStr"/>
      <c r="D652" t="inlineStr"/>
      <c r="E652" t="n">
        <v>644</v>
      </c>
      <c r="F652">
        <f>HYPERLINK("https://portal.dnb.de/opac.htm?method=simpleSearch&amp;cqlMode=true&amp;query=idn%3D106696744X", "Portal")</f>
        <v/>
      </c>
      <c r="G652" t="inlineStr">
        <is>
          <t>Aa</t>
        </is>
      </c>
      <c r="H652" t="inlineStr">
        <is>
          <t>L-1487-31549770X</t>
        </is>
      </c>
      <c r="I652" t="inlineStr">
        <is>
          <t>106696744X</t>
        </is>
      </c>
      <c r="J652" t="inlineStr">
        <is>
          <t>II 82,29a</t>
        </is>
      </c>
      <c r="K652" t="inlineStr">
        <is>
          <t>II 82,29a</t>
        </is>
      </c>
      <c r="L652" t="inlineStr">
        <is>
          <t>II 82,29a</t>
        </is>
      </c>
      <c r="M652" t="inlineStr"/>
      <c r="N652" t="inlineStr">
        <is>
          <t xml:space="preserve">De inventione sive Rhetorica vetus : </t>
        </is>
      </c>
      <c r="O652" t="inlineStr">
        <is>
          <t xml:space="preserve"> : </t>
        </is>
      </c>
      <c r="P652" t="inlineStr"/>
      <c r="Q652" t="inlineStr"/>
      <c r="R652" t="inlineStr"/>
      <c r="S652" t="inlineStr">
        <is>
          <t>bis 35 cm</t>
        </is>
      </c>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is>
          <t>Pg</t>
        </is>
      </c>
      <c r="AJ652" t="inlineStr"/>
      <c r="AK652" t="inlineStr"/>
      <c r="AL652" t="inlineStr">
        <is>
          <t>x</t>
        </is>
      </c>
      <c r="AM652" t="inlineStr">
        <is>
          <t>h/E</t>
        </is>
      </c>
      <c r="AN652" t="inlineStr"/>
      <c r="AO652" t="inlineStr"/>
      <c r="AP652" t="inlineStr"/>
      <c r="AQ652" t="inlineStr"/>
      <c r="AR652" t="inlineStr"/>
      <c r="AS652" t="inlineStr">
        <is>
          <t>Pa</t>
        </is>
      </c>
      <c r="AT652" t="inlineStr"/>
      <c r="AU652" t="inlineStr"/>
      <c r="AV652" t="inlineStr"/>
      <c r="AW652" t="inlineStr"/>
      <c r="AX652" t="inlineStr"/>
      <c r="AY652" t="inlineStr"/>
      <c r="AZ652" t="inlineStr"/>
      <c r="BA652" t="inlineStr"/>
      <c r="BB652" t="inlineStr"/>
      <c r="BC652" t="inlineStr"/>
      <c r="BD652" t="inlineStr"/>
      <c r="BE652" t="inlineStr"/>
      <c r="BF652" t="inlineStr"/>
      <c r="BG652" t="n">
        <v>180</v>
      </c>
      <c r="BH652" t="inlineStr"/>
      <c r="BI652" t="inlineStr"/>
      <c r="BJ652" t="inlineStr"/>
      <c r="BK652" t="inlineStr"/>
      <c r="BL652" t="inlineStr"/>
      <c r="BM652" t="inlineStr">
        <is>
          <t>n</t>
        </is>
      </c>
      <c r="BN652" t="n">
        <v>0</v>
      </c>
      <c r="BO652" t="inlineStr"/>
      <c r="BP652" t="inlineStr">
        <is>
          <t>Wellpappe</t>
        </is>
      </c>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t>
        </is>
      </c>
      <c r="B653" t="b">
        <v>1</v>
      </c>
      <c r="C653" t="inlineStr">
        <is>
          <t>x</t>
        </is>
      </c>
      <c r="D653" t="inlineStr"/>
      <c r="E653" t="n">
        <v>645</v>
      </c>
      <c r="F653">
        <f>HYPERLINK("https://portal.dnb.de/opac.htm?method=simpleSearch&amp;cqlMode=true&amp;query=idn%3D1066967466", "Portal")</f>
        <v/>
      </c>
      <c r="G653" t="inlineStr">
        <is>
          <t>Aaf</t>
        </is>
      </c>
      <c r="H653" t="inlineStr">
        <is>
          <t>L-1487-315497726</t>
        </is>
      </c>
      <c r="I653" t="inlineStr">
        <is>
          <t>1066967466</t>
        </is>
      </c>
      <c r="J653" t="inlineStr">
        <is>
          <t>II 82,29b</t>
        </is>
      </c>
      <c r="K653" t="inlineStr">
        <is>
          <t>II 82,29b</t>
        </is>
      </c>
      <c r="L653" t="inlineStr">
        <is>
          <t>II 82,29b</t>
        </is>
      </c>
      <c r="M653" t="inlineStr"/>
      <c r="N653" t="inlineStr">
        <is>
          <t xml:space="preserve">De officiis : </t>
        </is>
      </c>
      <c r="O653" t="inlineStr">
        <is>
          <t xml:space="preserve"> : </t>
        </is>
      </c>
      <c r="P653" t="inlineStr"/>
      <c r="Q653" t="inlineStr">
        <is>
          <t>9000,00 EUR</t>
        </is>
      </c>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Pg</t>
        </is>
      </c>
      <c r="AJ653" t="inlineStr"/>
      <c r="AK653" t="inlineStr"/>
      <c r="AL653" t="inlineStr">
        <is>
          <t>x</t>
        </is>
      </c>
      <c r="AM653" t="inlineStr">
        <is>
          <t>h/E</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c r="BI653" t="inlineStr"/>
      <c r="BJ653" t="inlineStr"/>
      <c r="BK653" t="inlineStr"/>
      <c r="BL653" t="inlineStr"/>
      <c r="BM653" t="inlineStr">
        <is>
          <t>ja vor</t>
        </is>
      </c>
      <c r="BN653" t="n">
        <v>0.5</v>
      </c>
      <c r="BO653" t="inlineStr"/>
      <c r="BP653" t="inlineStr">
        <is>
          <t>Wellpappe</t>
        </is>
      </c>
      <c r="BQ653" t="inlineStr"/>
      <c r="BR653" t="inlineStr"/>
      <c r="BS653" t="inlineStr"/>
      <c r="BT653" t="inlineStr"/>
      <c r="BU653" t="inlineStr"/>
      <c r="BV653" t="inlineStr"/>
      <c r="BW653" t="inlineStr"/>
      <c r="BX653" t="inlineStr"/>
      <c r="BY653" t="inlineStr"/>
      <c r="BZ653" t="inlineStr"/>
      <c r="CA653" t="inlineStr"/>
      <c r="CB653" t="inlineStr">
        <is>
          <t>x</t>
        </is>
      </c>
      <c r="CC653" t="inlineStr"/>
      <c r="CD653" t="inlineStr"/>
      <c r="CE653" t="inlineStr"/>
      <c r="CF653" t="inlineStr"/>
      <c r="CG653" t="inlineStr"/>
      <c r="CH653" t="inlineStr"/>
      <c r="CI653" t="inlineStr"/>
      <c r="CJ653" t="inlineStr"/>
      <c r="CK653" t="inlineStr"/>
      <c r="CL653" t="inlineStr"/>
      <c r="CM653" t="n">
        <v>0.5</v>
      </c>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t>
        </is>
      </c>
      <c r="B654" t="b">
        <v>1</v>
      </c>
      <c r="C654" t="inlineStr"/>
      <c r="D654" t="inlineStr"/>
      <c r="E654" t="inlineStr"/>
      <c r="F654">
        <f>HYPERLINK("https://portal.dnb.de/opac.htm?method=simpleSearch&amp;cqlMode=true&amp;query=idn%3D1268948691", "Portal")</f>
        <v/>
      </c>
      <c r="G654" t="inlineStr">
        <is>
          <t>Qd</t>
        </is>
      </c>
      <c r="H654" t="inlineStr">
        <is>
          <t>L-1489-834331055</t>
        </is>
      </c>
      <c r="I654" t="inlineStr">
        <is>
          <t>1268948691</t>
        </is>
      </c>
      <c r="J654" t="inlineStr">
        <is>
          <t>II 82,30a</t>
        </is>
      </c>
      <c r="K654" t="inlineStr">
        <is>
          <t>II 82,30a</t>
        </is>
      </c>
      <c r="L654" t="inlineStr">
        <is>
          <t>II 82,30a</t>
        </is>
      </c>
      <c r="M654" t="inlineStr"/>
      <c r="N654" t="inlineStr">
        <is>
          <t xml:space="preserve">Sammelband mit drei Inkunabeln, gedruckt in Venedig von Paganinus de Paganinis : </t>
        </is>
      </c>
      <c r="O654" t="inlineStr">
        <is>
          <t xml:space="preserve"> : </t>
        </is>
      </c>
      <c r="P654" t="inlineStr"/>
      <c r="Q654" t="inlineStr"/>
      <c r="R654" t="inlineStr"/>
      <c r="S654" t="inlineStr">
        <is>
          <t>bis 25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HL</t>
        </is>
      </c>
      <c r="AJ654" t="inlineStr"/>
      <c r="AK654" t="inlineStr">
        <is>
          <t>x</t>
        </is>
      </c>
      <c r="AL654" t="inlineStr"/>
      <c r="AM654" t="inlineStr">
        <is>
          <t>h/E</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110</v>
      </c>
      <c r="BH654" t="inlineStr"/>
      <c r="BI654" t="inlineStr"/>
      <c r="BJ654" t="inlineStr"/>
      <c r="BK654" t="inlineStr"/>
      <c r="BL654" t="inlineStr"/>
      <c r="BM654" t="inlineStr">
        <is>
          <t>n</t>
        </is>
      </c>
      <c r="BN654" t="n">
        <v>0</v>
      </c>
      <c r="BO654" t="inlineStr"/>
      <c r="BP654" t="inlineStr">
        <is>
          <t>Wellpappe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t>
        </is>
      </c>
      <c r="B655" t="b">
        <v>1</v>
      </c>
      <c r="C655" t="inlineStr"/>
      <c r="D655" t="inlineStr"/>
      <c r="E655" t="n">
        <v>650</v>
      </c>
      <c r="F655">
        <f>HYPERLINK("https://portal.dnb.de/opac.htm?method=simpleSearch&amp;cqlMode=true&amp;query=idn%3D1066971919", "Portal")</f>
        <v/>
      </c>
      <c r="G655" t="inlineStr">
        <is>
          <t>Aa</t>
        </is>
      </c>
      <c r="H655" t="inlineStr">
        <is>
          <t>L-1496-343709120</t>
        </is>
      </c>
      <c r="I655" t="inlineStr">
        <is>
          <t>1066971919</t>
        </is>
      </c>
      <c r="J655" t="inlineStr">
        <is>
          <t>II 82,31a - Fragm.</t>
        </is>
      </c>
      <c r="K655" t="inlineStr">
        <is>
          <t>II 82,31a - Fragm.</t>
        </is>
      </c>
      <c r="L655" t="inlineStr">
        <is>
          <t>II 82,31a - Fragm.</t>
        </is>
      </c>
      <c r="M655" t="inlineStr">
        <is>
          <t>ws. bei GF</t>
        </is>
      </c>
      <c r="N655" t="inlineStr">
        <is>
          <t xml:space="preserve">Epitoma in Almagestum Ptolemaei : </t>
        </is>
      </c>
      <c r="O655" t="inlineStr">
        <is>
          <t xml:space="preserve"> : </t>
        </is>
      </c>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n">
        <v>0</v>
      </c>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t>
        </is>
      </c>
      <c r="B656" t="b">
        <v>1</v>
      </c>
      <c r="C656" t="inlineStr"/>
      <c r="D656" t="inlineStr"/>
      <c r="E656" t="n">
        <v>651</v>
      </c>
      <c r="F656">
        <f>HYPERLINK("https://portal.dnb.de/opac.htm?method=simpleSearch&amp;cqlMode=true&amp;query=idn%3D1066971633", "Portal")</f>
        <v/>
      </c>
      <c r="G656" t="inlineStr">
        <is>
          <t>Aaf</t>
        </is>
      </c>
      <c r="H656" t="inlineStr">
        <is>
          <t>L-1491-315502010</t>
        </is>
      </c>
      <c r="I656" t="inlineStr">
        <is>
          <t>1066971633</t>
        </is>
      </c>
      <c r="J656" t="inlineStr">
        <is>
          <t>II 82,32a</t>
        </is>
      </c>
      <c r="K656" t="inlineStr">
        <is>
          <t>II 82,32a</t>
        </is>
      </c>
      <c r="L656" t="inlineStr">
        <is>
          <t>II 82,32a</t>
        </is>
      </c>
      <c r="M656" t="inlineStr"/>
      <c r="N656" t="inlineStr">
        <is>
          <t xml:space="preserve">Opera, lat. : </t>
        </is>
      </c>
      <c r="O656" t="inlineStr">
        <is>
          <t xml:space="preserve"> : </t>
        </is>
      </c>
      <c r="P656" t="inlineStr"/>
      <c r="Q656" t="inlineStr"/>
      <c r="R656" t="inlineStr"/>
      <c r="S656" t="inlineStr">
        <is>
          <t>bis 35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HL</t>
        </is>
      </c>
      <c r="AJ656" t="inlineStr"/>
      <c r="AK656" t="inlineStr">
        <is>
          <t>x</t>
        </is>
      </c>
      <c r="AL656" t="inlineStr"/>
      <c r="AM656" t="inlineStr">
        <is>
          <t>f/V</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n">
        <v>80</v>
      </c>
      <c r="BH656" t="inlineStr"/>
      <c r="BI656" t="inlineStr"/>
      <c r="BJ656" t="inlineStr"/>
      <c r="BK656" t="inlineStr"/>
      <c r="BL656" t="inlineStr"/>
      <c r="BM656" t="inlineStr">
        <is>
          <t>n</t>
        </is>
      </c>
      <c r="BN656" t="n">
        <v>0</v>
      </c>
      <c r="BO656" t="inlineStr"/>
      <c r="BP656" t="inlineStr">
        <is>
          <t>Wellpappe</t>
        </is>
      </c>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t>
        </is>
      </c>
      <c r="B657" t="b">
        <v>1</v>
      </c>
      <c r="C657" t="inlineStr"/>
      <c r="D657" t="inlineStr"/>
      <c r="E657" t="inlineStr"/>
      <c r="F657">
        <f>HYPERLINK("https://portal.dnb.de/opac.htm?method=simpleSearch&amp;cqlMode=true&amp;query=idn%3D1268940860", "Portal")</f>
        <v/>
      </c>
      <c r="G657" t="inlineStr">
        <is>
          <t>Qd</t>
        </is>
      </c>
      <c r="H657" t="inlineStr">
        <is>
          <t>L-1490-834322595</t>
        </is>
      </c>
      <c r="I657" t="inlineStr">
        <is>
          <t>1268940860</t>
        </is>
      </c>
      <c r="J657" t="inlineStr">
        <is>
          <t>II 82,33 b</t>
        </is>
      </c>
      <c r="K657" t="inlineStr">
        <is>
          <t>II 82,33 b</t>
        </is>
      </c>
      <c r="L657" t="inlineStr">
        <is>
          <t>II 82,33 b</t>
        </is>
      </c>
      <c r="M657" t="inlineStr"/>
      <c r="N657" t="inlineStr">
        <is>
          <t xml:space="preserve">Sammelband mit zwei Inkunabeln, gedruckt in Venedig : </t>
        </is>
      </c>
      <c r="O657" t="inlineStr">
        <is>
          <t xml:space="preserve"> : </t>
        </is>
      </c>
      <c r="P657" t="inlineStr"/>
      <c r="Q657" t="inlineStr"/>
      <c r="R657" t="inlineStr"/>
      <c r="S657" t="inlineStr">
        <is>
          <t>bis 35 cm</t>
        </is>
      </c>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is>
          <t>Pg</t>
        </is>
      </c>
      <c r="AJ657" t="inlineStr"/>
      <c r="AK657" t="inlineStr"/>
      <c r="AL657" t="inlineStr">
        <is>
          <t>x</t>
        </is>
      </c>
      <c r="AM657" t="inlineStr">
        <is>
          <t>h/E</t>
        </is>
      </c>
      <c r="AN657" t="inlineStr"/>
      <c r="AO657" t="inlineStr"/>
      <c r="AP657" t="inlineStr"/>
      <c r="AQ657" t="inlineStr"/>
      <c r="AR657" t="inlineStr"/>
      <c r="AS657" t="inlineStr">
        <is>
          <t>Pa</t>
        </is>
      </c>
      <c r="AT657" t="inlineStr"/>
      <c r="AU657" t="inlineStr"/>
      <c r="AV657" t="inlineStr"/>
      <c r="AW657" t="inlineStr"/>
      <c r="AX657" t="inlineStr"/>
      <c r="AY657" t="inlineStr"/>
      <c r="AZ657" t="inlineStr"/>
      <c r="BA657" t="inlineStr"/>
      <c r="BB657" t="inlineStr"/>
      <c r="BC657" t="inlineStr"/>
      <c r="BD657" t="inlineStr"/>
      <c r="BE657" t="inlineStr"/>
      <c r="BF657" t="inlineStr"/>
      <c r="BG657" t="n">
        <v>110</v>
      </c>
      <c r="BH657" t="inlineStr"/>
      <c r="BI657" t="inlineStr"/>
      <c r="BJ657" t="inlineStr"/>
      <c r="BK657" t="inlineStr"/>
      <c r="BL657" t="inlineStr"/>
      <c r="BM657" t="inlineStr">
        <is>
          <t>n</t>
        </is>
      </c>
      <c r="BN657" t="n">
        <v>0</v>
      </c>
      <c r="BO657" t="inlineStr"/>
      <c r="BP657" t="inlineStr">
        <is>
          <t>Wellpappe</t>
        </is>
      </c>
      <c r="BQ657" t="inlineStr"/>
      <c r="BR657" t="inlineStr"/>
      <c r="BS657" t="inlineStr"/>
      <c r="BT657" t="inlineStr"/>
      <c r="BU657" t="inlineStr"/>
      <c r="BV657" t="inlineStr"/>
      <c r="BW657" t="inlineStr">
        <is>
          <t>x 110</t>
        </is>
      </c>
      <c r="BX657" t="inlineStr">
        <is>
          <t xml:space="preserve">
Neueinband</t>
        </is>
      </c>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t>
        </is>
      </c>
      <c r="B658" t="b">
        <v>1</v>
      </c>
      <c r="C658" t="inlineStr"/>
      <c r="D658" t="inlineStr"/>
      <c r="E658" t="n">
        <v>654</v>
      </c>
      <c r="F658">
        <f>HYPERLINK("https://portal.dnb.de/opac.htm?method=simpleSearch&amp;cqlMode=true&amp;query=idn%3D1072184923", "Portal")</f>
        <v/>
      </c>
      <c r="G658" t="inlineStr">
        <is>
          <t>Aa</t>
        </is>
      </c>
      <c r="H658" t="inlineStr">
        <is>
          <t>L-1496-327017562</t>
        </is>
      </c>
      <c r="I658" t="inlineStr">
        <is>
          <t>1072184923</t>
        </is>
      </c>
      <c r="J658" t="inlineStr">
        <is>
          <t>II 82,34a</t>
        </is>
      </c>
      <c r="K658" t="inlineStr">
        <is>
          <t>II 82,34a</t>
        </is>
      </c>
      <c r="L658" t="inlineStr">
        <is>
          <t>II 82,34a</t>
        </is>
      </c>
      <c r="M658" t="inlineStr"/>
      <c r="N658" t="inlineStr">
        <is>
          <t xml:space="preserve">Opera : </t>
        </is>
      </c>
      <c r="O658" t="inlineStr">
        <is>
          <t xml:space="preserve"> : </t>
        </is>
      </c>
      <c r="P658" t="inlineStr"/>
      <c r="Q658" t="inlineStr"/>
      <c r="R658" t="inlineStr"/>
      <c r="S658" t="inlineStr">
        <is>
          <t>bis 35 cm</t>
        </is>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is>
          <t>HL</t>
        </is>
      </c>
      <c r="AJ658" t="inlineStr"/>
      <c r="AK658" t="inlineStr">
        <is>
          <t>x</t>
        </is>
      </c>
      <c r="AL658" t="inlineStr">
        <is>
          <t>x</t>
        </is>
      </c>
      <c r="AM658" t="inlineStr">
        <is>
          <t>h/E</t>
        </is>
      </c>
      <c r="AN658" t="inlineStr"/>
      <c r="AO658" t="inlineStr"/>
      <c r="AP658" t="inlineStr"/>
      <c r="AQ658" t="inlineStr"/>
      <c r="AR658" t="inlineStr"/>
      <c r="AS658" t="inlineStr">
        <is>
          <t>Pa</t>
        </is>
      </c>
      <c r="AT658" t="inlineStr"/>
      <c r="AU658" t="inlineStr"/>
      <c r="AV658" t="inlineStr"/>
      <c r="AW658" t="inlineStr"/>
      <c r="AX658" t="inlineStr"/>
      <c r="AY658" t="inlineStr"/>
      <c r="AZ658" t="inlineStr"/>
      <c r="BA658" t="inlineStr"/>
      <c r="BB658" t="inlineStr"/>
      <c r="BC658" t="inlineStr">
        <is>
          <t>I/R</t>
        </is>
      </c>
      <c r="BD658" t="inlineStr">
        <is>
          <t>x</t>
        </is>
      </c>
      <c r="BE658" t="inlineStr"/>
      <c r="BF658" t="inlineStr"/>
      <c r="BG658" t="n">
        <v>110</v>
      </c>
      <c r="BH658" t="inlineStr"/>
      <c r="BI658" t="inlineStr"/>
      <c r="BJ658" t="inlineStr"/>
      <c r="BK658" t="inlineStr"/>
      <c r="BL658" t="inlineStr"/>
      <c r="BM658" t="inlineStr">
        <is>
          <t>n</t>
        </is>
      </c>
      <c r="BN658" t="n">
        <v>0</v>
      </c>
      <c r="BO658" t="inlineStr"/>
      <c r="BP658" t="inlineStr">
        <is>
          <t>Wellpappe</t>
        </is>
      </c>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t>
        </is>
      </c>
      <c r="B659" t="b">
        <v>1</v>
      </c>
      <c r="C659" t="inlineStr">
        <is>
          <t>x</t>
        </is>
      </c>
      <c r="D659" t="inlineStr"/>
      <c r="E659" t="n">
        <v>655</v>
      </c>
      <c r="F659">
        <f>HYPERLINK("https://portal.dnb.de/opac.htm?method=simpleSearch&amp;cqlMode=true&amp;query=idn%3D1066967776", "Portal")</f>
        <v/>
      </c>
      <c r="G659" t="inlineStr">
        <is>
          <t>Aaf</t>
        </is>
      </c>
      <c r="H659" t="inlineStr">
        <is>
          <t>L-1497-315498048</t>
        </is>
      </c>
      <c r="I659" t="inlineStr">
        <is>
          <t>1066967776</t>
        </is>
      </c>
      <c r="J659" t="inlineStr">
        <is>
          <t>II 82,34c</t>
        </is>
      </c>
      <c r="K659" t="inlineStr">
        <is>
          <t>II 82,34c</t>
        </is>
      </c>
      <c r="L659" t="inlineStr">
        <is>
          <t>II 82,34c</t>
        </is>
      </c>
      <c r="M659" t="inlineStr"/>
      <c r="N659" t="inlineStr">
        <is>
          <t xml:space="preserve">Vitae et sententiae philosophorum : </t>
        </is>
      </c>
      <c r="O659" t="inlineStr">
        <is>
          <t xml:space="preserve"> : </t>
        </is>
      </c>
      <c r="P659" t="inlineStr"/>
      <c r="Q659" t="inlineStr">
        <is>
          <t>1000,00 EUR</t>
        </is>
      </c>
      <c r="R659" t="inlineStr"/>
      <c r="S659" t="inlineStr">
        <is>
          <t>bis 35 cm</t>
        </is>
      </c>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is>
          <t>HL</t>
        </is>
      </c>
      <c r="AJ659" t="inlineStr"/>
      <c r="AK659" t="inlineStr">
        <is>
          <t>x</t>
        </is>
      </c>
      <c r="AL659" t="inlineStr"/>
      <c r="AM659" t="inlineStr">
        <is>
          <t>h/E</t>
        </is>
      </c>
      <c r="AN659" t="inlineStr"/>
      <c r="AO659" t="inlineStr"/>
      <c r="AP659" t="inlineStr"/>
      <c r="AQ659" t="inlineStr"/>
      <c r="AR659" t="inlineStr"/>
      <c r="AS659" t="inlineStr">
        <is>
          <t>Pa</t>
        </is>
      </c>
      <c r="AT659" t="inlineStr"/>
      <c r="AU659" t="inlineStr"/>
      <c r="AV659" t="inlineStr"/>
      <c r="AW659" t="inlineStr"/>
      <c r="AX659" t="inlineStr"/>
      <c r="AY659" t="inlineStr"/>
      <c r="AZ659" t="inlineStr"/>
      <c r="BA659" t="inlineStr"/>
      <c r="BB659" t="inlineStr"/>
      <c r="BC659" t="inlineStr"/>
      <c r="BD659" t="inlineStr"/>
      <c r="BE659" t="inlineStr"/>
      <c r="BF659" t="inlineStr"/>
      <c r="BG659" t="n">
        <v>110</v>
      </c>
      <c r="BH659" t="inlineStr">
        <is>
          <t xml:space="preserve">
ÖW nach Rest. ggf. überdenken</t>
        </is>
      </c>
      <c r="BI659" t="inlineStr"/>
      <c r="BJ659" t="inlineStr"/>
      <c r="BK659" t="inlineStr"/>
      <c r="BL659" t="inlineStr"/>
      <c r="BM659" t="inlineStr">
        <is>
          <t>ja vor</t>
        </is>
      </c>
      <c r="BN659" t="n">
        <v>0.5</v>
      </c>
      <c r="BO659" t="inlineStr"/>
      <c r="BP659" t="inlineStr">
        <is>
          <t>Wellpappe</t>
        </is>
      </c>
      <c r="BQ659" t="inlineStr"/>
      <c r="BR659" t="inlineStr"/>
      <c r="BS659" t="inlineStr"/>
      <c r="BT659" t="inlineStr"/>
      <c r="BU659" t="inlineStr"/>
      <c r="BV659" t="inlineStr"/>
      <c r="BW659" t="inlineStr"/>
      <c r="BX659" t="inlineStr"/>
      <c r="BY659" t="inlineStr"/>
      <c r="BZ659" t="inlineStr"/>
      <c r="CA659" t="inlineStr">
        <is>
          <t>x</t>
        </is>
      </c>
      <c r="CB659" t="inlineStr"/>
      <c r="CC659" t="inlineStr"/>
      <c r="CD659" t="inlineStr">
        <is>
          <t>v/h</t>
        </is>
      </c>
      <c r="CE659" t="inlineStr"/>
      <c r="CF659" t="inlineStr">
        <is>
          <t>x</t>
        </is>
      </c>
      <c r="CG659" t="inlineStr"/>
      <c r="CH659" t="inlineStr"/>
      <c r="CI659" t="inlineStr"/>
      <c r="CJ659" t="inlineStr"/>
      <c r="CK659" t="inlineStr"/>
      <c r="CL659" t="inlineStr"/>
      <c r="CM659" t="n">
        <v>0.5</v>
      </c>
      <c r="CN659" t="inlineStr">
        <is>
          <t>Hülse sollte aus jetziger Sicht reichen</t>
        </is>
      </c>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t>
        </is>
      </c>
      <c r="B660" t="b">
        <v>1</v>
      </c>
      <c r="C660" t="inlineStr"/>
      <c r="D660" t="inlineStr"/>
      <c r="E660" t="n">
        <v>656</v>
      </c>
      <c r="F660">
        <f>HYPERLINK("https://portal.dnb.de/opac.htm?method=simpleSearch&amp;cqlMode=true&amp;query=idn%3D1066970823", "Portal")</f>
        <v/>
      </c>
      <c r="G660" t="inlineStr">
        <is>
          <t>Aaf</t>
        </is>
      </c>
      <c r="H660" t="inlineStr">
        <is>
          <t>L-1491-315501189</t>
        </is>
      </c>
      <c r="I660" t="inlineStr">
        <is>
          <t>1066970823</t>
        </is>
      </c>
      <c r="J660" t="inlineStr">
        <is>
          <t>II 82,34d</t>
        </is>
      </c>
      <c r="K660" t="inlineStr">
        <is>
          <t>II 82,34d</t>
        </is>
      </c>
      <c r="L660" t="inlineStr">
        <is>
          <t>II 82,34d</t>
        </is>
      </c>
      <c r="M660" t="inlineStr"/>
      <c r="N660" t="inlineStr">
        <is>
          <t xml:space="preserve">Epigrammata : </t>
        </is>
      </c>
      <c r="O660" t="inlineStr">
        <is>
          <t xml:space="preserve"> : </t>
        </is>
      </c>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L</t>
        </is>
      </c>
      <c r="AJ660" t="inlineStr"/>
      <c r="AK660" t="inlineStr"/>
      <c r="AL660" t="inlineStr">
        <is>
          <t>x</t>
        </is>
      </c>
      <c r="AM660" t="inlineStr">
        <is>
          <t>f/V</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110</v>
      </c>
      <c r="BH660" t="inlineStr"/>
      <c r="BI660" t="inlineStr"/>
      <c r="BJ660" t="inlineStr"/>
      <c r="BK660" t="inlineStr">
        <is>
          <t>x</t>
        </is>
      </c>
      <c r="BL660" t="inlineStr"/>
      <c r="BM660" t="inlineStr">
        <is>
          <t>n</t>
        </is>
      </c>
      <c r="BN660" t="n">
        <v>0</v>
      </c>
      <c r="BO660" t="inlineStr"/>
      <c r="BP660" t="inlineStr">
        <is>
          <t>Gewebe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t>
        </is>
      </c>
      <c r="B661" t="b">
        <v>1</v>
      </c>
      <c r="C661" t="inlineStr"/>
      <c r="D661" t="inlineStr"/>
      <c r="E661" t="inlineStr"/>
      <c r="F661">
        <f>HYPERLINK("https://portal.dnb.de/opac.htm?method=simpleSearch&amp;cqlMode=true&amp;query=idn%3D1268940054", "Portal")</f>
        <v/>
      </c>
      <c r="G661" t="inlineStr">
        <is>
          <t>Qd</t>
        </is>
      </c>
      <c r="H661" t="inlineStr">
        <is>
          <t>L-1495-834321718</t>
        </is>
      </c>
      <c r="I661" t="inlineStr">
        <is>
          <t>1268940054</t>
        </is>
      </c>
      <c r="J661" t="inlineStr">
        <is>
          <t>II 82,36a</t>
        </is>
      </c>
      <c r="K661" t="inlineStr">
        <is>
          <t>II 82,36a</t>
        </is>
      </c>
      <c r="L661" t="inlineStr">
        <is>
          <t>II 82,36a</t>
        </is>
      </c>
      <c r="M661" t="inlineStr"/>
      <c r="N661" t="inlineStr">
        <is>
          <t xml:space="preserve">Sammelband mit zwei Inkunabeln, gedruckt in Venedig : </t>
        </is>
      </c>
      <c r="O661" t="inlineStr">
        <is>
          <t xml:space="preserve"> : </t>
        </is>
      </c>
      <c r="P661" t="inlineStr"/>
      <c r="Q661" t="inlineStr"/>
      <c r="R661" t="inlineStr"/>
      <c r="S661" t="inlineStr">
        <is>
          <t>bis 35 cm</t>
        </is>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is>
          <t>HD</t>
        </is>
      </c>
      <c r="AJ661" t="inlineStr">
        <is>
          <t xml:space="preserve">
Erfurter Einband</t>
        </is>
      </c>
      <c r="AK661" t="inlineStr">
        <is>
          <t>x</t>
        </is>
      </c>
      <c r="AL661" t="inlineStr">
        <is>
          <t>x</t>
        </is>
      </c>
      <c r="AM661" t="inlineStr">
        <is>
          <t>f</t>
        </is>
      </c>
      <c r="AN661" t="inlineStr"/>
      <c r="AO661" t="inlineStr"/>
      <c r="AP661" t="inlineStr"/>
      <c r="AQ661" t="inlineStr"/>
      <c r="AR661" t="inlineStr"/>
      <c r="AS661" t="inlineStr">
        <is>
          <t>Pa</t>
        </is>
      </c>
      <c r="AT661" t="inlineStr"/>
      <c r="AU661" t="inlineStr"/>
      <c r="AV661" t="inlineStr"/>
      <c r="AW661" t="inlineStr"/>
      <c r="AX661" t="inlineStr"/>
      <c r="AY661" t="inlineStr"/>
      <c r="AZ661" t="inlineStr"/>
      <c r="BA661" t="inlineStr"/>
      <c r="BB661" t="inlineStr"/>
      <c r="BC661" t="inlineStr"/>
      <c r="BD661" t="inlineStr"/>
      <c r="BE661" t="n">
        <v>2</v>
      </c>
      <c r="BF661" t="inlineStr">
        <is>
          <t>x</t>
        </is>
      </c>
      <c r="BG661" t="n">
        <v>60</v>
      </c>
      <c r="BH661" t="inlineStr"/>
      <c r="BI661" t="inlineStr"/>
      <c r="BJ661" t="inlineStr"/>
      <c r="BK661" t="inlineStr"/>
      <c r="BL661" t="inlineStr"/>
      <c r="BM661" t="inlineStr">
        <is>
          <t>n</t>
        </is>
      </c>
      <c r="BN661" t="n">
        <v>0</v>
      </c>
      <c r="BO661" t="inlineStr"/>
      <c r="BP661" t="inlineStr">
        <is>
          <t>Wellpappe</t>
        </is>
      </c>
      <c r="BQ661" t="inlineStr"/>
      <c r="BR661" t="inlineStr"/>
      <c r="BS661" t="inlineStr"/>
      <c r="BT661" t="inlineStr"/>
      <c r="BU661" t="inlineStr"/>
      <c r="BV661" t="inlineStr">
        <is>
          <t>Erfurter Einband, leider überarbeitet</t>
        </is>
      </c>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t>
        </is>
      </c>
      <c r="B662" t="b">
        <v>1</v>
      </c>
      <c r="C662" t="inlineStr"/>
      <c r="D662" t="inlineStr"/>
      <c r="E662" t="n">
        <v>660</v>
      </c>
      <c r="F662">
        <f>HYPERLINK("https://portal.dnb.de/opac.htm?method=simpleSearch&amp;cqlMode=true&amp;query=idn%3D1066967261", "Portal")</f>
        <v/>
      </c>
      <c r="G662" t="inlineStr">
        <is>
          <t>Aaf</t>
        </is>
      </c>
      <c r="H662" t="inlineStr">
        <is>
          <t>L-1496-315497521</t>
        </is>
      </c>
      <c r="I662" t="inlineStr">
        <is>
          <t>1066967261</t>
        </is>
      </c>
      <c r="J662" t="inlineStr">
        <is>
          <t>II 82,36b</t>
        </is>
      </c>
      <c r="K662" t="inlineStr">
        <is>
          <t>II 82,36b</t>
        </is>
      </c>
      <c r="L662" t="inlineStr">
        <is>
          <t>II 82,36b</t>
        </is>
      </c>
      <c r="M662" t="inlineStr"/>
      <c r="N662" t="inlineStr">
        <is>
          <t xml:space="preserve">Corona aurea : </t>
        </is>
      </c>
      <c r="O662" t="inlineStr">
        <is>
          <t xml:space="preserve"> : </t>
        </is>
      </c>
      <c r="P662" t="inlineStr"/>
      <c r="Q662" t="inlineStr"/>
      <c r="R662" t="inlineStr"/>
      <c r="S662" t="inlineStr">
        <is>
          <t>bis 25 cm</t>
        </is>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is>
          <t>HD</t>
        </is>
      </c>
      <c r="AJ662" t="inlineStr"/>
      <c r="AK662" t="inlineStr"/>
      <c r="AL662" t="inlineStr">
        <is>
          <t>x</t>
        </is>
      </c>
      <c r="AM662" t="inlineStr">
        <is>
          <t>f</t>
        </is>
      </c>
      <c r="AN662" t="inlineStr"/>
      <c r="AO662" t="inlineStr"/>
      <c r="AP662" t="inlineStr"/>
      <c r="AQ662" t="inlineStr"/>
      <c r="AR662" t="inlineStr"/>
      <c r="AS662" t="inlineStr">
        <is>
          <t>Pa</t>
        </is>
      </c>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is>
          <t>max 110</t>
        </is>
      </c>
      <c r="BH662" t="inlineStr"/>
      <c r="BI662" t="inlineStr"/>
      <c r="BJ662" t="inlineStr"/>
      <c r="BK662" t="inlineStr"/>
      <c r="BL662" t="inlineStr"/>
      <c r="BM662" t="inlineStr">
        <is>
          <t>n</t>
        </is>
      </c>
      <c r="BN662" t="n">
        <v>0</v>
      </c>
      <c r="BO662" t="inlineStr"/>
      <c r="BP662" t="inlineStr">
        <is>
          <t>Gewebe</t>
        </is>
      </c>
      <c r="BQ662" t="inlineStr"/>
      <c r="BR662" t="inlineStr"/>
      <c r="BS662" t="inlineStr"/>
      <c r="BT662" t="inlineStr"/>
      <c r="BU662" t="inlineStr"/>
      <c r="BV662" t="inlineStr">
        <is>
          <t>beiliegende Makulatur/Einbandreste besser versorgen, Gefahr des Verlorengehens</t>
        </is>
      </c>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t>
        </is>
      </c>
      <c r="B663" t="b">
        <v>1</v>
      </c>
      <c r="C663" t="inlineStr"/>
      <c r="D663" t="inlineStr"/>
      <c r="E663" t="n">
        <v>661</v>
      </c>
      <c r="F663">
        <f>HYPERLINK("https://portal.dnb.de/opac.htm?method=simpleSearch&amp;cqlMode=true&amp;query=idn%3D1072381877", "Portal")</f>
        <v/>
      </c>
      <c r="G663" t="inlineStr">
        <is>
          <t>Aa</t>
        </is>
      </c>
      <c r="H663" t="inlineStr">
        <is>
          <t>L-1499-327680911</t>
        </is>
      </c>
      <c r="I663" t="inlineStr">
        <is>
          <t>1072381877</t>
        </is>
      </c>
      <c r="J663" t="inlineStr">
        <is>
          <t>II 82,36c</t>
        </is>
      </c>
      <c r="K663" t="inlineStr">
        <is>
          <t>II 82,36c</t>
        </is>
      </c>
      <c r="L663" t="inlineStr">
        <is>
          <t>II 82,36c</t>
        </is>
      </c>
      <c r="M663" t="inlineStr"/>
      <c r="N663" t="inlineStr">
        <is>
          <t xml:space="preserve">Tristia : </t>
        </is>
      </c>
      <c r="O663" t="inlineStr">
        <is>
          <t xml:space="preserve"> : </t>
        </is>
      </c>
      <c r="P663" t="inlineStr"/>
      <c r="Q663" t="inlineStr"/>
      <c r="R663" t="inlineStr"/>
      <c r="S663" t="inlineStr">
        <is>
          <t>bis 35 cm</t>
        </is>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is>
          <t>HL</t>
        </is>
      </c>
      <c r="AJ663" t="inlineStr"/>
      <c r="AK663" t="inlineStr">
        <is>
          <t>x</t>
        </is>
      </c>
      <c r="AL663" t="inlineStr"/>
      <c r="AM663" t="inlineStr">
        <is>
          <t>h/E</t>
        </is>
      </c>
      <c r="AN663" t="inlineStr"/>
      <c r="AO663" t="inlineStr"/>
      <c r="AP663" t="inlineStr"/>
      <c r="AQ663" t="inlineStr"/>
      <c r="AR663" t="inlineStr"/>
      <c r="AS663" t="inlineStr">
        <is>
          <t>Pa</t>
        </is>
      </c>
      <c r="AT663" t="inlineStr"/>
      <c r="AU663" t="inlineStr"/>
      <c r="AV663" t="inlineStr"/>
      <c r="AW663" t="inlineStr"/>
      <c r="AX663" t="inlineStr"/>
      <c r="AY663" t="inlineStr"/>
      <c r="AZ663" t="inlineStr"/>
      <c r="BA663" t="inlineStr"/>
      <c r="BB663" t="inlineStr"/>
      <c r="BC663" t="inlineStr"/>
      <c r="BD663" t="inlineStr"/>
      <c r="BE663" t="inlineStr"/>
      <c r="BF663" t="inlineStr"/>
      <c r="BG663" t="n">
        <v>110</v>
      </c>
      <c r="BH663" t="inlineStr"/>
      <c r="BI663" t="inlineStr"/>
      <c r="BJ663" t="inlineStr"/>
      <c r="BK663" t="inlineStr"/>
      <c r="BL663" t="inlineStr"/>
      <c r="BM663" t="inlineStr">
        <is>
          <t>n</t>
        </is>
      </c>
      <c r="BN663" t="n">
        <v>0</v>
      </c>
      <c r="BO663" t="inlineStr"/>
      <c r="BP663" t="inlineStr">
        <is>
          <t>Wellpappe</t>
        </is>
      </c>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t>
        </is>
      </c>
      <c r="B664" t="b">
        <v>1</v>
      </c>
      <c r="C664" t="inlineStr"/>
      <c r="D664" t="inlineStr"/>
      <c r="E664" t="n">
        <v>662</v>
      </c>
      <c r="F664">
        <f>HYPERLINK("https://portal.dnb.de/opac.htm?method=simpleSearch&amp;cqlMode=true&amp;query=idn%3D1066967725", "Portal")</f>
        <v/>
      </c>
      <c r="G664" t="inlineStr">
        <is>
          <t>Aaf</t>
        </is>
      </c>
      <c r="H664" t="inlineStr">
        <is>
          <t>L-1497-31549798X</t>
        </is>
      </c>
      <c r="I664" t="inlineStr">
        <is>
          <t>1066967725</t>
        </is>
      </c>
      <c r="J664" t="inlineStr">
        <is>
          <t>II 82,37b</t>
        </is>
      </c>
      <c r="K664" t="inlineStr">
        <is>
          <t>II 82,37b</t>
        </is>
      </c>
      <c r="L664" t="inlineStr">
        <is>
          <t>II 82,37b</t>
        </is>
      </c>
      <c r="M664" t="inlineStr"/>
      <c r="N664" t="inlineStr">
        <is>
          <t xml:space="preserve">La @Commedia : </t>
        </is>
      </c>
      <c r="O664" t="inlineStr">
        <is>
          <t xml:space="preserve"> : </t>
        </is>
      </c>
      <c r="P664" t="inlineStr"/>
      <c r="Q664" t="inlineStr">
        <is>
          <t>9000,00 EUR</t>
        </is>
      </c>
      <c r="R664" t="inlineStr"/>
      <c r="S664" t="inlineStr">
        <is>
          <t>bis 35 cm</t>
        </is>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is>
          <t>HL</t>
        </is>
      </c>
      <c r="AJ664" t="inlineStr"/>
      <c r="AK664" t="inlineStr">
        <is>
          <t>x</t>
        </is>
      </c>
      <c r="AL664" t="inlineStr"/>
      <c r="AM664" t="inlineStr">
        <is>
          <t>h/E</t>
        </is>
      </c>
      <c r="AN664" t="inlineStr"/>
      <c r="AO664" t="inlineStr"/>
      <c r="AP664" t="inlineStr"/>
      <c r="AQ664" t="inlineStr"/>
      <c r="AR664" t="inlineStr"/>
      <c r="AS664" t="inlineStr">
        <is>
          <t>Pa</t>
        </is>
      </c>
      <c r="AT664" t="inlineStr"/>
      <c r="AU664" t="inlineStr"/>
      <c r="AV664" t="inlineStr"/>
      <c r="AW664" t="inlineStr"/>
      <c r="AX664" t="inlineStr"/>
      <c r="AY664" t="inlineStr"/>
      <c r="AZ664" t="inlineStr"/>
      <c r="BA664" t="inlineStr"/>
      <c r="BB664" t="inlineStr"/>
      <c r="BC664" t="inlineStr"/>
      <c r="BD664" t="inlineStr"/>
      <c r="BE664" t="inlineStr"/>
      <c r="BF664" t="inlineStr"/>
      <c r="BG664" t="n">
        <v>45</v>
      </c>
      <c r="BH664" t="inlineStr"/>
      <c r="BI664" t="inlineStr"/>
      <c r="BJ664" t="inlineStr"/>
      <c r="BK664" t="inlineStr"/>
      <c r="BL664" t="inlineStr"/>
      <c r="BM664" t="inlineStr">
        <is>
          <t>n</t>
        </is>
      </c>
      <c r="BN664" t="n">
        <v>0</v>
      </c>
      <c r="BO664" t="inlineStr"/>
      <c r="BP664" t="inlineStr">
        <is>
          <t>Wellpappe</t>
        </is>
      </c>
      <c r="BQ664" t="inlineStr"/>
      <c r="BR664" t="inlineStr"/>
      <c r="BS664" t="inlineStr"/>
      <c r="BT664" t="inlineStr"/>
      <c r="BU664" t="inlineStr"/>
      <c r="BV664" t="inlineStr">
        <is>
          <t>Schaden ist stabil genug</t>
        </is>
      </c>
      <c r="BW664" t="inlineStr">
        <is>
          <t>x 45</t>
        </is>
      </c>
      <c r="BX664" t="inlineStr">
        <is>
          <t xml:space="preserve">
ist beschädigt</t>
        </is>
      </c>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t>
        </is>
      </c>
      <c r="B665" t="b">
        <v>1</v>
      </c>
      <c r="C665" t="inlineStr"/>
      <c r="D665" t="inlineStr"/>
      <c r="E665" t="n">
        <v>663</v>
      </c>
      <c r="F665">
        <f>HYPERLINK("https://portal.dnb.de/opac.htm?method=simpleSearch&amp;cqlMode=true&amp;query=idn%3D1066972079", "Portal")</f>
        <v/>
      </c>
      <c r="G665" t="inlineStr">
        <is>
          <t>Aaf</t>
        </is>
      </c>
      <c r="H665" t="inlineStr">
        <is>
          <t>L-1498-315502495</t>
        </is>
      </c>
      <c r="I665" t="inlineStr">
        <is>
          <t>1066972079</t>
        </is>
      </c>
      <c r="J665" t="inlineStr">
        <is>
          <t>II 82,38a</t>
        </is>
      </c>
      <c r="K665" t="inlineStr">
        <is>
          <t>II 82,38a</t>
        </is>
      </c>
      <c r="L665" t="inlineStr">
        <is>
          <t>II 82,38a</t>
        </is>
      </c>
      <c r="M665" t="inlineStr">
        <is>
          <t>ws. bei GF</t>
        </is>
      </c>
      <c r="N665" t="inlineStr">
        <is>
          <t xml:space="preserve">Enneades ab orbe condito : </t>
        </is>
      </c>
      <c r="O665" t="inlineStr">
        <is>
          <t xml:space="preserve"> : </t>
        </is>
      </c>
      <c r="P665" t="inlineStr"/>
      <c r="Q665" t="inlineStr"/>
      <c r="R665" t="inlineStr"/>
      <c r="S665" t="inlineStr"/>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n">
        <v>0</v>
      </c>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t>
        </is>
      </c>
      <c r="B666" t="b">
        <v>1</v>
      </c>
      <c r="C666" t="inlineStr"/>
      <c r="D666" t="inlineStr"/>
      <c r="E666" t="n">
        <v>665</v>
      </c>
      <c r="F666">
        <f>HYPERLINK("https://portal.dnb.de/opac.htm?method=simpleSearch&amp;cqlMode=true&amp;query=idn%3D106707564X", "Portal")</f>
        <v/>
      </c>
      <c r="G666" t="inlineStr">
        <is>
          <t>Af</t>
        </is>
      </c>
      <c r="H666" t="inlineStr">
        <is>
          <t>L-1497-315765119</t>
        </is>
      </c>
      <c r="I666" t="inlineStr">
        <is>
          <t>106707564X</t>
        </is>
      </c>
      <c r="J666" t="inlineStr">
        <is>
          <t>II 82,39a</t>
        </is>
      </c>
      <c r="K666" t="inlineStr">
        <is>
          <t>II 82,39a</t>
        </is>
      </c>
      <c r="L666" t="inlineStr">
        <is>
          <t>II 82,39a</t>
        </is>
      </c>
      <c r="M666" t="inlineStr"/>
      <c r="N666" t="inlineStr">
        <is>
          <t xml:space="preserve">Opera </t>
        </is>
      </c>
      <c r="O666" t="inlineStr">
        <is>
          <t>Pt. 4 :  [Enth. außerdem: Werke von Theophrastus und Alexander &lt;Aphrodisiensis&gt;]</t>
        </is>
      </c>
      <c r="P666" t="inlineStr"/>
      <c r="Q666" t="inlineStr"/>
      <c r="R666" t="inlineStr"/>
      <c r="S666" t="inlineStr">
        <is>
          <t>bis 35 cm</t>
        </is>
      </c>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is>
          <t>L</t>
        </is>
      </c>
      <c r="AJ666" t="inlineStr"/>
      <c r="AK666" t="inlineStr"/>
      <c r="AL666" t="inlineStr"/>
      <c r="AM666" t="inlineStr">
        <is>
          <t>f/V</t>
        </is>
      </c>
      <c r="AN666" t="inlineStr"/>
      <c r="AO666" t="inlineStr"/>
      <c r="AP666" t="inlineStr"/>
      <c r="AQ666" t="inlineStr"/>
      <c r="AR666" t="inlineStr"/>
      <c r="AS666" t="inlineStr">
        <is>
          <t>Pa</t>
        </is>
      </c>
      <c r="AT666" t="inlineStr"/>
      <c r="AU666" t="inlineStr"/>
      <c r="AV666" t="inlineStr"/>
      <c r="AW666" t="inlineStr"/>
      <c r="AX666" t="inlineStr"/>
      <c r="AY666" t="inlineStr"/>
      <c r="AZ666" t="inlineStr"/>
      <c r="BA666" t="inlineStr"/>
      <c r="BB666" t="inlineStr"/>
      <c r="BC666" t="inlineStr"/>
      <c r="BD666" t="inlineStr"/>
      <c r="BE666" t="inlineStr"/>
      <c r="BF666" t="inlineStr"/>
      <c r="BG666" t="n">
        <v>60</v>
      </c>
      <c r="BH666" t="inlineStr"/>
      <c r="BI666" t="inlineStr"/>
      <c r="BJ666" t="inlineStr"/>
      <c r="BK666" t="inlineStr"/>
      <c r="BL666" t="inlineStr"/>
      <c r="BM666" t="inlineStr">
        <is>
          <t>n</t>
        </is>
      </c>
      <c r="BN666" t="n">
        <v>0</v>
      </c>
      <c r="BO666" t="inlineStr"/>
      <c r="BP666" t="inlineStr">
        <is>
          <t>Wellpappe</t>
        </is>
      </c>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t>
        </is>
      </c>
      <c r="B667" t="b">
        <v>1</v>
      </c>
      <c r="C667" t="inlineStr"/>
      <c r="D667" t="inlineStr"/>
      <c r="E667" t="inlineStr"/>
      <c r="F667">
        <f>HYPERLINK("https://portal.dnb.de/opac.htm?method=simpleSearch&amp;cqlMode=true&amp;query=idn%3D126896333X", "Portal")</f>
        <v/>
      </c>
      <c r="G667" t="inlineStr">
        <is>
          <t>Qd</t>
        </is>
      </c>
      <c r="H667" t="inlineStr">
        <is>
          <t>L-1497-834346338</t>
        </is>
      </c>
      <c r="I667" t="inlineStr">
        <is>
          <t>126896333X</t>
        </is>
      </c>
      <c r="J667" t="inlineStr">
        <is>
          <t>II 82,38b</t>
        </is>
      </c>
      <c r="K667" t="inlineStr">
        <is>
          <t>II 82,39b; II 82,38b</t>
        </is>
      </c>
      <c r="L667" t="inlineStr">
        <is>
          <t>II 82,39b; II 82,38b</t>
        </is>
      </c>
      <c r="M667" t="inlineStr"/>
      <c r="N667" t="inlineStr">
        <is>
          <t xml:space="preserve">Sammelband mit zwei Inkunabeln, gedruckt in Venedig : </t>
        </is>
      </c>
      <c r="O667" t="inlineStr">
        <is>
          <t xml:space="preserve"> : </t>
        </is>
      </c>
      <c r="P667" t="inlineStr"/>
      <c r="Q667" t="inlineStr"/>
      <c r="R667" t="inlineStr"/>
      <c r="S667" t="inlineStr">
        <is>
          <t>bis 35 cm</t>
        </is>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is>
          <t>HD</t>
        </is>
      </c>
      <c r="AJ667" t="inlineStr"/>
      <c r="AK667" t="inlineStr">
        <is>
          <t>x</t>
        </is>
      </c>
      <c r="AL667" t="inlineStr"/>
      <c r="AM667" t="inlineStr">
        <is>
          <t>f/V</t>
        </is>
      </c>
      <c r="AN667" t="inlineStr"/>
      <c r="AO667" t="inlineStr"/>
      <c r="AP667" t="inlineStr"/>
      <c r="AQ667" t="inlineStr"/>
      <c r="AR667" t="inlineStr"/>
      <c r="AS667" t="inlineStr">
        <is>
          <t>Pa</t>
        </is>
      </c>
      <c r="AT667" t="inlineStr"/>
      <c r="AU667" t="inlineStr"/>
      <c r="AV667" t="inlineStr"/>
      <c r="AW667" t="inlineStr"/>
      <c r="AX667" t="inlineStr"/>
      <c r="AY667" t="inlineStr"/>
      <c r="AZ667" t="inlineStr"/>
      <c r="BA667" t="inlineStr"/>
      <c r="BB667" t="inlineStr"/>
      <c r="BC667" t="inlineStr"/>
      <c r="BD667" t="inlineStr"/>
      <c r="BE667" t="inlineStr"/>
      <c r="BF667" t="inlineStr"/>
      <c r="BG667" t="n">
        <v>110</v>
      </c>
      <c r="BH667" t="inlineStr"/>
      <c r="BI667" t="inlineStr"/>
      <c r="BJ667" t="inlineStr"/>
      <c r="BK667" t="inlineStr"/>
      <c r="BL667" t="inlineStr"/>
      <c r="BM667" t="inlineStr">
        <is>
          <t>n</t>
        </is>
      </c>
      <c r="BN667" t="n">
        <v>0</v>
      </c>
      <c r="BO667" t="inlineStr"/>
      <c r="BP667" t="inlineStr">
        <is>
          <t>Wellpappe</t>
        </is>
      </c>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t>
        </is>
      </c>
      <c r="B668" t="b">
        <v>1</v>
      </c>
      <c r="C668" t="inlineStr"/>
      <c r="D668" t="inlineStr"/>
      <c r="E668" t="n">
        <v>667</v>
      </c>
      <c r="F668">
        <f>HYPERLINK("https://portal.dnb.de/opac.htm?method=simpleSearch&amp;cqlMode=true&amp;query=idn%3D1066965994", "Portal")</f>
        <v/>
      </c>
      <c r="G668" t="inlineStr">
        <is>
          <t>Aaf</t>
        </is>
      </c>
      <c r="H668" t="inlineStr">
        <is>
          <t>L-1499-315496290</t>
        </is>
      </c>
      <c r="I668" t="inlineStr">
        <is>
          <t>1066965994</t>
        </is>
      </c>
      <c r="J668" t="inlineStr">
        <is>
          <t>II 82,40a</t>
        </is>
      </c>
      <c r="K668" t="inlineStr">
        <is>
          <t>II 82,40a</t>
        </is>
      </c>
      <c r="L668" t="inlineStr">
        <is>
          <t>II 82,40a</t>
        </is>
      </c>
      <c r="M668" t="inlineStr"/>
      <c r="N668" t="inlineStr">
        <is>
          <t xml:space="preserve">Parthenice prima sive Mariana : </t>
        </is>
      </c>
      <c r="O668" t="inlineStr">
        <is>
          <t xml:space="preserve"> : </t>
        </is>
      </c>
      <c r="P668" t="inlineStr"/>
      <c r="Q668" t="inlineStr"/>
      <c r="R668" t="inlineStr"/>
      <c r="S668" t="inlineStr">
        <is>
          <t>bis 25 cm</t>
        </is>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is>
          <t>G</t>
        </is>
      </c>
      <c r="AJ668" t="inlineStr"/>
      <c r="AK668" t="inlineStr">
        <is>
          <t>x</t>
        </is>
      </c>
      <c r="AL668" t="inlineStr"/>
      <c r="AM668" t="inlineStr">
        <is>
          <t>h/E</t>
        </is>
      </c>
      <c r="AN668" t="inlineStr"/>
      <c r="AO668" t="inlineStr"/>
      <c r="AP668" t="inlineStr"/>
      <c r="AQ668" t="inlineStr"/>
      <c r="AR668" t="inlineStr"/>
      <c r="AS668" t="inlineStr">
        <is>
          <t>Pa</t>
        </is>
      </c>
      <c r="AT668" t="inlineStr">
        <is>
          <t>x</t>
        </is>
      </c>
      <c r="AU668" t="inlineStr"/>
      <c r="AV668" t="inlineStr"/>
      <c r="AW668" t="inlineStr"/>
      <c r="AX668" t="inlineStr"/>
      <c r="AY668" t="inlineStr"/>
      <c r="AZ668" t="inlineStr"/>
      <c r="BA668" t="inlineStr"/>
      <c r="BB668" t="inlineStr"/>
      <c r="BC668" t="inlineStr">
        <is>
          <t>I/R</t>
        </is>
      </c>
      <c r="BD668" t="inlineStr">
        <is>
          <t>x</t>
        </is>
      </c>
      <c r="BE668" t="inlineStr"/>
      <c r="BF668" t="inlineStr"/>
      <c r="BG668" t="n">
        <v>110</v>
      </c>
      <c r="BH668" t="inlineStr"/>
      <c r="BI668" t="inlineStr"/>
      <c r="BJ668" t="inlineStr"/>
      <c r="BK668" t="inlineStr"/>
      <c r="BL668" t="inlineStr"/>
      <c r="BM668" t="inlineStr">
        <is>
          <t>n</t>
        </is>
      </c>
      <c r="BN668" t="n">
        <v>0</v>
      </c>
      <c r="BO668" t="inlineStr"/>
      <c r="BP668" t="inlineStr">
        <is>
          <t>Wellpappe</t>
        </is>
      </c>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t>
        </is>
      </c>
      <c r="B669" t="b">
        <v>1</v>
      </c>
      <c r="C669" t="inlineStr"/>
      <c r="D669" t="inlineStr"/>
      <c r="E669" t="n">
        <v>668</v>
      </c>
      <c r="F669">
        <f>HYPERLINK("https://portal.dnb.de/opac.htm?method=simpleSearch&amp;cqlMode=true&amp;query=idn%3D1066968144", "Portal")</f>
        <v/>
      </c>
      <c r="G669" t="inlineStr">
        <is>
          <t>Aaf</t>
        </is>
      </c>
      <c r="H669" t="inlineStr">
        <is>
          <t>L-1500-315498412</t>
        </is>
      </c>
      <c r="I669" t="inlineStr">
        <is>
          <t>1066968144</t>
        </is>
      </c>
      <c r="J669" t="inlineStr">
        <is>
          <t>II 82,41a</t>
        </is>
      </c>
      <c r="K669" t="inlineStr">
        <is>
          <t>II 82,41a</t>
        </is>
      </c>
      <c r="L669" t="inlineStr">
        <is>
          <t>II 82,41a</t>
        </is>
      </c>
      <c r="M669" t="inlineStr"/>
      <c r="N669" t="inlineStr">
        <is>
          <t xml:space="preserve">De Christiana religione : </t>
        </is>
      </c>
      <c r="O669" t="inlineStr">
        <is>
          <t xml:space="preserve"> : </t>
        </is>
      </c>
      <c r="P669" t="inlineStr"/>
      <c r="Q669" t="inlineStr"/>
      <c r="R669" t="inlineStr"/>
      <c r="S669" t="inlineStr">
        <is>
          <t>bis 25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G</t>
        </is>
      </c>
      <c r="AJ669" t="inlineStr"/>
      <c r="AK669" t="inlineStr">
        <is>
          <t>x</t>
        </is>
      </c>
      <c r="AL669" t="inlineStr"/>
      <c r="AM669" t="inlineStr">
        <is>
          <t>h/E</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is>
          <t>I</t>
        </is>
      </c>
      <c r="BD669" t="inlineStr">
        <is>
          <t>x</t>
        </is>
      </c>
      <c r="BE669" t="inlineStr"/>
      <c r="BF669" t="inlineStr"/>
      <c r="BG669" t="n">
        <v>110</v>
      </c>
      <c r="BH669" t="inlineStr"/>
      <c r="BI669" t="inlineStr"/>
      <c r="BJ669" t="inlineStr"/>
      <c r="BK669" t="inlineStr"/>
      <c r="BL669" t="inlineStr"/>
      <c r="BM669" t="inlineStr">
        <is>
          <t>n</t>
        </is>
      </c>
      <c r="BN669" t="n">
        <v>0</v>
      </c>
      <c r="BO669" t="inlineStr"/>
      <c r="BP669" t="inlineStr">
        <is>
          <t>Wellpappe</t>
        </is>
      </c>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t>
        </is>
      </c>
      <c r="B670" t="b">
        <v>1</v>
      </c>
      <c r="C670" t="inlineStr"/>
      <c r="D670" t="inlineStr"/>
      <c r="E670" t="inlineStr"/>
      <c r="F670">
        <f>HYPERLINK("https://portal.dnb.de/opac.htm?method=simpleSearch&amp;cqlMode=true&amp;query=idn%3D1268941085", "Portal")</f>
        <v/>
      </c>
      <c r="G670" t="inlineStr">
        <is>
          <t>Qd</t>
        </is>
      </c>
      <c r="H670" t="inlineStr">
        <is>
          <t>L-1491-834322900</t>
        </is>
      </c>
      <c r="I670" t="inlineStr">
        <is>
          <t>1268941085</t>
        </is>
      </c>
      <c r="J670" t="inlineStr">
        <is>
          <t>II 82,42a</t>
        </is>
      </c>
      <c r="K670" t="inlineStr">
        <is>
          <t>II 82,42a</t>
        </is>
      </c>
      <c r="L670" t="inlineStr">
        <is>
          <t>II 82,42a</t>
        </is>
      </c>
      <c r="M670" t="inlineStr"/>
      <c r="N670" t="inlineStr">
        <is>
          <t xml:space="preserve">Sammelband mit zwei Inkunabeln, gedruckt in Venedig : </t>
        </is>
      </c>
      <c r="O670" t="inlineStr">
        <is>
          <t xml:space="preserve"> : </t>
        </is>
      </c>
      <c r="P670" t="inlineStr"/>
      <c r="Q670" t="inlineStr"/>
      <c r="R670" t="inlineStr"/>
      <c r="S670" t="inlineStr">
        <is>
          <t>bis 35 cm</t>
        </is>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is>
          <t>HD</t>
        </is>
      </c>
      <c r="AJ670" t="inlineStr"/>
      <c r="AK670" t="inlineStr"/>
      <c r="AL670" t="inlineStr">
        <is>
          <t>x</t>
        </is>
      </c>
      <c r="AM670" t="inlineStr">
        <is>
          <t>f</t>
        </is>
      </c>
      <c r="AN670" t="inlineStr"/>
      <c r="AO670" t="inlineStr"/>
      <c r="AP670" t="inlineStr"/>
      <c r="AQ670" t="inlineStr"/>
      <c r="AR670" t="inlineStr"/>
      <c r="AS670" t="inlineStr">
        <is>
          <t>Pa</t>
        </is>
      </c>
      <c r="AT670" t="inlineStr"/>
      <c r="AU670" t="inlineStr"/>
      <c r="AV670" t="inlineStr"/>
      <c r="AW670" t="inlineStr"/>
      <c r="AX670" t="inlineStr"/>
      <c r="AY670" t="inlineStr"/>
      <c r="AZ670" t="inlineStr"/>
      <c r="BA670" t="inlineStr"/>
      <c r="BB670" t="inlineStr"/>
      <c r="BC670" t="inlineStr"/>
      <c r="BD670" t="inlineStr"/>
      <c r="BE670" t="inlineStr"/>
      <c r="BF670" t="inlineStr"/>
      <c r="BG670" t="n">
        <v>110</v>
      </c>
      <c r="BH670" t="inlineStr"/>
      <c r="BI670" t="inlineStr"/>
      <c r="BJ670" t="inlineStr"/>
      <c r="BK670" t="inlineStr"/>
      <c r="BL670" t="inlineStr"/>
      <c r="BM670" t="inlineStr">
        <is>
          <t>n</t>
        </is>
      </c>
      <c r="BN670" t="n">
        <v>0</v>
      </c>
      <c r="BO670" t="inlineStr"/>
      <c r="BP670" t="inlineStr">
        <is>
          <t>Wellpappe</t>
        </is>
      </c>
      <c r="BQ670" t="inlineStr"/>
      <c r="BR670" t="inlineStr"/>
      <c r="BS670" t="inlineStr"/>
      <c r="BT670" t="inlineStr"/>
      <c r="BU670" t="inlineStr"/>
      <c r="BV670" t="inlineStr">
        <is>
          <t>Einbandfragment in Wellpappbox daneben</t>
        </is>
      </c>
      <c r="BW670" t="inlineStr">
        <is>
          <t>x 110</t>
        </is>
      </c>
      <c r="BX670" t="inlineStr">
        <is>
          <t xml:space="preserve">
Neueinband</t>
        </is>
      </c>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t>
        </is>
      </c>
      <c r="B671" t="b">
        <v>1</v>
      </c>
      <c r="C671" t="inlineStr">
        <is>
          <t>x</t>
        </is>
      </c>
      <c r="D671" t="inlineStr"/>
      <c r="E671" t="n">
        <v>671</v>
      </c>
      <c r="F671">
        <f>HYPERLINK("https://portal.dnb.de/opac.htm?method=simpleSearch&amp;cqlMode=true&amp;query=idn%3D1066970572", "Portal")</f>
        <v/>
      </c>
      <c r="G671" t="inlineStr">
        <is>
          <t>Aaf</t>
        </is>
      </c>
      <c r="H671" t="inlineStr">
        <is>
          <t>L-1485-31550093X</t>
        </is>
      </c>
      <c r="I671" t="inlineStr">
        <is>
          <t>1066970572</t>
        </is>
      </c>
      <c r="J671" t="inlineStr">
        <is>
          <t>II 82,43a</t>
        </is>
      </c>
      <c r="K671" t="inlineStr">
        <is>
          <t>II 82,43a</t>
        </is>
      </c>
      <c r="L671" t="inlineStr">
        <is>
          <t>II 82,43a</t>
        </is>
      </c>
      <c r="M671" t="inlineStr"/>
      <c r="N671" t="inlineStr">
        <is>
          <t xml:space="preserve">Sermones : </t>
        </is>
      </c>
      <c r="O671" t="inlineStr">
        <is>
          <t xml:space="preserve"> : </t>
        </is>
      </c>
      <c r="P671" t="inlineStr"/>
      <c r="Q671" t="inlineStr">
        <is>
          <t>2200,00 EUR</t>
        </is>
      </c>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HD</t>
        </is>
      </c>
      <c r="AJ671" t="inlineStr"/>
      <c r="AK671" t="inlineStr">
        <is>
          <t>x</t>
        </is>
      </c>
      <c r="AL671" t="inlineStr"/>
      <c r="AM671" t="inlineStr">
        <is>
          <t>f/V</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c r="BD671" t="inlineStr"/>
      <c r="BE671" t="inlineStr"/>
      <c r="BF671" t="inlineStr"/>
      <c r="BG671" t="n">
        <v>60</v>
      </c>
      <c r="BH671" t="inlineStr">
        <is>
          <t xml:space="preserve">
entgültig nach Rest. festlegen</t>
        </is>
      </c>
      <c r="BI671" t="inlineStr"/>
      <c r="BJ671" t="inlineStr"/>
      <c r="BK671" t="inlineStr"/>
      <c r="BL671" t="inlineStr"/>
      <c r="BM671" t="inlineStr">
        <is>
          <t>ja vor</t>
        </is>
      </c>
      <c r="BN671" t="n">
        <v>5</v>
      </c>
      <c r="BO671" t="inlineStr"/>
      <c r="BP671" t="inlineStr">
        <is>
          <t>Wellpappe</t>
        </is>
      </c>
      <c r="BQ671" t="inlineStr"/>
      <c r="BR671" t="inlineStr"/>
      <c r="BS671" t="inlineStr"/>
      <c r="BT671" t="inlineStr"/>
      <c r="BU671" t="inlineStr"/>
      <c r="BV671" t="inlineStr"/>
      <c r="BW671" t="inlineStr"/>
      <c r="BX671" t="inlineStr"/>
      <c r="BY671" t="inlineStr"/>
      <c r="BZ671" t="inlineStr"/>
      <c r="CA671" t="inlineStr">
        <is>
          <t>x</t>
        </is>
      </c>
      <c r="CB671" t="inlineStr">
        <is>
          <t>x</t>
        </is>
      </c>
      <c r="CC671" t="inlineStr"/>
      <c r="CD671" t="inlineStr">
        <is>
          <t>h</t>
        </is>
      </c>
      <c r="CE671" t="inlineStr"/>
      <c r="CF671" t="inlineStr">
        <is>
          <t>x</t>
        </is>
      </c>
      <c r="CG671" t="inlineStr"/>
      <c r="CH671" t="inlineStr"/>
      <c r="CI671" t="inlineStr"/>
      <c r="CJ671" t="inlineStr"/>
      <c r="CK671" t="inlineStr"/>
      <c r="CL671" t="inlineStr"/>
      <c r="CM671" t="n">
        <v>5</v>
      </c>
      <c r="CN671" t="inlineStr">
        <is>
          <t>Rücken durch JP-Gewebe-Laminat unterstützen (Leder trägt ws. zu sehr auf), Schließe richten</t>
        </is>
      </c>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t>
        </is>
      </c>
      <c r="B672" t="b">
        <v>1</v>
      </c>
      <c r="C672" t="inlineStr"/>
      <c r="D672" t="inlineStr"/>
      <c r="E672" t="n">
        <v>672</v>
      </c>
      <c r="F672">
        <f>HYPERLINK("https://portal.dnb.de/opac.htm?method=simpleSearch&amp;cqlMode=true&amp;query=idn%3D1066971064", "Portal")</f>
        <v/>
      </c>
      <c r="G672" t="inlineStr">
        <is>
          <t>Aa</t>
        </is>
      </c>
      <c r="H672" t="inlineStr">
        <is>
          <t>L-1480-315501421</t>
        </is>
      </c>
      <c r="I672" t="inlineStr">
        <is>
          <t>1066971064</t>
        </is>
      </c>
      <c r="J672" t="inlineStr">
        <is>
          <t>II 82,44</t>
        </is>
      </c>
      <c r="K672" t="inlineStr">
        <is>
          <t>II 82,44</t>
        </is>
      </c>
      <c r="L672" t="inlineStr">
        <is>
          <t>II 82,44</t>
        </is>
      </c>
      <c r="M672" t="inlineStr">
        <is>
          <t>ws. bei GF</t>
        </is>
      </c>
      <c r="N672" t="inlineStr">
        <is>
          <t xml:space="preserve">Biblia pauperum : </t>
        </is>
      </c>
      <c r="O672" t="inlineStr">
        <is>
          <t xml:space="preserve"> : </t>
        </is>
      </c>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n">
        <v>0</v>
      </c>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t>
        </is>
      </c>
      <c r="B673" t="b">
        <v>1</v>
      </c>
      <c r="C673" t="inlineStr"/>
      <c r="D673" t="inlineStr"/>
      <c r="E673" t="n">
        <v>673</v>
      </c>
      <c r="F673">
        <f>HYPERLINK("https://portal.dnb.de/opac.htm?method=simpleSearch&amp;cqlMode=true&amp;query=idn%3D1066970343", "Portal")</f>
        <v/>
      </c>
      <c r="G673" t="inlineStr">
        <is>
          <t>Aaf</t>
        </is>
      </c>
      <c r="H673" t="inlineStr">
        <is>
          <t>L-1480-315500697</t>
        </is>
      </c>
      <c r="I673" t="inlineStr">
        <is>
          <t>1066970343</t>
        </is>
      </c>
      <c r="J673" t="inlineStr">
        <is>
          <t>II 83,1a</t>
        </is>
      </c>
      <c r="K673" t="inlineStr">
        <is>
          <t>II 83,1a</t>
        </is>
      </c>
      <c r="L673" t="inlineStr">
        <is>
          <t>II 83,1a</t>
        </is>
      </c>
      <c r="M673" t="inlineStr"/>
      <c r="N673" t="inlineStr">
        <is>
          <t xml:space="preserve">De bello Judaico : </t>
        </is>
      </c>
      <c r="O673" t="inlineStr">
        <is>
          <t xml:space="preserve"> : </t>
        </is>
      </c>
      <c r="P673" t="inlineStr"/>
      <c r="Q673" t="inlineStr"/>
      <c r="R673" t="inlineStr"/>
      <c r="S673" t="inlineStr">
        <is>
          <t>bis 35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HD</t>
        </is>
      </c>
      <c r="AJ673" t="inlineStr"/>
      <c r="AK673" t="inlineStr">
        <is>
          <t>x</t>
        </is>
      </c>
      <c r="AL673" t="inlineStr"/>
      <c r="AM673" t="inlineStr">
        <is>
          <t>f</t>
        </is>
      </c>
      <c r="AN673" t="inlineStr"/>
      <c r="AO673" t="inlineStr"/>
      <c r="AP673" t="inlineStr"/>
      <c r="AQ673" t="inlineStr"/>
      <c r="AR673" t="inlineStr"/>
      <c r="AS673" t="inlineStr">
        <is>
          <t>Pa</t>
        </is>
      </c>
      <c r="AT673" t="inlineStr"/>
      <c r="AU673" t="inlineStr">
        <is>
          <t>x</t>
        </is>
      </c>
      <c r="AV673" t="inlineStr"/>
      <c r="AW673" t="inlineStr"/>
      <c r="AX673" t="inlineStr"/>
      <c r="AY673" t="inlineStr"/>
      <c r="AZ673" t="inlineStr"/>
      <c r="BA673" t="inlineStr"/>
      <c r="BB673" t="inlineStr"/>
      <c r="BC673" t="inlineStr"/>
      <c r="BD673" t="inlineStr"/>
      <c r="BE673" t="inlineStr"/>
      <c r="BF673" t="inlineStr"/>
      <c r="BG673" t="n">
        <v>60</v>
      </c>
      <c r="BH673" t="inlineStr"/>
      <c r="BI673" t="inlineStr"/>
      <c r="BJ673" t="inlineStr"/>
      <c r="BK673" t="inlineStr"/>
      <c r="BL673" t="inlineStr">
        <is>
          <t>x</t>
        </is>
      </c>
      <c r="BM673" t="inlineStr">
        <is>
          <t>n</t>
        </is>
      </c>
      <c r="BN673" t="n">
        <v>0</v>
      </c>
      <c r="BO673" t="inlineStr"/>
      <c r="BP673" t="inlineStr">
        <is>
          <t>Wellpappe</t>
        </is>
      </c>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t>
        </is>
      </c>
      <c r="B674" t="b">
        <v>1</v>
      </c>
      <c r="C674" t="inlineStr"/>
      <c r="D674" t="inlineStr"/>
      <c r="E674" t="n">
        <v>674</v>
      </c>
      <c r="F674">
        <f>HYPERLINK("https://portal.dnb.de/opac.htm?method=simpleSearch&amp;cqlMode=true&amp;query=idn%3D1066970343", "Portal")</f>
        <v/>
      </c>
      <c r="G674" t="inlineStr">
        <is>
          <t>Aaf</t>
        </is>
      </c>
      <c r="H674" t="inlineStr">
        <is>
          <t>L-1480-315500689</t>
        </is>
      </c>
      <c r="I674" t="inlineStr">
        <is>
          <t>1066970343</t>
        </is>
      </c>
      <c r="J674" t="inlineStr">
        <is>
          <t>II 83,1b</t>
        </is>
      </c>
      <c r="K674" t="inlineStr">
        <is>
          <t>II 83,1b</t>
        </is>
      </c>
      <c r="L674" t="inlineStr">
        <is>
          <t>II 83,1b</t>
        </is>
      </c>
      <c r="M674" t="inlineStr"/>
      <c r="N674" t="inlineStr">
        <is>
          <t xml:space="preserve">De bello Judaico : </t>
        </is>
      </c>
      <c r="O674" t="inlineStr">
        <is>
          <t xml:space="preserve"> : </t>
        </is>
      </c>
      <c r="P674" t="inlineStr"/>
      <c r="Q674" t="inlineStr"/>
      <c r="R674" t="inlineStr"/>
      <c r="S674" t="inlineStr">
        <is>
          <t>bis 35 cm</t>
        </is>
      </c>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is>
          <t>L</t>
        </is>
      </c>
      <c r="AJ674" t="inlineStr"/>
      <c r="AK674" t="inlineStr"/>
      <c r="AL674" t="inlineStr">
        <is>
          <t>x</t>
        </is>
      </c>
      <c r="AM674" t="inlineStr">
        <is>
          <t>f</t>
        </is>
      </c>
      <c r="AN674" t="inlineStr"/>
      <c r="AO674" t="inlineStr"/>
      <c r="AP674" t="inlineStr"/>
      <c r="AQ674" t="inlineStr"/>
      <c r="AR674" t="inlineStr"/>
      <c r="AS674" t="inlineStr">
        <is>
          <t>Pa</t>
        </is>
      </c>
      <c r="AT674" t="inlineStr"/>
      <c r="AU674" t="inlineStr"/>
      <c r="AV674" t="inlineStr"/>
      <c r="AW674" t="inlineStr"/>
      <c r="AX674" t="inlineStr"/>
      <c r="AY674" t="inlineStr"/>
      <c r="AZ674" t="inlineStr"/>
      <c r="BA674" t="inlineStr"/>
      <c r="BB674" t="inlineStr"/>
      <c r="BC674" t="inlineStr"/>
      <c r="BD674" t="inlineStr"/>
      <c r="BE674" t="inlineStr"/>
      <c r="BF674" t="inlineStr"/>
      <c r="BG674" t="n">
        <v>110</v>
      </c>
      <c r="BH674" t="inlineStr"/>
      <c r="BI674" t="inlineStr"/>
      <c r="BJ674" t="inlineStr"/>
      <c r="BK674" t="inlineStr">
        <is>
          <t>x</t>
        </is>
      </c>
      <c r="BL674" t="inlineStr">
        <is>
          <t>x</t>
        </is>
      </c>
      <c r="BM674" t="inlineStr">
        <is>
          <t>n</t>
        </is>
      </c>
      <c r="BN674" t="n">
        <v>0</v>
      </c>
      <c r="BO674" t="inlineStr"/>
      <c r="BP674" t="inlineStr"/>
      <c r="BQ674" t="inlineStr"/>
      <c r="BR674" t="inlineStr"/>
      <c r="BS674" t="inlineStr">
        <is>
          <t>x</t>
        </is>
      </c>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t>
        </is>
      </c>
      <c r="B675" t="b">
        <v>1</v>
      </c>
      <c r="C675" t="inlineStr"/>
      <c r="D675" t="inlineStr"/>
      <c r="E675" t="n">
        <v>675</v>
      </c>
      <c r="F675">
        <f>HYPERLINK("https://portal.dnb.de/opac.htm?method=simpleSearch&amp;cqlMode=true&amp;query=idn%3D1066966796", "Portal")</f>
        <v/>
      </c>
      <c r="G675" t="inlineStr">
        <is>
          <t>Aaf</t>
        </is>
      </c>
      <c r="H675" t="inlineStr">
        <is>
          <t>L-1481-315497092</t>
        </is>
      </c>
      <c r="I675" t="inlineStr">
        <is>
          <t>1066966796</t>
        </is>
      </c>
      <c r="J675" t="inlineStr">
        <is>
          <t>II 83,2a</t>
        </is>
      </c>
      <c r="K675" t="inlineStr">
        <is>
          <t>II 83,2a</t>
        </is>
      </c>
      <c r="L675" t="inlineStr">
        <is>
          <t>II 83,2a - 1</t>
        </is>
      </c>
      <c r="M675" t="inlineStr"/>
      <c r="N675" t="inlineStr">
        <is>
          <t xml:space="preserve">Roma instaurata : </t>
        </is>
      </c>
      <c r="O675" t="inlineStr">
        <is>
          <t xml:space="preserve"> : </t>
        </is>
      </c>
      <c r="P675" t="inlineStr"/>
      <c r="Q675" t="inlineStr"/>
      <c r="R675" t="inlineStr"/>
      <c r="S675" t="inlineStr">
        <is>
          <t>bis 35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HL</t>
        </is>
      </c>
      <c r="AJ675" t="inlineStr"/>
      <c r="AK675" t="inlineStr">
        <is>
          <t>x</t>
        </is>
      </c>
      <c r="AL675" t="inlineStr"/>
      <c r="AM675" t="inlineStr">
        <is>
          <t>f</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c r="BD675" t="inlineStr"/>
      <c r="BE675" t="inlineStr"/>
      <c r="BF675" t="inlineStr"/>
      <c r="BG675" t="n">
        <v>110</v>
      </c>
      <c r="BH675" t="inlineStr"/>
      <c r="BI675" t="inlineStr"/>
      <c r="BJ675" t="inlineStr"/>
      <c r="BK675" t="inlineStr"/>
      <c r="BL675" t="inlineStr"/>
      <c r="BM675" t="inlineStr">
        <is>
          <t>n</t>
        </is>
      </c>
      <c r="BN675" t="n">
        <v>0</v>
      </c>
      <c r="BO675" t="inlineStr"/>
      <c r="BP675" t="inlineStr"/>
      <c r="BQ675" t="inlineStr">
        <is>
          <t>x historisch?</t>
        </is>
      </c>
      <c r="BR675" t="inlineStr"/>
      <c r="BS675" t="inlineStr"/>
      <c r="BT675" t="inlineStr"/>
      <c r="BU675" t="inlineStr"/>
      <c r="BV675" t="inlineStr">
        <is>
          <t>Schuber defekt</t>
        </is>
      </c>
      <c r="BW675" t="inlineStr">
        <is>
          <t>x 110</t>
        </is>
      </c>
      <c r="BX675" t="inlineStr">
        <is>
          <t xml:space="preserve">
mit hist.(?) Schuber</t>
        </is>
      </c>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t>
        </is>
      </c>
      <c r="B676" t="b">
        <v>0</v>
      </c>
      <c r="C676" t="inlineStr"/>
      <c r="D676" t="inlineStr"/>
      <c r="E676" t="inlineStr"/>
      <c r="F676">
        <f>HYPERLINK("https://portal.dnb.de/opac.htm?method=simpleSearch&amp;cqlMode=true&amp;query=idn%3D", "Portal")</f>
        <v/>
      </c>
      <c r="G676" t="inlineStr"/>
      <c r="H676" t="inlineStr"/>
      <c r="I676" t="inlineStr"/>
      <c r="J676" t="inlineStr"/>
      <c r="K676" t="inlineStr"/>
      <c r="L676" t="inlineStr">
        <is>
          <t>II 83,2a - 2</t>
        </is>
      </c>
      <c r="M676" t="inlineStr"/>
      <c r="N676" t="inlineStr"/>
      <c r="O676" t="inlineStr"/>
      <c r="P676" t="inlineStr"/>
      <c r="Q676" t="inlineStr"/>
      <c r="R676" t="inlineStr"/>
      <c r="S676" t="inlineStr">
        <is>
          <t>bis 35 cm</t>
        </is>
      </c>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is>
          <t>Pg</t>
        </is>
      </c>
      <c r="AJ676" t="inlineStr"/>
      <c r="AK676" t="inlineStr"/>
      <c r="AL676" t="inlineStr">
        <is>
          <t>x</t>
        </is>
      </c>
      <c r="AM676" t="inlineStr">
        <is>
          <t>f</t>
        </is>
      </c>
      <c r="AN676" t="inlineStr"/>
      <c r="AO676" t="inlineStr"/>
      <c r="AP676" t="inlineStr"/>
      <c r="AQ676" t="inlineStr"/>
      <c r="AR676" t="inlineStr"/>
      <c r="AS676" t="inlineStr">
        <is>
          <t>Pa</t>
        </is>
      </c>
      <c r="AT676" t="inlineStr"/>
      <c r="AU676" t="inlineStr"/>
      <c r="AV676" t="inlineStr"/>
      <c r="AW676" t="inlineStr"/>
      <c r="AX676" t="inlineStr"/>
      <c r="AY676" t="inlineStr"/>
      <c r="AZ676" t="inlineStr"/>
      <c r="BA676" t="inlineStr"/>
      <c r="BB676" t="inlineStr"/>
      <c r="BC676" t="inlineStr"/>
      <c r="BD676" t="inlineStr"/>
      <c r="BE676" t="inlineStr"/>
      <c r="BF676" t="inlineStr"/>
      <c r="BG676" t="n">
        <v>110</v>
      </c>
      <c r="BH676" t="inlineStr"/>
      <c r="BI676" t="inlineStr"/>
      <c r="BJ676" t="inlineStr"/>
      <c r="BK676" t="inlineStr"/>
      <c r="BL676" t="inlineStr"/>
      <c r="BM676" t="inlineStr">
        <is>
          <t>n</t>
        </is>
      </c>
      <c r="BN676" t="n">
        <v>0</v>
      </c>
      <c r="BO676" t="inlineStr"/>
      <c r="BP676" t="inlineStr">
        <is>
          <t>Gewebe</t>
        </is>
      </c>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t>
        </is>
      </c>
      <c r="B677" t="b">
        <v>1</v>
      </c>
      <c r="C677" t="inlineStr"/>
      <c r="D677" t="inlineStr"/>
      <c r="E677" t="n">
        <v>676</v>
      </c>
      <c r="F677">
        <f>HYPERLINK("https://portal.dnb.de/opac.htm?method=simpleSearch&amp;cqlMode=true&amp;query=idn%3D1066965439", "Portal")</f>
        <v/>
      </c>
      <c r="G677" t="inlineStr">
        <is>
          <t>Aaf</t>
        </is>
      </c>
      <c r="H677" t="inlineStr">
        <is>
          <t>L-1477-315495677</t>
        </is>
      </c>
      <c r="I677" t="inlineStr">
        <is>
          <t>1066965439</t>
        </is>
      </c>
      <c r="J677" t="inlineStr">
        <is>
          <t>II 84,1a</t>
        </is>
      </c>
      <c r="K677" t="inlineStr">
        <is>
          <t>II 84,1a</t>
        </is>
      </c>
      <c r="L677" t="inlineStr">
        <is>
          <t>II 84,1a</t>
        </is>
      </c>
      <c r="M677" t="inlineStr"/>
      <c r="N677" t="inlineStr">
        <is>
          <t xml:space="preserve">Quaestiones super duodecim libros Metaphysicae Aristotelis : </t>
        </is>
      </c>
      <c r="O677" t="inlineStr">
        <is>
          <t xml:space="preserve"> : </t>
        </is>
      </c>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HL</t>
        </is>
      </c>
      <c r="AJ677" t="inlineStr"/>
      <c r="AK677" t="inlineStr">
        <is>
          <t>x</t>
        </is>
      </c>
      <c r="AL677" t="inlineStr"/>
      <c r="AM677" t="inlineStr">
        <is>
          <t>h/E</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is>
          <t>I</t>
        </is>
      </c>
      <c r="BD677" t="inlineStr">
        <is>
          <t>x</t>
        </is>
      </c>
      <c r="BE677" t="inlineStr"/>
      <c r="BF677" t="inlineStr"/>
      <c r="BG677" t="n">
        <v>110</v>
      </c>
      <c r="BH677" t="inlineStr"/>
      <c r="BI677" t="inlineStr"/>
      <c r="BJ677" t="inlineStr"/>
      <c r="BK677" t="inlineStr"/>
      <c r="BL677" t="inlineStr"/>
      <c r="BM677" t="inlineStr">
        <is>
          <t>n</t>
        </is>
      </c>
      <c r="BN677" t="n">
        <v>0</v>
      </c>
      <c r="BO677" t="inlineStr"/>
      <c r="BP677" t="inlineStr">
        <is>
          <t>Wellpappe</t>
        </is>
      </c>
      <c r="BQ677" t="inlineStr"/>
      <c r="BR677" t="inlineStr"/>
      <c r="BS677" t="inlineStr"/>
      <c r="BT677" t="inlineStr"/>
      <c r="BU677" t="inlineStr"/>
      <c r="BV677" t="inlineStr"/>
      <c r="BW677" t="inlineStr">
        <is>
          <t>x 110</t>
        </is>
      </c>
      <c r="BX677" t="inlineStr">
        <is>
          <t xml:space="preserve">
berührunugsfrei</t>
        </is>
      </c>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t>
        </is>
      </c>
      <c r="B678" t="b">
        <v>1</v>
      </c>
      <c r="C678" t="inlineStr"/>
      <c r="D678" t="inlineStr"/>
      <c r="E678" t="n">
        <v>677</v>
      </c>
      <c r="F678">
        <f>HYPERLINK("https://portal.dnb.de/opac.htm?method=simpleSearch&amp;cqlMode=true&amp;query=idn%3D1072382814", "Portal")</f>
        <v/>
      </c>
      <c r="G678" t="inlineStr">
        <is>
          <t>Aa</t>
        </is>
      </c>
      <c r="H678" t="inlineStr">
        <is>
          <t>L-1479-327681535</t>
        </is>
      </c>
      <c r="I678" t="inlineStr">
        <is>
          <t>1072382814</t>
        </is>
      </c>
      <c r="J678" t="inlineStr">
        <is>
          <t>II 84,1b</t>
        </is>
      </c>
      <c r="K678" t="inlineStr">
        <is>
          <t>II 84,1b</t>
        </is>
      </c>
      <c r="L678" t="inlineStr">
        <is>
          <t>II 84,1b</t>
        </is>
      </c>
      <c r="M678" t="inlineStr"/>
      <c r="N678" t="inlineStr">
        <is>
          <t xml:space="preserve">In epistolas ad familiares Ciceronis commentum : </t>
        </is>
      </c>
      <c r="O678" t="inlineStr">
        <is>
          <t xml:space="preserve"> : </t>
        </is>
      </c>
      <c r="P678" t="inlineStr"/>
      <c r="Q678" t="inlineStr"/>
      <c r="R678" t="inlineStr"/>
      <c r="S678" t="inlineStr">
        <is>
          <t>bis 35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HL</t>
        </is>
      </c>
      <c r="AJ678" t="inlineStr"/>
      <c r="AK678" t="inlineStr">
        <is>
          <t>x</t>
        </is>
      </c>
      <c r="AL678" t="inlineStr"/>
      <c r="AM678" t="inlineStr">
        <is>
          <t>h/E</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110</v>
      </c>
      <c r="BH678" t="inlineStr"/>
      <c r="BI678" t="inlineStr"/>
      <c r="BJ678" t="inlineStr"/>
      <c r="BK678" t="inlineStr"/>
      <c r="BL678" t="inlineStr"/>
      <c r="BM678" t="inlineStr">
        <is>
          <t>n</t>
        </is>
      </c>
      <c r="BN678" t="n">
        <v>0</v>
      </c>
      <c r="BO678" t="inlineStr"/>
      <c r="BP678" t="inlineStr">
        <is>
          <t>Wellpappe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t>
        </is>
      </c>
      <c r="B679" t="b">
        <v>1</v>
      </c>
      <c r="C679" t="inlineStr"/>
      <c r="D679" t="inlineStr"/>
      <c r="E679" t="n">
        <v>678</v>
      </c>
      <c r="F679">
        <f>HYPERLINK("https://portal.dnb.de/opac.htm?method=simpleSearch&amp;cqlMode=true&amp;query=idn%3D107218866X", "Portal")</f>
        <v/>
      </c>
      <c r="G679" t="inlineStr">
        <is>
          <t>Aa</t>
        </is>
      </c>
      <c r="H679" t="inlineStr">
        <is>
          <t>L-1476-327020814</t>
        </is>
      </c>
      <c r="I679" t="inlineStr">
        <is>
          <t>107218866X</t>
        </is>
      </c>
      <c r="J679" t="inlineStr">
        <is>
          <t>II 84,2a</t>
        </is>
      </c>
      <c r="K679" t="inlineStr">
        <is>
          <t>II 84,2a</t>
        </is>
      </c>
      <c r="L679" t="inlineStr">
        <is>
          <t>II 84,2a</t>
        </is>
      </c>
      <c r="M679" t="inlineStr"/>
      <c r="N679" t="inlineStr">
        <is>
          <t xml:space="preserve">Oratio in funere Bartholomaei Colei : </t>
        </is>
      </c>
      <c r="O679" t="inlineStr">
        <is>
          <t xml:space="preserve"> : </t>
        </is>
      </c>
      <c r="P679" t="inlineStr"/>
      <c r="Q679" t="inlineStr"/>
      <c r="R679" t="inlineStr"/>
      <c r="S679" t="inlineStr">
        <is>
          <t>bis 25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Br</t>
        </is>
      </c>
      <c r="AJ679" t="inlineStr"/>
      <c r="AK679" t="inlineStr"/>
      <c r="AL679" t="inlineStr"/>
      <c r="AM679" t="inlineStr">
        <is>
          <t>f</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110</v>
      </c>
      <c r="BH679" t="inlineStr"/>
      <c r="BI679" t="inlineStr"/>
      <c r="BJ679" t="inlineStr"/>
      <c r="BK679" t="inlineStr"/>
      <c r="BL679" t="inlineStr"/>
      <c r="BM679" t="inlineStr">
        <is>
          <t>n</t>
        </is>
      </c>
      <c r="BN679" t="n">
        <v>0</v>
      </c>
      <c r="BO679" t="inlineStr"/>
      <c r="BP679" t="inlineStr"/>
      <c r="BQ679" t="inlineStr"/>
      <c r="BR679" t="inlineStr"/>
      <c r="BS679" t="inlineStr">
        <is>
          <t>x</t>
        </is>
      </c>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t>
        </is>
      </c>
      <c r="B680" t="b">
        <v>1</v>
      </c>
      <c r="C680" t="inlineStr">
        <is>
          <t>x</t>
        </is>
      </c>
      <c r="D680" t="inlineStr"/>
      <c r="E680" t="n">
        <v>679</v>
      </c>
      <c r="F680">
        <f>HYPERLINK("https://portal.dnb.de/opac.htm?method=simpleSearch&amp;cqlMode=true&amp;query=idn%3D1072254964", "Portal")</f>
        <v/>
      </c>
      <c r="G680" t="inlineStr">
        <is>
          <t>Aa</t>
        </is>
      </c>
      <c r="H680" t="inlineStr">
        <is>
          <t>L-1476-327155663</t>
        </is>
      </c>
      <c r="I680" t="inlineStr">
        <is>
          <t>1072254964</t>
        </is>
      </c>
      <c r="J680" t="inlineStr">
        <is>
          <t>II 84,2b</t>
        </is>
      </c>
      <c r="K680" t="inlineStr">
        <is>
          <t>II 84,2b</t>
        </is>
      </c>
      <c r="L680" t="inlineStr">
        <is>
          <t>II 84,2b</t>
        </is>
      </c>
      <c r="M680" t="inlineStr"/>
      <c r="N680" t="inlineStr">
        <is>
          <t xml:space="preserve">Commentum in Ciceronis Oratorem : </t>
        </is>
      </c>
      <c r="O680" t="inlineStr">
        <is>
          <t xml:space="preserve"> : </t>
        </is>
      </c>
      <c r="P680" t="inlineStr"/>
      <c r="Q680" t="inlineStr">
        <is>
          <t>5000,00 EUR</t>
        </is>
      </c>
      <c r="R680" t="inlineStr"/>
      <c r="S680" t="inlineStr">
        <is>
          <t>bis 35 cm</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is>
          <t>HL</t>
        </is>
      </c>
      <c r="AJ680" t="inlineStr"/>
      <c r="AK680" t="inlineStr">
        <is>
          <t>x</t>
        </is>
      </c>
      <c r="AL680" t="inlineStr"/>
      <c r="AM680" t="inlineStr">
        <is>
          <t>h/E</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n">
        <v>60</v>
      </c>
      <c r="BH680" t="inlineStr"/>
      <c r="BI680" t="inlineStr"/>
      <c r="BJ680" t="inlineStr"/>
      <c r="BK680" t="inlineStr"/>
      <c r="BL680" t="inlineStr"/>
      <c r="BM680" t="inlineStr">
        <is>
          <t>ja vor</t>
        </is>
      </c>
      <c r="BN680" t="n">
        <v>0.5</v>
      </c>
      <c r="BO680" t="inlineStr"/>
      <c r="BP680" t="inlineStr">
        <is>
          <t>Wellpappe</t>
        </is>
      </c>
      <c r="BQ680" t="inlineStr"/>
      <c r="BR680" t="inlineStr"/>
      <c r="BS680" t="inlineStr"/>
      <c r="BT680" t="inlineStr"/>
      <c r="BU680" t="inlineStr"/>
      <c r="BV680" t="inlineStr"/>
      <c r="BW680" t="inlineStr"/>
      <c r="BX680" t="inlineStr"/>
      <c r="BY680" t="inlineStr"/>
      <c r="BZ680" t="inlineStr"/>
      <c r="CA680" t="inlineStr">
        <is>
          <t>x</t>
        </is>
      </c>
      <c r="CB680" t="inlineStr">
        <is>
          <t>x</t>
        </is>
      </c>
      <c r="CC680" t="inlineStr"/>
      <c r="CD680" t="inlineStr">
        <is>
          <t>v</t>
        </is>
      </c>
      <c r="CE680" t="inlineStr"/>
      <c r="CF680" t="inlineStr"/>
      <c r="CG680" t="inlineStr"/>
      <c r="CH680" t="inlineStr"/>
      <c r="CI680" t="inlineStr"/>
      <c r="CJ680" t="inlineStr"/>
      <c r="CK680" t="inlineStr"/>
      <c r="CL680" t="inlineStr"/>
      <c r="CM680" t="n">
        <v>0.5</v>
      </c>
      <c r="CN680" t="inlineStr">
        <is>
          <t>bröseliges Leder Gelenk vorn oben sichern, Rest belassen</t>
        </is>
      </c>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t>
        </is>
      </c>
      <c r="B681" t="b">
        <v>1</v>
      </c>
      <c r="C681" t="inlineStr"/>
      <c r="D681" t="inlineStr"/>
      <c r="E681" t="n">
        <v>680</v>
      </c>
      <c r="F681">
        <f>HYPERLINK("https://portal.dnb.de/opac.htm?method=simpleSearch&amp;cqlMode=true&amp;query=idn%3D1072255812", "Portal")</f>
        <v/>
      </c>
      <c r="G681" t="inlineStr">
        <is>
          <t>Aa</t>
        </is>
      </c>
      <c r="H681" t="inlineStr">
        <is>
          <t>L-1475-327156120</t>
        </is>
      </c>
      <c r="I681" t="inlineStr">
        <is>
          <t>1072255812</t>
        </is>
      </c>
      <c r="J681" t="inlineStr">
        <is>
          <t>II 84,2c</t>
        </is>
      </c>
      <c r="K681" t="inlineStr">
        <is>
          <t>II 84,2c</t>
        </is>
      </c>
      <c r="L681" t="inlineStr">
        <is>
          <t>II 84,2c</t>
        </is>
      </c>
      <c r="M681" t="inlineStr"/>
      <c r="N681" t="inlineStr">
        <is>
          <t xml:space="preserve">Epistola ad Rabbi Isaac seu rationes ad reprobandos Iudaeorum errores : </t>
        </is>
      </c>
      <c r="O681" t="inlineStr">
        <is>
          <t xml:space="preserve"> : </t>
        </is>
      </c>
      <c r="P681" t="inlineStr"/>
      <c r="Q681" t="inlineStr"/>
      <c r="R681" t="inlineStr"/>
      <c r="S681" t="inlineStr">
        <is>
          <t>bis 25 cm</t>
        </is>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is>
          <t>Br</t>
        </is>
      </c>
      <c r="AJ681" t="inlineStr"/>
      <c r="AK681" t="inlineStr"/>
      <c r="AL681" t="inlineStr"/>
      <c r="AM681" t="inlineStr">
        <is>
          <t>f</t>
        </is>
      </c>
      <c r="AN681" t="inlineStr"/>
      <c r="AO681" t="inlineStr"/>
      <c r="AP681" t="inlineStr"/>
      <c r="AQ681" t="inlineStr"/>
      <c r="AR681" t="inlineStr"/>
      <c r="AS681" t="inlineStr">
        <is>
          <t>Pa</t>
        </is>
      </c>
      <c r="AT681" t="inlineStr"/>
      <c r="AU681" t="inlineStr"/>
      <c r="AV681" t="inlineStr"/>
      <c r="AW681" t="inlineStr"/>
      <c r="AX681" t="inlineStr"/>
      <c r="AY681" t="inlineStr"/>
      <c r="AZ681" t="inlineStr"/>
      <c r="BA681" t="inlineStr"/>
      <c r="BB681" t="inlineStr"/>
      <c r="BC681" t="inlineStr">
        <is>
          <t>I/R</t>
        </is>
      </c>
      <c r="BD681" t="inlineStr">
        <is>
          <t>x</t>
        </is>
      </c>
      <c r="BE681" t="inlineStr"/>
      <c r="BF681" t="inlineStr"/>
      <c r="BG681" t="n">
        <v>110</v>
      </c>
      <c r="BH681" t="inlineStr"/>
      <c r="BI681" t="inlineStr"/>
      <c r="BJ681" t="inlineStr"/>
      <c r="BK681" t="inlineStr"/>
      <c r="BL681" t="inlineStr"/>
      <c r="BM681" t="inlineStr">
        <is>
          <t>n</t>
        </is>
      </c>
      <c r="BN681" t="n">
        <v>0</v>
      </c>
      <c r="BO681" t="inlineStr"/>
      <c r="BP681" t="inlineStr"/>
      <c r="BQ681" t="inlineStr"/>
      <c r="BR681" t="inlineStr"/>
      <c r="BS681" t="inlineStr">
        <is>
          <t>x</t>
        </is>
      </c>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t>
        </is>
      </c>
      <c r="B682" t="b">
        <v>1</v>
      </c>
      <c r="C682" t="inlineStr"/>
      <c r="D682" t="inlineStr"/>
      <c r="E682" t="n">
        <v>681</v>
      </c>
      <c r="F682">
        <f>HYPERLINK("https://portal.dnb.de/opac.htm?method=simpleSearch&amp;cqlMode=true&amp;query=idn%3D1072189011", "Portal")</f>
        <v/>
      </c>
      <c r="G682" t="inlineStr">
        <is>
          <t>Aa</t>
        </is>
      </c>
      <c r="H682" t="inlineStr">
        <is>
          <t>L-1479-327021136</t>
        </is>
      </c>
      <c r="I682" t="inlineStr">
        <is>
          <t>1072189011</t>
        </is>
      </c>
      <c r="J682" t="inlineStr">
        <is>
          <t>II 84,3a</t>
        </is>
      </c>
      <c r="K682" t="inlineStr">
        <is>
          <t>II 84,3a</t>
        </is>
      </c>
      <c r="L682" t="inlineStr">
        <is>
          <t>II 84,3a</t>
        </is>
      </c>
      <c r="M682" t="inlineStr"/>
      <c r="N682" t="inlineStr">
        <is>
          <t xml:space="preserve">De orthographia dictionum e Graecis tractarum : </t>
        </is>
      </c>
      <c r="O682" t="inlineStr">
        <is>
          <t xml:space="preserve"> : </t>
        </is>
      </c>
      <c r="P682" t="inlineStr"/>
      <c r="Q682" t="inlineStr"/>
      <c r="R682" t="inlineStr"/>
      <c r="S682" t="inlineStr">
        <is>
          <t>bis 35 cm</t>
        </is>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is>
          <t>HD</t>
        </is>
      </c>
      <c r="AJ682" t="inlineStr"/>
      <c r="AK682" t="inlineStr"/>
      <c r="AL682" t="inlineStr">
        <is>
          <t>x</t>
        </is>
      </c>
      <c r="AM682" t="inlineStr">
        <is>
          <t>f</t>
        </is>
      </c>
      <c r="AN682" t="inlineStr"/>
      <c r="AO682" t="inlineStr"/>
      <c r="AP682" t="inlineStr"/>
      <c r="AQ682" t="inlineStr"/>
      <c r="AR682" t="inlineStr"/>
      <c r="AS682" t="inlineStr">
        <is>
          <t>Pa</t>
        </is>
      </c>
      <c r="AT682" t="inlineStr"/>
      <c r="AU682" t="inlineStr"/>
      <c r="AV682" t="inlineStr"/>
      <c r="AW682" t="inlineStr"/>
      <c r="AX682" t="inlineStr">
        <is>
          <t>x</t>
        </is>
      </c>
      <c r="AY682" t="inlineStr"/>
      <c r="AZ682" t="inlineStr"/>
      <c r="BA682" t="inlineStr"/>
      <c r="BB682" t="inlineStr"/>
      <c r="BC682" t="inlineStr"/>
      <c r="BD682" t="inlineStr"/>
      <c r="BE682" t="inlineStr"/>
      <c r="BF682" t="inlineStr"/>
      <c r="BG682" t="n">
        <v>110</v>
      </c>
      <c r="BH682" t="inlineStr"/>
      <c r="BI682" t="inlineStr"/>
      <c r="BJ682" t="inlineStr"/>
      <c r="BK682" t="inlineStr"/>
      <c r="BL682" t="inlineStr"/>
      <c r="BM682" t="inlineStr">
        <is>
          <t>n</t>
        </is>
      </c>
      <c r="BN682" t="n">
        <v>0</v>
      </c>
      <c r="BO682" t="inlineStr"/>
      <c r="BP682" t="inlineStr">
        <is>
          <t>Gewebe</t>
        </is>
      </c>
      <c r="BQ682" t="inlineStr"/>
      <c r="BR682" t="inlineStr"/>
      <c r="BS682" t="inlineStr"/>
      <c r="BT682" t="inlineStr"/>
      <c r="BU682" t="inlineStr"/>
      <c r="BV682" t="inlineStr">
        <is>
          <t>Fragmente des Klemmeinbandes werden extra in Wellpappbox daneben aufbewahrt</t>
        </is>
      </c>
      <c r="BW682" t="inlineStr">
        <is>
          <t>x 110</t>
        </is>
      </c>
      <c r="BX682" t="inlineStr">
        <is>
          <t xml:space="preserve">
neigt zum Bauch, Einband separat</t>
        </is>
      </c>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t>
        </is>
      </c>
      <c r="B683" t="b">
        <v>1</v>
      </c>
      <c r="C683" t="inlineStr"/>
      <c r="D683" t="inlineStr"/>
      <c r="E683" t="n">
        <v>682</v>
      </c>
      <c r="F683">
        <f>HYPERLINK("https://portal.dnb.de/opac.htm?method=simpleSearch&amp;cqlMode=true&amp;query=idn%3D1066965463", "Portal")</f>
        <v/>
      </c>
      <c r="G683" t="inlineStr">
        <is>
          <t>Aaf</t>
        </is>
      </c>
      <c r="H683" t="inlineStr">
        <is>
          <t>L-1488-315495707</t>
        </is>
      </c>
      <c r="I683" t="inlineStr">
        <is>
          <t>1066965463</t>
        </is>
      </c>
      <c r="J683" t="inlineStr">
        <is>
          <t>II 84,4a</t>
        </is>
      </c>
      <c r="K683" t="inlineStr">
        <is>
          <t>II 84,4a</t>
        </is>
      </c>
      <c r="L683" t="inlineStr">
        <is>
          <t>II 84,4a</t>
        </is>
      </c>
      <c r="M683" t="inlineStr"/>
      <c r="N683" t="inlineStr">
        <is>
          <t xml:space="preserve">Opera : </t>
        </is>
      </c>
      <c r="O683" t="inlineStr">
        <is>
          <t xml:space="preserve"> : </t>
        </is>
      </c>
      <c r="P683" t="inlineStr"/>
      <c r="Q683" t="inlineStr"/>
      <c r="R683" t="inlineStr"/>
      <c r="S683" t="inlineStr">
        <is>
          <t>bis 35 cm</t>
        </is>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is>
          <t>HL</t>
        </is>
      </c>
      <c r="AJ683" t="inlineStr"/>
      <c r="AK683" t="inlineStr">
        <is>
          <t>x</t>
        </is>
      </c>
      <c r="AL683" t="inlineStr"/>
      <c r="AM683" t="inlineStr">
        <is>
          <t>h/E</t>
        </is>
      </c>
      <c r="AN683" t="inlineStr"/>
      <c r="AO683" t="inlineStr"/>
      <c r="AP683" t="inlineStr"/>
      <c r="AQ683" t="inlineStr"/>
      <c r="AR683" t="inlineStr"/>
      <c r="AS683" t="inlineStr">
        <is>
          <t>Pa</t>
        </is>
      </c>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is>
          <t>max 110</t>
        </is>
      </c>
      <c r="BH683" t="inlineStr"/>
      <c r="BI683" t="inlineStr"/>
      <c r="BJ683" t="inlineStr"/>
      <c r="BK683" t="inlineStr"/>
      <c r="BL683" t="inlineStr"/>
      <c r="BM683" t="inlineStr">
        <is>
          <t>n</t>
        </is>
      </c>
      <c r="BN683" t="n">
        <v>0</v>
      </c>
      <c r="BO683" t="inlineStr"/>
      <c r="BP683" t="inlineStr">
        <is>
          <t>Wellpappe</t>
        </is>
      </c>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t>
        </is>
      </c>
      <c r="B684" t="b">
        <v>1</v>
      </c>
      <c r="C684" t="inlineStr"/>
      <c r="D684" t="inlineStr"/>
      <c r="E684" t="n">
        <v>683</v>
      </c>
      <c r="F684">
        <f>HYPERLINK("https://portal.dnb.de/opac.htm?method=simpleSearch&amp;cqlMode=true&amp;query=idn%3D107218981X", "Portal")</f>
        <v/>
      </c>
      <c r="G684" t="inlineStr">
        <is>
          <t>Aa</t>
        </is>
      </c>
      <c r="H684" t="inlineStr">
        <is>
          <t>L-1478-327021756</t>
        </is>
      </c>
      <c r="I684" t="inlineStr">
        <is>
          <t>107218981X</t>
        </is>
      </c>
      <c r="J684" t="inlineStr">
        <is>
          <t>II 85,1a - Fragm.</t>
        </is>
      </c>
      <c r="K684" t="inlineStr">
        <is>
          <t>II 85,1a - Fragm.</t>
        </is>
      </c>
      <c r="L684" t="inlineStr">
        <is>
          <t>II 85,1a - Fragm.</t>
        </is>
      </c>
      <c r="M684" t="inlineStr"/>
      <c r="N684" t="inlineStr">
        <is>
          <t xml:space="preserve">De astrolabio canones : </t>
        </is>
      </c>
      <c r="O684" t="inlineStr">
        <is>
          <t xml:space="preserve"> : </t>
        </is>
      </c>
      <c r="P684" t="inlineStr"/>
      <c r="Q684" t="inlineStr"/>
      <c r="R684" t="inlineStr"/>
      <c r="S684" t="inlineStr">
        <is>
          <t>bis 25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Pg</t>
        </is>
      </c>
      <c r="AJ684" t="inlineStr"/>
      <c r="AK684" t="inlineStr"/>
      <c r="AL684" t="inlineStr">
        <is>
          <t>x</t>
        </is>
      </c>
      <c r="AM684" t="inlineStr">
        <is>
          <t>h/E</t>
        </is>
      </c>
      <c r="AN684" t="inlineStr"/>
      <c r="AO684" t="inlineStr"/>
      <c r="AP684" t="inlineStr"/>
      <c r="AQ684" t="inlineStr"/>
      <c r="AR684" t="inlineStr"/>
      <c r="AS684" t="inlineStr">
        <is>
          <t>Pa</t>
        </is>
      </c>
      <c r="AT684" t="inlineStr"/>
      <c r="AU684" t="inlineStr"/>
      <c r="AV684" t="inlineStr"/>
      <c r="AW684" t="inlineStr"/>
      <c r="AX684" t="inlineStr"/>
      <c r="AY684" t="inlineStr"/>
      <c r="AZ684" t="inlineStr"/>
      <c r="BA684" t="inlineStr"/>
      <c r="BB684" t="inlineStr"/>
      <c r="BC684" t="inlineStr"/>
      <c r="BD684" t="inlineStr"/>
      <c r="BE684" t="inlineStr"/>
      <c r="BF684" t="inlineStr"/>
      <c r="BG684" t="n">
        <v>80</v>
      </c>
      <c r="BH684" t="inlineStr"/>
      <c r="BI684" t="inlineStr"/>
      <c r="BJ684" t="inlineStr"/>
      <c r="BK684" t="inlineStr"/>
      <c r="BL684" t="inlineStr"/>
      <c r="BM684" t="inlineStr">
        <is>
          <t>n</t>
        </is>
      </c>
      <c r="BN684" t="n">
        <v>0</v>
      </c>
      <c r="BO684" t="inlineStr"/>
      <c r="BP684" t="inlineStr">
        <is>
          <t>Gewebe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t>
        </is>
      </c>
      <c r="B685" t="b">
        <v>1</v>
      </c>
      <c r="C685" t="inlineStr"/>
      <c r="D685" t="inlineStr"/>
      <c r="E685" t="inlineStr"/>
      <c r="F685">
        <f>HYPERLINK("https://portal.dnb.de/opac.htm?method=simpleSearch&amp;cqlMode=true&amp;query=idn%3D1268951471", "Portal")</f>
        <v/>
      </c>
      <c r="G685" t="inlineStr">
        <is>
          <t>Qd</t>
        </is>
      </c>
      <c r="H685" t="inlineStr">
        <is>
          <t>L-1476-834334410</t>
        </is>
      </c>
      <c r="I685" t="inlineStr">
        <is>
          <t>1268951471</t>
        </is>
      </c>
      <c r="J685" t="inlineStr">
        <is>
          <t>II 63,1a</t>
        </is>
      </c>
      <c r="K685" t="inlineStr">
        <is>
          <t>II 85,1b; II 63,1a</t>
        </is>
      </c>
      <c r="L685" t="inlineStr">
        <is>
          <t>II 85,1b; II 63,1a</t>
        </is>
      </c>
      <c r="M685" t="inlineStr"/>
      <c r="N685" t="inlineStr">
        <is>
          <t xml:space="preserve">Sammelband mit zwei Inkunabeln : </t>
        </is>
      </c>
      <c r="O685" t="inlineStr">
        <is>
          <t xml:space="preserve"> : </t>
        </is>
      </c>
      <c r="P685" t="inlineStr"/>
      <c r="Q685" t="inlineStr"/>
      <c r="R685" t="inlineStr"/>
      <c r="S685" t="inlineStr">
        <is>
          <t>bis 35 cm</t>
        </is>
      </c>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is>
          <t>HL</t>
        </is>
      </c>
      <c r="AJ685" t="inlineStr"/>
      <c r="AK685" t="inlineStr">
        <is>
          <t>x</t>
        </is>
      </c>
      <c r="AL685" t="inlineStr"/>
      <c r="AM685" t="inlineStr">
        <is>
          <t>h/E</t>
        </is>
      </c>
      <c r="AN685" t="inlineStr"/>
      <c r="AO685" t="inlineStr"/>
      <c r="AP685" t="inlineStr"/>
      <c r="AQ685" t="inlineStr"/>
      <c r="AR685" t="inlineStr"/>
      <c r="AS685" t="inlineStr">
        <is>
          <t>Pa</t>
        </is>
      </c>
      <c r="AT685" t="inlineStr"/>
      <c r="AU685" t="inlineStr"/>
      <c r="AV685" t="inlineStr"/>
      <c r="AW685" t="inlineStr"/>
      <c r="AX685" t="inlineStr"/>
      <c r="AY685" t="inlineStr"/>
      <c r="AZ685" t="inlineStr"/>
      <c r="BA685" t="inlineStr"/>
      <c r="BB685" t="inlineStr"/>
      <c r="BC685" t="inlineStr"/>
      <c r="BD685" t="inlineStr"/>
      <c r="BE685" t="inlineStr"/>
      <c r="BF685" t="inlineStr"/>
      <c r="BG685" t="n">
        <v>60</v>
      </c>
      <c r="BH685" t="inlineStr"/>
      <c r="BI685" t="inlineStr"/>
      <c r="BJ685" t="inlineStr"/>
      <c r="BK685" t="inlineStr"/>
      <c r="BL685" t="inlineStr"/>
      <c r="BM685" t="inlineStr">
        <is>
          <t>n</t>
        </is>
      </c>
      <c r="BN685" t="n">
        <v>0</v>
      </c>
      <c r="BO685" t="inlineStr"/>
      <c r="BP685" t="inlineStr">
        <is>
          <t>Wellpappe</t>
        </is>
      </c>
      <c r="BQ685" t="inlineStr"/>
      <c r="BR685" t="inlineStr"/>
      <c r="BS685" t="inlineStr"/>
      <c r="BT685" t="inlineStr"/>
      <c r="BU685" t="inlineStr"/>
      <c r="BV685" t="inlineStr">
        <is>
          <t>Schaden ist stabil genug für Digit.</t>
        </is>
      </c>
      <c r="BW685" t="inlineStr">
        <is>
          <t>x 60</t>
        </is>
      </c>
      <c r="BX685" t="inlineStr">
        <is>
          <t xml:space="preserve">
Gelenke sind kaputt</t>
        </is>
      </c>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t>
        </is>
      </c>
      <c r="B686" t="b">
        <v>1</v>
      </c>
      <c r="C686" t="inlineStr"/>
      <c r="D686" t="inlineStr"/>
      <c r="E686" t="n">
        <v>685</v>
      </c>
      <c r="F686">
        <f>HYPERLINK("https://portal.dnb.de/opac.htm?method=simpleSearch&amp;cqlMode=true&amp;query=idn%3D1066970084", "Portal")</f>
        <v/>
      </c>
      <c r="G686" t="inlineStr">
        <is>
          <t>Aaf</t>
        </is>
      </c>
      <c r="H686" t="inlineStr">
        <is>
          <t>L-1481-315500433</t>
        </is>
      </c>
      <c r="I686" t="inlineStr">
        <is>
          <t>1066970084</t>
        </is>
      </c>
      <c r="J686" t="inlineStr">
        <is>
          <t>II 86,1a</t>
        </is>
      </c>
      <c r="K686" t="inlineStr">
        <is>
          <t>II 86,1a</t>
        </is>
      </c>
      <c r="L686" t="inlineStr">
        <is>
          <t>II 86,1a</t>
        </is>
      </c>
      <c r="M686" t="inlineStr"/>
      <c r="N686" t="inlineStr">
        <is>
          <t xml:space="preserve">Quaestiones Evangeliorum de tempore et de sanctis : </t>
        </is>
      </c>
      <c r="O686" t="inlineStr">
        <is>
          <t xml:space="preserve"> : </t>
        </is>
      </c>
      <c r="P686" t="inlineStr"/>
      <c r="Q686" t="inlineStr"/>
      <c r="R686" t="inlineStr"/>
      <c r="S686" t="inlineStr">
        <is>
          <t>bis 35 cm</t>
        </is>
      </c>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is>
          <t>L</t>
        </is>
      </c>
      <c r="AJ686" t="inlineStr"/>
      <c r="AK686" t="inlineStr"/>
      <c r="AL686" t="inlineStr"/>
      <c r="AM686" t="inlineStr">
        <is>
          <t>f/V</t>
        </is>
      </c>
      <c r="AN686" t="inlineStr"/>
      <c r="AO686" t="inlineStr"/>
      <c r="AP686" t="inlineStr"/>
      <c r="AQ686" t="inlineStr"/>
      <c r="AR686" t="inlineStr"/>
      <c r="AS686" t="inlineStr">
        <is>
          <t>Pa</t>
        </is>
      </c>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is>
          <t>max 110</t>
        </is>
      </c>
      <c r="BH686" t="inlineStr"/>
      <c r="BI686" t="inlineStr"/>
      <c r="BJ686" t="inlineStr"/>
      <c r="BK686" t="inlineStr"/>
      <c r="BL686" t="inlineStr"/>
      <c r="BM686" t="inlineStr">
        <is>
          <t>n</t>
        </is>
      </c>
      <c r="BN686" t="n">
        <v>0</v>
      </c>
      <c r="BO686" t="inlineStr"/>
      <c r="BP686" t="inlineStr">
        <is>
          <t>Wellpappe</t>
        </is>
      </c>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t>
        </is>
      </c>
      <c r="B687" t="b">
        <v>1</v>
      </c>
      <c r="C687" t="inlineStr"/>
      <c r="D687" t="inlineStr"/>
      <c r="E687" t="n">
        <v>686</v>
      </c>
      <c r="F687">
        <f>HYPERLINK("https://portal.dnb.de/opac.htm?method=simpleSearch&amp;cqlMode=true&amp;query=idn%3D1066971315", "Portal")</f>
        <v/>
      </c>
      <c r="G687" t="inlineStr">
        <is>
          <t>Aaf</t>
        </is>
      </c>
      <c r="H687" t="inlineStr">
        <is>
          <t>L-1481-315501685</t>
        </is>
      </c>
      <c r="I687" t="inlineStr">
        <is>
          <t>1066971315</t>
        </is>
      </c>
      <c r="J687" t="inlineStr">
        <is>
          <t>II 86,1b</t>
        </is>
      </c>
      <c r="K687" t="inlineStr">
        <is>
          <t>II 86,1b</t>
        </is>
      </c>
      <c r="L687" t="inlineStr">
        <is>
          <t>II 86,1b</t>
        </is>
      </c>
      <c r="M687" t="inlineStr"/>
      <c r="N687" t="inlineStr">
        <is>
          <t xml:space="preserve">Consilia et quaestiones : </t>
        </is>
      </c>
      <c r="O687" t="inlineStr">
        <is>
          <t xml:space="preserve"> : </t>
        </is>
      </c>
      <c r="P687" t="inlineStr"/>
      <c r="Q687" t="inlineStr"/>
      <c r="R687" t="inlineStr"/>
      <c r="S687" t="inlineStr">
        <is>
          <t>bis 35 cm</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is>
          <t>HL</t>
        </is>
      </c>
      <c r="AJ687" t="inlineStr"/>
      <c r="AK687" t="inlineStr"/>
      <c r="AL687" t="inlineStr"/>
      <c r="AM687" t="inlineStr">
        <is>
          <t>h/E</t>
        </is>
      </c>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is>
          <t>I/R</t>
        </is>
      </c>
      <c r="BD687" t="inlineStr">
        <is>
          <t>x</t>
        </is>
      </c>
      <c r="BE687" t="inlineStr"/>
      <c r="BF687" t="inlineStr"/>
      <c r="BG687" t="inlineStr">
        <is>
          <t>max 110</t>
        </is>
      </c>
      <c r="BH687" t="inlineStr"/>
      <c r="BI687" t="inlineStr"/>
      <c r="BJ687" t="inlineStr"/>
      <c r="BK687" t="inlineStr"/>
      <c r="BL687" t="inlineStr"/>
      <c r="BM687" t="inlineStr">
        <is>
          <t>n</t>
        </is>
      </c>
      <c r="BN687" t="n">
        <v>0</v>
      </c>
      <c r="BO687" t="inlineStr"/>
      <c r="BP687" t="inlineStr">
        <is>
          <t>Wellpappe</t>
        </is>
      </c>
      <c r="BQ687" t="inlineStr"/>
      <c r="BR687" t="inlineStr"/>
      <c r="BS687" t="inlineStr"/>
      <c r="BT687" t="inlineStr"/>
      <c r="BU687" t="inlineStr"/>
      <c r="BV687" t="inlineStr">
        <is>
          <t>Schaden in den Gelenken ist stabil genug</t>
        </is>
      </c>
      <c r="BW687" t="inlineStr">
        <is>
          <t>x 110</t>
        </is>
      </c>
      <c r="BX687" t="inlineStr">
        <is>
          <t xml:space="preserve">
max 110, Gelenke beschädigt</t>
        </is>
      </c>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t>
        </is>
      </c>
      <c r="B688" t="b">
        <v>1</v>
      </c>
      <c r="C688" t="inlineStr"/>
      <c r="D688" t="inlineStr"/>
      <c r="E688" t="n">
        <v>1</v>
      </c>
      <c r="F688">
        <f>HYPERLINK("https://portal.dnb.de/opac.htm?method=simpleSearch&amp;cqlMode=true&amp;query=idn%3D107238311X", "Portal")</f>
        <v/>
      </c>
      <c r="G688" t="inlineStr">
        <is>
          <t>Aa</t>
        </is>
      </c>
      <c r="H688" t="inlineStr">
        <is>
          <t>L-1498-327681713</t>
        </is>
      </c>
      <c r="I688" t="inlineStr">
        <is>
          <t>107238311X</t>
        </is>
      </c>
      <c r="J688" t="inlineStr">
        <is>
          <t>II 86A,1a - Fragm.</t>
        </is>
      </c>
      <c r="K688" t="inlineStr">
        <is>
          <t>II 86A,1a - Fragm.</t>
        </is>
      </c>
      <c r="L688" t="inlineStr">
        <is>
          <t>II 86A,1a - Fragm.</t>
        </is>
      </c>
      <c r="M688" t="inlineStr"/>
      <c r="N688" t="inlineStr">
        <is>
          <t xml:space="preserve">The @Golden Legend : </t>
        </is>
      </c>
      <c r="O688" t="inlineStr">
        <is>
          <t xml:space="preserve"> : </t>
        </is>
      </c>
      <c r="P688" t="inlineStr"/>
      <c r="Q688" t="inlineStr"/>
      <c r="R688" t="inlineStr"/>
      <c r="S688" t="inlineStr">
        <is>
          <t>bis 35 cm</t>
        </is>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is>
          <t>HL</t>
        </is>
      </c>
      <c r="AJ688" t="inlineStr"/>
      <c r="AK688" t="inlineStr"/>
      <c r="AL688" t="inlineStr"/>
      <c r="AM688" t="inlineStr">
        <is>
          <t>f</t>
        </is>
      </c>
      <c r="AN688" t="inlineStr"/>
      <c r="AO688" t="inlineStr"/>
      <c r="AP688" t="inlineStr"/>
      <c r="AQ688" t="inlineStr"/>
      <c r="AR688" t="inlineStr"/>
      <c r="AS688" t="inlineStr">
        <is>
          <t>Pa</t>
        </is>
      </c>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is>
          <t>nur 110</t>
        </is>
      </c>
      <c r="BH688" t="inlineStr"/>
      <c r="BI688" t="inlineStr"/>
      <c r="BJ688" t="inlineStr"/>
      <c r="BK688" t="inlineStr"/>
      <c r="BL688" t="inlineStr"/>
      <c r="BM688" t="inlineStr">
        <is>
          <t>n</t>
        </is>
      </c>
      <c r="BN688" t="n">
        <v>0</v>
      </c>
      <c r="BO688" t="inlineStr"/>
      <c r="BP688" t="inlineStr"/>
      <c r="BQ688" t="inlineStr"/>
      <c r="BR688" t="inlineStr"/>
      <c r="BS688" t="inlineStr">
        <is>
          <t>x</t>
        </is>
      </c>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t>
        </is>
      </c>
      <c r="B689" t="b">
        <v>1</v>
      </c>
      <c r="C689" t="inlineStr">
        <is>
          <t>x</t>
        </is>
      </c>
      <c r="D689" t="inlineStr"/>
      <c r="E689" t="n">
        <v>687</v>
      </c>
      <c r="F689">
        <f>HYPERLINK("https://portal.dnb.de/opac.htm?method=simpleSearch&amp;cqlMode=true&amp;query=idn%3D1066972214", "Portal")</f>
        <v/>
      </c>
      <c r="G689" t="inlineStr">
        <is>
          <t>Aaf</t>
        </is>
      </c>
      <c r="H689" t="inlineStr">
        <is>
          <t>L-1479-315502630</t>
        </is>
      </c>
      <c r="I689" t="inlineStr">
        <is>
          <t>1066972214</t>
        </is>
      </c>
      <c r="J689" t="inlineStr">
        <is>
          <t>II 87,1 a</t>
        </is>
      </c>
      <c r="K689" t="inlineStr">
        <is>
          <t>II 87,1 a</t>
        </is>
      </c>
      <c r="L689" t="inlineStr">
        <is>
          <t>II 87,1a</t>
        </is>
      </c>
      <c r="M689" t="inlineStr"/>
      <c r="N689" t="inlineStr">
        <is>
          <t xml:space="preserve">Sermones de tempore et de sanctis : </t>
        </is>
      </c>
      <c r="O689" t="inlineStr">
        <is>
          <t xml:space="preserve"> : </t>
        </is>
      </c>
      <c r="P689" t="inlineStr"/>
      <c r="Q689" t="inlineStr">
        <is>
          <t>4500,00 EUR</t>
        </is>
      </c>
      <c r="R689" t="inlineStr"/>
      <c r="S689" t="inlineStr">
        <is>
          <t>bis 35 cm</t>
        </is>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is>
          <t>HD</t>
        </is>
      </c>
      <c r="AJ689" t="inlineStr"/>
      <c r="AK689" t="inlineStr">
        <is>
          <t>x</t>
        </is>
      </c>
      <c r="AL689" t="inlineStr"/>
      <c r="AM689" t="inlineStr">
        <is>
          <t>f/V</t>
        </is>
      </c>
      <c r="AN689" t="inlineStr"/>
      <c r="AO689" t="inlineStr"/>
      <c r="AP689" t="inlineStr"/>
      <c r="AQ689" t="inlineStr"/>
      <c r="AR689" t="inlineStr"/>
      <c r="AS689" t="inlineStr">
        <is>
          <t>Pa</t>
        </is>
      </c>
      <c r="AT689" t="inlineStr"/>
      <c r="AU689" t="inlineStr"/>
      <c r="AV689" t="inlineStr"/>
      <c r="AW689" t="inlineStr"/>
      <c r="AX689" t="inlineStr"/>
      <c r="AY689" t="inlineStr"/>
      <c r="AZ689" t="inlineStr"/>
      <c r="BA689" t="inlineStr"/>
      <c r="BB689" t="inlineStr"/>
      <c r="BC689" t="inlineStr">
        <is>
          <t>I/R</t>
        </is>
      </c>
      <c r="BD689" t="inlineStr">
        <is>
          <t>x</t>
        </is>
      </c>
      <c r="BE689" t="inlineStr"/>
      <c r="BF689" t="inlineStr"/>
      <c r="BG689" t="n">
        <v>60</v>
      </c>
      <c r="BH689" t="inlineStr"/>
      <c r="BI689" t="inlineStr"/>
      <c r="BJ689" t="inlineStr"/>
      <c r="BK689" t="inlineStr"/>
      <c r="BL689" t="inlineStr"/>
      <c r="BM689" t="inlineStr">
        <is>
          <t>ja vor</t>
        </is>
      </c>
      <c r="BN689" t="n">
        <v>3.5</v>
      </c>
      <c r="BO689" t="inlineStr"/>
      <c r="BP689" t="inlineStr">
        <is>
          <t>Wellpappe</t>
        </is>
      </c>
      <c r="BQ689" t="inlineStr"/>
      <c r="BR689" t="inlineStr"/>
      <c r="BS689" t="inlineStr"/>
      <c r="BT689" t="inlineStr"/>
      <c r="BU689" t="inlineStr"/>
      <c r="BV689" t="inlineStr"/>
      <c r="BW689" t="inlineStr"/>
      <c r="BX689" t="inlineStr"/>
      <c r="BY689" t="inlineStr"/>
      <c r="BZ689" t="inlineStr"/>
      <c r="CA689" t="inlineStr">
        <is>
          <t>x</t>
        </is>
      </c>
      <c r="CB689" t="inlineStr">
        <is>
          <t>x</t>
        </is>
      </c>
      <c r="CC689" t="inlineStr"/>
      <c r="CD689" t="inlineStr">
        <is>
          <t>v/h</t>
        </is>
      </c>
      <c r="CE689" t="inlineStr"/>
      <c r="CF689" t="inlineStr"/>
      <c r="CG689" t="inlineStr"/>
      <c r="CH689" t="inlineStr"/>
      <c r="CI689" t="inlineStr"/>
      <c r="CJ689" t="inlineStr"/>
      <c r="CK689" t="inlineStr"/>
      <c r="CL689" t="inlineStr"/>
      <c r="CM689" t="n">
        <v>3.5</v>
      </c>
      <c r="CN689" t="inlineStr">
        <is>
          <t>Gelenke außen stabilisieren, Gelenke innen (Gewebe) belassen (Bünde sind tiptop)</t>
        </is>
      </c>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t>
        </is>
      </c>
      <c r="B690" t="b">
        <v>1</v>
      </c>
      <c r="C690" t="inlineStr"/>
      <c r="D690" t="inlineStr"/>
      <c r="E690" t="n">
        <v>688</v>
      </c>
      <c r="F690">
        <f>HYPERLINK("https://portal.dnb.de/opac.htm?method=simpleSearch&amp;cqlMode=true&amp;query=idn%3D1072383721", "Portal")</f>
        <v/>
      </c>
      <c r="G690" t="inlineStr">
        <is>
          <t>Aa</t>
        </is>
      </c>
      <c r="H690" t="inlineStr">
        <is>
          <t>L-1486-327682124</t>
        </is>
      </c>
      <c r="I690" t="inlineStr">
        <is>
          <t>1072383721</t>
        </is>
      </c>
      <c r="J690" t="inlineStr">
        <is>
          <t>II 87,1c</t>
        </is>
      </c>
      <c r="K690" t="inlineStr">
        <is>
          <t>II 87,1c</t>
        </is>
      </c>
      <c r="L690" t="inlineStr">
        <is>
          <t>II 87,1c</t>
        </is>
      </c>
      <c r="M690" t="inlineStr"/>
      <c r="N690" t="inlineStr">
        <is>
          <t xml:space="preserve">De consideratione : </t>
        </is>
      </c>
      <c r="O690" t="inlineStr">
        <is>
          <t xml:space="preserve"> : </t>
        </is>
      </c>
      <c r="P690" t="inlineStr"/>
      <c r="Q690" t="inlineStr"/>
      <c r="R690" t="inlineStr"/>
      <c r="S690" t="inlineStr">
        <is>
          <t>bis 25 cm</t>
        </is>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is>
          <t>HL</t>
        </is>
      </c>
      <c r="AJ690" t="inlineStr"/>
      <c r="AK690" t="inlineStr">
        <is>
          <t>x</t>
        </is>
      </c>
      <c r="AL690" t="inlineStr"/>
      <c r="AM690" t="inlineStr">
        <is>
          <t>f/V</t>
        </is>
      </c>
      <c r="AN690" t="inlineStr"/>
      <c r="AO690" t="inlineStr"/>
      <c r="AP690" t="inlineStr"/>
      <c r="AQ690" t="inlineStr"/>
      <c r="AR690" t="inlineStr"/>
      <c r="AS690" t="inlineStr">
        <is>
          <t>Pa</t>
        </is>
      </c>
      <c r="AT690" t="inlineStr"/>
      <c r="AU690" t="inlineStr"/>
      <c r="AV690" t="inlineStr"/>
      <c r="AW690" t="inlineStr"/>
      <c r="AX690" t="inlineStr"/>
      <c r="AY690" t="inlineStr"/>
      <c r="AZ690" t="inlineStr"/>
      <c r="BA690" t="inlineStr"/>
      <c r="BB690" t="inlineStr"/>
      <c r="BC690" t="inlineStr">
        <is>
          <t>I/R</t>
        </is>
      </c>
      <c r="BD690" t="inlineStr">
        <is>
          <t>x</t>
        </is>
      </c>
      <c r="BE690" t="inlineStr"/>
      <c r="BF690" t="inlineStr"/>
      <c r="BG690" t="n">
        <v>110</v>
      </c>
      <c r="BH690" t="inlineStr"/>
      <c r="BI690" t="inlineStr"/>
      <c r="BJ690" t="inlineStr"/>
      <c r="BK690" t="inlineStr"/>
      <c r="BL690" t="inlineStr"/>
      <c r="BM690" t="inlineStr">
        <is>
          <t>n</t>
        </is>
      </c>
      <c r="BN690" t="n">
        <v>0</v>
      </c>
      <c r="BO690" t="inlineStr"/>
      <c r="BP690" t="inlineStr">
        <is>
          <t>Wellpappe</t>
        </is>
      </c>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t>
        </is>
      </c>
      <c r="B691" t="b">
        <v>1</v>
      </c>
      <c r="C691" t="inlineStr"/>
      <c r="D691" t="inlineStr"/>
      <c r="E691" t="inlineStr"/>
      <c r="F691">
        <f>HYPERLINK("https://portal.dnb.de/opac.htm?method=simpleSearch&amp;cqlMode=true&amp;query=idn%3D1072190648", "Portal")</f>
        <v/>
      </c>
      <c r="G691" t="inlineStr">
        <is>
          <t>Aa</t>
        </is>
      </c>
      <c r="H691" t="inlineStr">
        <is>
          <t>L-9999-327022485</t>
        </is>
      </c>
      <c r="I691" t="inlineStr">
        <is>
          <t>1072190648</t>
        </is>
      </c>
      <c r="J691" t="inlineStr">
        <is>
          <t>II 88,1 - Fragm.</t>
        </is>
      </c>
      <c r="K691" t="inlineStr">
        <is>
          <t>II 88,1 - Fragm.</t>
        </is>
      </c>
      <c r="L691" t="inlineStr">
        <is>
          <t>II 88,1 - Fragm.</t>
        </is>
      </c>
      <c r="M691" t="inlineStr"/>
      <c r="N691" t="inlineStr">
        <is>
          <t xml:space="preserve">Ars minor : </t>
        </is>
      </c>
      <c r="O691" t="inlineStr">
        <is>
          <t xml:space="preserve"> : </t>
        </is>
      </c>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t>
        </is>
      </c>
      <c r="B692" t="b">
        <v>1</v>
      </c>
      <c r="C692" t="inlineStr"/>
      <c r="D692" t="inlineStr"/>
      <c r="E692" t="inlineStr"/>
      <c r="F692">
        <f>HYPERLINK("https://portal.dnb.de/opac.htm?method=simpleSearch&amp;cqlMode=true&amp;query=idn%3D1066941572", "Portal")</f>
        <v/>
      </c>
      <c r="G692" t="inlineStr">
        <is>
          <t>Qd</t>
        </is>
      </c>
      <c r="H692" t="inlineStr">
        <is>
          <t>L-1477-315469234</t>
        </is>
      </c>
      <c r="I692" t="inlineStr">
        <is>
          <t>1066941572</t>
        </is>
      </c>
      <c r="J692" t="inlineStr">
        <is>
          <t>II 90,1a (ÜF / 4. OG: R73A/10/1)</t>
        </is>
      </c>
      <c r="K692" t="inlineStr">
        <is>
          <t>II 90,1a</t>
        </is>
      </c>
      <c r="L692" t="inlineStr">
        <is>
          <t>II 90,1a</t>
        </is>
      </c>
      <c r="M692" t="inlineStr"/>
      <c r="N692" t="inlineStr">
        <is>
          <t xml:space="preserve">Konvolut von Inkunabelblättern (Fragmente) : </t>
        </is>
      </c>
      <c r="O692" t="inlineStr">
        <is>
          <t xml:space="preserve"> : </t>
        </is>
      </c>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t>
        </is>
      </c>
      <c r="B693" t="b">
        <v>0</v>
      </c>
      <c r="C693" t="inlineStr"/>
      <c r="D693" t="inlineStr"/>
      <c r="E693" t="n">
        <v>689</v>
      </c>
      <c r="F693">
        <f>HYPERLINK("https://portal.dnb.de/opac.htm?method=simpleSearch&amp;cqlMode=true&amp;query=idn%3D1109774656", "Portal")</f>
        <v/>
      </c>
      <c r="G693" t="inlineStr"/>
      <c r="H693" t="inlineStr">
        <is>
          <t>L-1474-375087958</t>
        </is>
      </c>
      <c r="I693" t="inlineStr">
        <is>
          <t>1109774656</t>
        </is>
      </c>
      <c r="J693" t="inlineStr"/>
      <c r="K693" t="inlineStr"/>
      <c r="L693" t="inlineStr">
        <is>
          <t>II 90,1a - [1] Fragm.</t>
        </is>
      </c>
      <c r="M693" t="inlineStr">
        <is>
          <t>Mappe mit den Fragmenten liegt bei ÜF, alle Fragmente sind bei 180° zu digitalisieren; alle Fragmente (II 90,1a [1]-[24] Fragm.) sind auf Kartons (säurehaltig!!) 31,5x46 montiert</t>
        </is>
      </c>
      <c r="N693" t="inlineStr"/>
      <c r="O693" t="inlineStr"/>
      <c r="P693" t="inlineStr"/>
      <c r="Q693" t="inlineStr"/>
      <c r="R693" t="inlineStr"/>
      <c r="S693" t="inlineStr">
        <is>
          <t>&gt; 42 cm</t>
        </is>
      </c>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180</v>
      </c>
      <c r="BH693" t="inlineStr"/>
      <c r="BI693" t="inlineStr"/>
      <c r="BJ693" t="inlineStr"/>
      <c r="BK693" t="inlineStr"/>
      <c r="BL693" t="inlineStr"/>
      <c r="BM693" t="inlineStr"/>
      <c r="BN693" t="n">
        <v>0</v>
      </c>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t>
        </is>
      </c>
      <c r="B694" t="b">
        <v>0</v>
      </c>
      <c r="C694" t="inlineStr"/>
      <c r="D694" t="inlineStr"/>
      <c r="E694" t="n">
        <v>690</v>
      </c>
      <c r="F694">
        <f>HYPERLINK("https://portal.dnb.de/opac.htm?method=simpleSearch&amp;cqlMode=true&amp;query=idn%3D110977575X", "Portal")</f>
        <v/>
      </c>
      <c r="G694" t="inlineStr"/>
      <c r="H694" t="inlineStr">
        <is>
          <t>L-1477-375088350</t>
        </is>
      </c>
      <c r="I694" t="inlineStr">
        <is>
          <t>110977575X</t>
        </is>
      </c>
      <c r="J694" t="inlineStr"/>
      <c r="K694" t="inlineStr"/>
      <c r="L694" t="inlineStr">
        <is>
          <t>II 90,1a - [2] Fragm.</t>
        </is>
      </c>
      <c r="M694" t="inlineStr"/>
      <c r="N694" t="inlineStr"/>
      <c r="O694" t="inlineStr"/>
      <c r="P694" t="inlineStr"/>
      <c r="Q694" t="inlineStr"/>
      <c r="R694" t="inlineStr"/>
      <c r="S694" t="inlineStr">
        <is>
          <t>&gt; 42 cm</t>
        </is>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is>
          <t>Pa</t>
        </is>
      </c>
      <c r="AT694" t="inlineStr"/>
      <c r="AU694" t="inlineStr"/>
      <c r="AV694" t="inlineStr"/>
      <c r="AW694" t="inlineStr"/>
      <c r="AX694" t="inlineStr"/>
      <c r="AY694" t="inlineStr"/>
      <c r="AZ694" t="inlineStr"/>
      <c r="BA694" t="inlineStr"/>
      <c r="BB694" t="inlineStr"/>
      <c r="BC694" t="inlineStr"/>
      <c r="BD694" t="inlineStr"/>
      <c r="BE694" t="inlineStr"/>
      <c r="BF694" t="inlineStr"/>
      <c r="BG694" t="n">
        <v>180</v>
      </c>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t>
        </is>
      </c>
      <c r="B695" t="b">
        <v>0</v>
      </c>
      <c r="C695" t="inlineStr"/>
      <c r="D695" t="inlineStr"/>
      <c r="E695" t="n">
        <v>691</v>
      </c>
      <c r="F695">
        <f>HYPERLINK("https://portal.dnb.de/opac.htm?method=simpleSearch&amp;cqlMode=true&amp;query=idn%3D110977575X", "Portal")</f>
        <v/>
      </c>
      <c r="G695" t="inlineStr"/>
      <c r="H695" t="inlineStr">
        <is>
          <t>L-1477-375088466</t>
        </is>
      </c>
      <c r="I695" t="inlineStr">
        <is>
          <t>110977575X</t>
        </is>
      </c>
      <c r="J695" t="inlineStr"/>
      <c r="K695" t="inlineStr"/>
      <c r="L695" t="inlineStr">
        <is>
          <t>II 90,1a - [3] Fragm.</t>
        </is>
      </c>
      <c r="M695" t="inlineStr"/>
      <c r="N695" t="inlineStr"/>
      <c r="O695" t="inlineStr"/>
      <c r="P695" t="inlineStr"/>
      <c r="Q695" t="inlineStr"/>
      <c r="R695" t="inlineStr"/>
      <c r="S695" t="inlineStr">
        <is>
          <t>&gt; 42 cm</t>
        </is>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is>
          <t>Pa</t>
        </is>
      </c>
      <c r="AT695" t="inlineStr"/>
      <c r="AU695" t="inlineStr"/>
      <c r="AV695" t="inlineStr"/>
      <c r="AW695" t="inlineStr"/>
      <c r="AX695" t="inlineStr"/>
      <c r="AY695" t="inlineStr"/>
      <c r="AZ695" t="inlineStr"/>
      <c r="BA695" t="inlineStr"/>
      <c r="BB695" t="inlineStr"/>
      <c r="BC695" t="inlineStr"/>
      <c r="BD695" t="inlineStr"/>
      <c r="BE695" t="inlineStr"/>
      <c r="BF695" t="inlineStr"/>
      <c r="BG695" t="n">
        <v>180</v>
      </c>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t>
        </is>
      </c>
      <c r="B696" t="b">
        <v>0</v>
      </c>
      <c r="C696" t="inlineStr"/>
      <c r="D696" t="inlineStr"/>
      <c r="E696" t="n">
        <v>692</v>
      </c>
      <c r="F696">
        <f>HYPERLINK("https://portal.dnb.de/opac.htm?method=simpleSearch&amp;cqlMode=true&amp;query=idn%3D110977575X", "Portal")</f>
        <v/>
      </c>
      <c r="G696" t="inlineStr"/>
      <c r="H696" t="inlineStr">
        <is>
          <t>L-1477-375088474</t>
        </is>
      </c>
      <c r="I696" t="inlineStr">
        <is>
          <t>110977575X</t>
        </is>
      </c>
      <c r="J696" t="inlineStr"/>
      <c r="K696" t="inlineStr"/>
      <c r="L696" t="inlineStr">
        <is>
          <t>II 90,1a - [4] Fragm.</t>
        </is>
      </c>
      <c r="M696" t="inlineStr"/>
      <c r="N696" t="inlineStr"/>
      <c r="O696" t="inlineStr"/>
      <c r="P696" t="inlineStr"/>
      <c r="Q696" t="inlineStr"/>
      <c r="R696" t="inlineStr"/>
      <c r="S696" t="inlineStr">
        <is>
          <t>&gt; 42 cm</t>
        </is>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is>
          <t>Pa</t>
        </is>
      </c>
      <c r="AT696" t="inlineStr"/>
      <c r="AU696" t="inlineStr"/>
      <c r="AV696" t="inlineStr"/>
      <c r="AW696" t="inlineStr"/>
      <c r="AX696" t="inlineStr"/>
      <c r="AY696" t="inlineStr"/>
      <c r="AZ696" t="inlineStr"/>
      <c r="BA696" t="inlineStr"/>
      <c r="BB696" t="inlineStr"/>
      <c r="BC696" t="inlineStr"/>
      <c r="BD696" t="inlineStr"/>
      <c r="BE696" t="inlineStr"/>
      <c r="BF696" t="inlineStr"/>
      <c r="BG696" t="n">
        <v>180</v>
      </c>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t>
        </is>
      </c>
      <c r="B697" t="b">
        <v>0</v>
      </c>
      <c r="C697" t="inlineStr"/>
      <c r="D697" t="inlineStr"/>
      <c r="E697" t="n">
        <v>693</v>
      </c>
      <c r="F697">
        <f>HYPERLINK("https://portal.dnb.de/opac.htm?method=simpleSearch&amp;cqlMode=true&amp;query=idn%3D1066968020", "Portal")</f>
        <v/>
      </c>
      <c r="G697" t="inlineStr"/>
      <c r="H697" t="inlineStr">
        <is>
          <t>L-1478-375324100</t>
        </is>
      </c>
      <c r="I697" t="inlineStr">
        <is>
          <t>1066968020</t>
        </is>
      </c>
      <c r="J697" t="inlineStr"/>
      <c r="K697" t="inlineStr"/>
      <c r="L697" t="inlineStr">
        <is>
          <t>II 90,1a - [5] Fragm.</t>
        </is>
      </c>
      <c r="M697" t="inlineStr"/>
      <c r="N697" t="inlineStr"/>
      <c r="O697" t="inlineStr"/>
      <c r="P697" t="inlineStr"/>
      <c r="Q697" t="inlineStr"/>
      <c r="R697" t="inlineStr"/>
      <c r="S697" t="inlineStr">
        <is>
          <t>&gt; 42 cm</t>
        </is>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is>
          <t>Pa</t>
        </is>
      </c>
      <c r="AT697" t="inlineStr"/>
      <c r="AU697" t="inlineStr"/>
      <c r="AV697" t="inlineStr"/>
      <c r="AW697" t="inlineStr"/>
      <c r="AX697" t="inlineStr"/>
      <c r="AY697" t="inlineStr"/>
      <c r="AZ697" t="inlineStr"/>
      <c r="BA697" t="inlineStr"/>
      <c r="BB697" t="inlineStr"/>
      <c r="BC697" t="inlineStr"/>
      <c r="BD697" t="inlineStr"/>
      <c r="BE697" t="inlineStr"/>
      <c r="BF697" t="inlineStr"/>
      <c r="BG697" t="n">
        <v>180</v>
      </c>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t>
        </is>
      </c>
      <c r="B698" t="b">
        <v>0</v>
      </c>
      <c r="C698" t="inlineStr"/>
      <c r="D698" t="inlineStr"/>
      <c r="E698" t="n">
        <v>694</v>
      </c>
      <c r="F698">
        <f>HYPERLINK("https://portal.dnb.de/opac.htm?method=simpleSearch&amp;cqlMode=true&amp;query=idn%3D1109813201", "Portal")</f>
        <v/>
      </c>
      <c r="G698" t="inlineStr"/>
      <c r="H698" t="inlineStr">
        <is>
          <t>L-1496-375327509</t>
        </is>
      </c>
      <c r="I698" t="inlineStr">
        <is>
          <t>1109813201</t>
        </is>
      </c>
      <c r="J698" t="inlineStr"/>
      <c r="K698" t="inlineStr"/>
      <c r="L698" t="inlineStr">
        <is>
          <t>II 90,1a - [6] Fragm.</t>
        </is>
      </c>
      <c r="M698" t="inlineStr"/>
      <c r="N698" t="inlineStr"/>
      <c r="O698" t="inlineStr"/>
      <c r="P698" t="inlineStr"/>
      <c r="Q698" t="inlineStr"/>
      <c r="R698" t="inlineStr"/>
      <c r="S698" t="inlineStr">
        <is>
          <t>&gt; 42 cm</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t>
        </is>
      </c>
      <c r="B699" t="b">
        <v>0</v>
      </c>
      <c r="C699" t="inlineStr"/>
      <c r="D699" t="inlineStr"/>
      <c r="E699" t="n">
        <v>695</v>
      </c>
      <c r="F699">
        <f>HYPERLINK("https://portal.dnb.de/opac.htm?method=simpleSearch&amp;cqlMode=true&amp;query=idn%3D1109774656", "Portal")</f>
        <v/>
      </c>
      <c r="G699" t="inlineStr"/>
      <c r="H699" t="inlineStr">
        <is>
          <t>L-1474-375328378</t>
        </is>
      </c>
      <c r="I699" t="inlineStr">
        <is>
          <t>1109774656</t>
        </is>
      </c>
      <c r="J699" t="inlineStr"/>
      <c r="K699" t="inlineStr"/>
      <c r="L699" t="inlineStr">
        <is>
          <t>II 90,1a - [7] Fragm.</t>
        </is>
      </c>
      <c r="M699" t="inlineStr"/>
      <c r="N699" t="inlineStr"/>
      <c r="O699" t="inlineStr"/>
      <c r="P699" t="inlineStr"/>
      <c r="Q699" t="inlineStr"/>
      <c r="R699" t="inlineStr"/>
      <c r="S699" t="inlineStr">
        <is>
          <t>&gt; 42 cm</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180</v>
      </c>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t>
        </is>
      </c>
      <c r="B700" t="b">
        <v>0</v>
      </c>
      <c r="C700" t="inlineStr"/>
      <c r="D700" t="inlineStr"/>
      <c r="E700" t="n">
        <v>696</v>
      </c>
      <c r="F700">
        <f>HYPERLINK("https://portal.dnb.de/opac.htm?method=simpleSearch&amp;cqlMode=true&amp;query=idn%3D1109815573", "Portal")</f>
        <v/>
      </c>
      <c r="G700" t="inlineStr"/>
      <c r="H700" t="inlineStr">
        <is>
          <t>L-1498-375329048</t>
        </is>
      </c>
      <c r="I700" t="inlineStr">
        <is>
          <t>1109815573</t>
        </is>
      </c>
      <c r="J700" t="inlineStr"/>
      <c r="K700" t="inlineStr"/>
      <c r="L700" t="inlineStr">
        <is>
          <t>II 90,1a - [8] Fragm.</t>
        </is>
      </c>
      <c r="M700" t="inlineStr"/>
      <c r="N700" t="inlineStr"/>
      <c r="O700" t="inlineStr"/>
      <c r="P700" t="inlineStr"/>
      <c r="Q700" t="inlineStr"/>
      <c r="R700" t="inlineStr"/>
      <c r="S700" t="inlineStr">
        <is>
          <t>&gt; 42 cm</t>
        </is>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is>
          <t>Pa</t>
        </is>
      </c>
      <c r="AT700" t="inlineStr"/>
      <c r="AU700" t="inlineStr"/>
      <c r="AV700" t="inlineStr"/>
      <c r="AW700" t="inlineStr"/>
      <c r="AX700" t="inlineStr"/>
      <c r="AY700" t="inlineStr"/>
      <c r="AZ700" t="inlineStr"/>
      <c r="BA700" t="inlineStr"/>
      <c r="BB700" t="inlineStr"/>
      <c r="BC700" t="inlineStr"/>
      <c r="BD700" t="inlineStr"/>
      <c r="BE700" t="inlineStr"/>
      <c r="BF700" t="inlineStr"/>
      <c r="BG700" t="n">
        <v>180</v>
      </c>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t>
        </is>
      </c>
      <c r="B701" t="b">
        <v>0</v>
      </c>
      <c r="C701" t="inlineStr"/>
      <c r="D701" t="inlineStr"/>
      <c r="E701" t="n">
        <v>697</v>
      </c>
      <c r="F701">
        <f>HYPERLINK("https://portal.dnb.de/opac.htm?method=simpleSearch&amp;cqlMode=true&amp;query=idn%3D1109815573", "Portal")</f>
        <v/>
      </c>
      <c r="G701" t="inlineStr"/>
      <c r="H701" t="inlineStr">
        <is>
          <t>L-1498-375329684</t>
        </is>
      </c>
      <c r="I701" t="inlineStr">
        <is>
          <t>1109815573</t>
        </is>
      </c>
      <c r="J701" t="inlineStr"/>
      <c r="K701" t="inlineStr"/>
      <c r="L701" t="inlineStr">
        <is>
          <t>II 90,1a - [9] Fragm.</t>
        </is>
      </c>
      <c r="M701" t="inlineStr"/>
      <c r="N701" t="inlineStr"/>
      <c r="O701" t="inlineStr"/>
      <c r="P701" t="inlineStr"/>
      <c r="Q701" t="inlineStr"/>
      <c r="R701" t="inlineStr"/>
      <c r="S701" t="inlineStr">
        <is>
          <t>&gt; 42 cm</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is>
          <t>Pa</t>
        </is>
      </c>
      <c r="AT701" t="inlineStr"/>
      <c r="AU701" t="inlineStr"/>
      <c r="AV701" t="inlineStr"/>
      <c r="AW701" t="inlineStr"/>
      <c r="AX701" t="inlineStr"/>
      <c r="AY701" t="inlineStr"/>
      <c r="AZ701" t="inlineStr"/>
      <c r="BA701" t="inlineStr"/>
      <c r="BB701" t="inlineStr"/>
      <c r="BC701" t="inlineStr"/>
      <c r="BD701" t="inlineStr"/>
      <c r="BE701" t="inlineStr"/>
      <c r="BF701" t="inlineStr"/>
      <c r="BG701" t="n">
        <v>180</v>
      </c>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t>
        </is>
      </c>
      <c r="B702" t="b">
        <v>0</v>
      </c>
      <c r="C702" t="inlineStr"/>
      <c r="D702" t="inlineStr"/>
      <c r="E702" t="n">
        <v>698</v>
      </c>
      <c r="F702">
        <f>HYPERLINK("https://portal.dnb.de/opac.htm?method=simpleSearch&amp;cqlMode=true&amp;query=idn%3D1109815573", "Portal")</f>
        <v/>
      </c>
      <c r="G702" t="inlineStr"/>
      <c r="H702" t="inlineStr">
        <is>
          <t>L-1498-375330437</t>
        </is>
      </c>
      <c r="I702" t="inlineStr">
        <is>
          <t>1109815573</t>
        </is>
      </c>
      <c r="J702" t="inlineStr"/>
      <c r="K702" t="inlineStr"/>
      <c r="L702" t="inlineStr">
        <is>
          <t>II 90,1a - [10] Fragm.</t>
        </is>
      </c>
      <c r="M702" t="inlineStr"/>
      <c r="N702" t="inlineStr"/>
      <c r="O702" t="inlineStr"/>
      <c r="P702" t="inlineStr"/>
      <c r="Q702" t="inlineStr"/>
      <c r="R702" t="inlineStr"/>
      <c r="S702" t="inlineStr">
        <is>
          <t>&gt; 42 cm</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is>
          <t>Pa</t>
        </is>
      </c>
      <c r="AT702" t="inlineStr"/>
      <c r="AU702" t="inlineStr"/>
      <c r="AV702" t="inlineStr"/>
      <c r="AW702" t="inlineStr"/>
      <c r="AX702" t="inlineStr"/>
      <c r="AY702" t="inlineStr"/>
      <c r="AZ702" t="inlineStr"/>
      <c r="BA702" t="inlineStr"/>
      <c r="BB702" t="inlineStr"/>
      <c r="BC702" t="inlineStr"/>
      <c r="BD702" t="inlineStr"/>
      <c r="BE702" t="inlineStr"/>
      <c r="BF702" t="inlineStr"/>
      <c r="BG702" t="n">
        <v>180</v>
      </c>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t>
        </is>
      </c>
      <c r="B703" t="b">
        <v>0</v>
      </c>
      <c r="C703" t="inlineStr"/>
      <c r="D703" t="inlineStr"/>
      <c r="E703" t="n">
        <v>699</v>
      </c>
      <c r="F703">
        <f>HYPERLINK("https://portal.dnb.de/opac.htm?method=simpleSearch&amp;cqlMode=true&amp;query=idn%3D1066964505", "Portal")</f>
        <v/>
      </c>
      <c r="G703" t="inlineStr"/>
      <c r="H703" t="inlineStr">
        <is>
          <t>L-1482-375330852</t>
        </is>
      </c>
      <c r="I703" t="inlineStr">
        <is>
          <t>1066964505</t>
        </is>
      </c>
      <c r="J703" t="inlineStr"/>
      <c r="K703" t="inlineStr"/>
      <c r="L703" t="inlineStr">
        <is>
          <t>II 90,1a - [11] Fragm.</t>
        </is>
      </c>
      <c r="M703" t="inlineStr"/>
      <c r="N703" t="inlineStr"/>
      <c r="O703" t="inlineStr"/>
      <c r="P703" t="inlineStr"/>
      <c r="Q703" t="inlineStr"/>
      <c r="R703" t="inlineStr"/>
      <c r="S703" t="inlineStr">
        <is>
          <t>&gt; 42 cm</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is>
          <t>Pa</t>
        </is>
      </c>
      <c r="AT703" t="inlineStr"/>
      <c r="AU703" t="inlineStr"/>
      <c r="AV703" t="inlineStr"/>
      <c r="AW703" t="inlineStr"/>
      <c r="AX703" t="inlineStr"/>
      <c r="AY703" t="inlineStr"/>
      <c r="AZ703" t="inlineStr"/>
      <c r="BA703" t="inlineStr"/>
      <c r="BB703" t="inlineStr"/>
      <c r="BC703" t="inlineStr"/>
      <c r="BD703" t="inlineStr"/>
      <c r="BE703" t="inlineStr"/>
      <c r="BF703" t="inlineStr"/>
      <c r="BG703" t="n">
        <v>180</v>
      </c>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t>
        </is>
      </c>
      <c r="B704" t="b">
        <v>0</v>
      </c>
      <c r="C704" t="inlineStr"/>
      <c r="D704" t="inlineStr"/>
      <c r="E704" t="n">
        <v>700</v>
      </c>
      <c r="F704">
        <f>HYPERLINK("https://portal.dnb.de/opac.htm?method=simpleSearch&amp;cqlMode=true&amp;query=idn%3D1066965390", "Portal")</f>
        <v/>
      </c>
      <c r="G704" t="inlineStr"/>
      <c r="H704" t="inlineStr">
        <is>
          <t>L-1487-375331115</t>
        </is>
      </c>
      <c r="I704" t="inlineStr">
        <is>
          <t>1066965390</t>
        </is>
      </c>
      <c r="J704" t="inlineStr"/>
      <c r="K704" t="inlineStr"/>
      <c r="L704" t="inlineStr">
        <is>
          <t>II 90,1a - [12] Fragm.</t>
        </is>
      </c>
      <c r="M704" t="inlineStr"/>
      <c r="N704" t="inlineStr"/>
      <c r="O704" t="inlineStr"/>
      <c r="P704" t="inlineStr"/>
      <c r="Q704" t="inlineStr"/>
      <c r="R704" t="inlineStr"/>
      <c r="S704" t="inlineStr">
        <is>
          <t>&gt; 42 cm</t>
        </is>
      </c>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c r="BN704" t="n">
        <v>0</v>
      </c>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t>
        </is>
      </c>
      <c r="B705" t="b">
        <v>0</v>
      </c>
      <c r="C705" t="inlineStr"/>
      <c r="D705" t="inlineStr"/>
      <c r="E705" t="n">
        <v>701</v>
      </c>
      <c r="F705">
        <f>HYPERLINK("https://portal.dnb.de/opac.htm?method=simpleSearch&amp;cqlMode=true&amp;query=idn%3D110982050X", "Portal")</f>
        <v/>
      </c>
      <c r="G705" t="inlineStr"/>
      <c r="H705" t="inlineStr">
        <is>
          <t>L-1495-375331980</t>
        </is>
      </c>
      <c r="I705" t="inlineStr">
        <is>
          <t>110982050X</t>
        </is>
      </c>
      <c r="J705" t="inlineStr"/>
      <c r="K705" t="inlineStr"/>
      <c r="L705" t="inlineStr">
        <is>
          <t>II 90,1a - [13] Fragm.</t>
        </is>
      </c>
      <c r="M705" t="inlineStr"/>
      <c r="N705" t="inlineStr"/>
      <c r="O705" t="inlineStr"/>
      <c r="P705" t="inlineStr"/>
      <c r="Q705" t="inlineStr"/>
      <c r="R705" t="inlineStr"/>
      <c r="S705" t="inlineStr">
        <is>
          <t>&gt; 42 cm</t>
        </is>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is>
          <t>Pa</t>
        </is>
      </c>
      <c r="AT705" t="inlineStr"/>
      <c r="AU705" t="inlineStr"/>
      <c r="AV705" t="inlineStr"/>
      <c r="AW705" t="inlineStr"/>
      <c r="AX705" t="inlineStr"/>
      <c r="AY705" t="inlineStr"/>
      <c r="AZ705" t="inlineStr"/>
      <c r="BA705" t="inlineStr"/>
      <c r="BB705" t="inlineStr"/>
      <c r="BC705" t="inlineStr"/>
      <c r="BD705" t="inlineStr"/>
      <c r="BE705" t="inlineStr"/>
      <c r="BF705" t="inlineStr"/>
      <c r="BG705" t="n">
        <v>180</v>
      </c>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t>
        </is>
      </c>
      <c r="B706" t="b">
        <v>0</v>
      </c>
      <c r="C706" t="inlineStr"/>
      <c r="D706" t="inlineStr"/>
      <c r="E706" t="n">
        <v>702</v>
      </c>
      <c r="F706">
        <f>HYPERLINK("https://portal.dnb.de/opac.htm?method=simpleSearch&amp;cqlMode=true&amp;query=idn%3D1109921993", "Portal")</f>
        <v/>
      </c>
      <c r="G706" t="inlineStr"/>
      <c r="H706" t="inlineStr">
        <is>
          <t>L-1490-375417559</t>
        </is>
      </c>
      <c r="I706" t="inlineStr">
        <is>
          <t>1109921993</t>
        </is>
      </c>
      <c r="J706" t="inlineStr"/>
      <c r="K706" t="inlineStr"/>
      <c r="L706" t="inlineStr">
        <is>
          <t>II 90,1a - [14] Fragm.</t>
        </is>
      </c>
      <c r="M706" t="inlineStr"/>
      <c r="N706" t="inlineStr"/>
      <c r="O706" t="inlineStr"/>
      <c r="P706" t="inlineStr"/>
      <c r="Q706" t="inlineStr"/>
      <c r="R706" t="inlineStr"/>
      <c r="S706" t="inlineStr">
        <is>
          <t>&gt;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180</v>
      </c>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t>
        </is>
      </c>
      <c r="B707" t="b">
        <v>0</v>
      </c>
      <c r="C707" t="inlineStr"/>
      <c r="D707" t="inlineStr"/>
      <c r="E707" t="n">
        <v>703</v>
      </c>
      <c r="F707">
        <f>HYPERLINK("https://portal.dnb.de/opac.htm?method=simpleSearch&amp;cqlMode=true&amp;query=idn%3D1110068220", "Portal")</f>
        <v/>
      </c>
      <c r="G707" t="inlineStr"/>
      <c r="H707" t="inlineStr">
        <is>
          <t>L-1491-375563911</t>
        </is>
      </c>
      <c r="I707" t="inlineStr">
        <is>
          <t>1110068220</t>
        </is>
      </c>
      <c r="J707" t="inlineStr"/>
      <c r="K707" t="inlineStr"/>
      <c r="L707" t="inlineStr">
        <is>
          <t>II 90,1a - [15] Fragm.</t>
        </is>
      </c>
      <c r="M707" t="inlineStr"/>
      <c r="N707" t="inlineStr"/>
      <c r="O707" t="inlineStr"/>
      <c r="P707" t="inlineStr"/>
      <c r="Q707" t="inlineStr"/>
      <c r="R707" t="inlineStr"/>
      <c r="S707" t="inlineStr">
        <is>
          <t>&gt; 42 cm</t>
        </is>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is>
          <t>Pa</t>
        </is>
      </c>
      <c r="AT707" t="inlineStr"/>
      <c r="AU707" t="inlineStr"/>
      <c r="AV707" t="inlineStr"/>
      <c r="AW707" t="inlineStr"/>
      <c r="AX707" t="inlineStr"/>
      <c r="AY707" t="inlineStr"/>
      <c r="AZ707" t="inlineStr"/>
      <c r="BA707" t="inlineStr"/>
      <c r="BB707" t="inlineStr"/>
      <c r="BC707" t="inlineStr"/>
      <c r="BD707" t="inlineStr"/>
      <c r="BE707" t="inlineStr"/>
      <c r="BF707" t="inlineStr"/>
      <c r="BG707" t="n">
        <v>180</v>
      </c>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t>
        </is>
      </c>
      <c r="B708" t="b">
        <v>0</v>
      </c>
      <c r="C708" t="inlineStr"/>
      <c r="D708" t="inlineStr"/>
      <c r="E708" t="n">
        <v>704</v>
      </c>
      <c r="F708">
        <f>HYPERLINK("https://portal.dnb.de/opac.htm?method=simpleSearch&amp;cqlMode=true&amp;query=idn%3D1066966613", "Portal")</f>
        <v/>
      </c>
      <c r="G708" t="inlineStr"/>
      <c r="H708" t="inlineStr">
        <is>
          <t>L-1493-375566767</t>
        </is>
      </c>
      <c r="I708" t="inlineStr">
        <is>
          <t>1066966613</t>
        </is>
      </c>
      <c r="J708" t="inlineStr"/>
      <c r="K708" t="inlineStr"/>
      <c r="L708" t="inlineStr">
        <is>
          <t>II 90,1a - [16] Fragm.</t>
        </is>
      </c>
      <c r="M708" t="inlineStr"/>
      <c r="N708" t="inlineStr"/>
      <c r="O708" t="inlineStr"/>
      <c r="P708" t="inlineStr"/>
      <c r="Q708" t="inlineStr"/>
      <c r="R708" t="inlineStr"/>
      <c r="S708" t="inlineStr">
        <is>
          <t>&gt; 42 cm</t>
        </is>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180</v>
      </c>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row r="709">
      <c r="A709" t="inlineStr">
        <is>
          <t>II</t>
        </is>
      </c>
      <c r="B709" t="b">
        <v>0</v>
      </c>
      <c r="C709" t="inlineStr"/>
      <c r="D709" t="inlineStr"/>
      <c r="E709" t="n">
        <v>705</v>
      </c>
      <c r="F709">
        <f>HYPERLINK("https://portal.dnb.de/opac.htm?method=simpleSearch&amp;cqlMode=true&amp;query=idn%3D1066965390", "Portal")</f>
        <v/>
      </c>
      <c r="G709" t="inlineStr"/>
      <c r="H709" t="inlineStr">
        <is>
          <t>L-1487-375331115</t>
        </is>
      </c>
      <c r="I709" t="inlineStr">
        <is>
          <t>1066965390</t>
        </is>
      </c>
      <c r="J709" t="inlineStr"/>
      <c r="K709" t="inlineStr"/>
      <c r="L709" t="inlineStr">
        <is>
          <t>II 90,1a - [17] Fragm.</t>
        </is>
      </c>
      <c r="M709" t="inlineStr"/>
      <c r="N709" t="inlineStr"/>
      <c r="O709" t="inlineStr"/>
      <c r="P709" t="inlineStr"/>
      <c r="Q709" t="inlineStr"/>
      <c r="R709" t="inlineStr"/>
      <c r="S709" t="inlineStr">
        <is>
          <t>&gt; 42 cm</t>
        </is>
      </c>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is>
          <t>Pa</t>
        </is>
      </c>
      <c r="AT709" t="inlineStr"/>
      <c r="AU709" t="inlineStr"/>
      <c r="AV709" t="inlineStr"/>
      <c r="AW709" t="inlineStr"/>
      <c r="AX709" t="inlineStr"/>
      <c r="AY709" t="inlineStr"/>
      <c r="AZ709" t="inlineStr"/>
      <c r="BA709" t="inlineStr"/>
      <c r="BB709" t="inlineStr"/>
      <c r="BC709" t="inlineStr"/>
      <c r="BD709" t="inlineStr"/>
      <c r="BE709" t="inlineStr"/>
      <c r="BF709" t="inlineStr"/>
      <c r="BG709" t="n">
        <v>180</v>
      </c>
      <c r="BH709" t="inlineStr"/>
      <c r="BI709" t="inlineStr"/>
      <c r="BJ709" t="inlineStr"/>
      <c r="BK709" t="inlineStr"/>
      <c r="BL709" t="inlineStr"/>
      <c r="BM709" t="inlineStr"/>
      <c r="BN709" t="n">
        <v>0</v>
      </c>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c r="DC709" t="inlineStr"/>
      <c r="DD709" t="inlineStr"/>
      <c r="DE709" t="inlineStr"/>
      <c r="DF709" t="inlineStr"/>
      <c r="DG709" t="inlineStr"/>
    </row>
    <row r="710">
      <c r="A710" t="inlineStr">
        <is>
          <t>II</t>
        </is>
      </c>
      <c r="B710" t="b">
        <v>0</v>
      </c>
      <c r="C710" t="inlineStr"/>
      <c r="D710" t="inlineStr"/>
      <c r="E710" t="n">
        <v>706</v>
      </c>
      <c r="F710">
        <f>HYPERLINK("https://portal.dnb.de/opac.htm?method=simpleSearch&amp;cqlMode=true&amp;query=idn%3D110982050X", "Portal")</f>
        <v/>
      </c>
      <c r="G710" t="inlineStr"/>
      <c r="H710" t="inlineStr">
        <is>
          <t>L-1495-375567593</t>
        </is>
      </c>
      <c r="I710" t="inlineStr">
        <is>
          <t>110982050X</t>
        </is>
      </c>
      <c r="J710" t="inlineStr"/>
      <c r="K710" t="inlineStr"/>
      <c r="L710" t="inlineStr">
        <is>
          <t>II 90,1a - [20] Fragm.</t>
        </is>
      </c>
      <c r="M710" t="inlineStr"/>
      <c r="N710" t="inlineStr"/>
      <c r="O710" t="inlineStr"/>
      <c r="P710" t="inlineStr"/>
      <c r="Q710" t="inlineStr"/>
      <c r="R710" t="inlineStr"/>
      <c r="S710" t="inlineStr">
        <is>
          <t>&gt; 42 cm</t>
        </is>
      </c>
      <c r="T710" t="inlineStr"/>
      <c r="U710" t="inlineStr"/>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is>
          <t>Pa</t>
        </is>
      </c>
      <c r="AT710" t="inlineStr"/>
      <c r="AU710" t="inlineStr"/>
      <c r="AV710" t="inlineStr"/>
      <c r="AW710" t="inlineStr"/>
      <c r="AX710" t="inlineStr"/>
      <c r="AY710" t="inlineStr"/>
      <c r="AZ710" t="inlineStr"/>
      <c r="BA710" t="inlineStr"/>
      <c r="BB710" t="inlineStr"/>
      <c r="BC710" t="inlineStr"/>
      <c r="BD710" t="inlineStr"/>
      <c r="BE710" t="inlineStr"/>
      <c r="BF710" t="inlineStr"/>
      <c r="BG710" t="n">
        <v>180</v>
      </c>
      <c r="BH710" t="inlineStr"/>
      <c r="BI710" t="inlineStr"/>
      <c r="BJ710" t="inlineStr"/>
      <c r="BK710" t="inlineStr"/>
      <c r="BL710" t="inlineStr"/>
      <c r="BM710" t="inlineStr"/>
      <c r="BN710" t="n">
        <v>0</v>
      </c>
      <c r="BO710" t="inlineStr"/>
      <c r="BP710" t="inlineStr"/>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c r="DC710" t="inlineStr"/>
      <c r="DD710" t="inlineStr"/>
      <c r="DE710" t="inlineStr"/>
      <c r="DF710" t="inlineStr"/>
      <c r="DG710" t="inlineStr"/>
    </row>
    <row r="711">
      <c r="A711" t="inlineStr">
        <is>
          <t>II</t>
        </is>
      </c>
      <c r="B711" t="b">
        <v>0</v>
      </c>
      <c r="C711" t="inlineStr"/>
      <c r="D711" t="inlineStr"/>
      <c r="E711" t="n">
        <v>707</v>
      </c>
      <c r="F711">
        <f>HYPERLINK("https://portal.dnb.de/opac.htm?method=simpleSearch&amp;cqlMode=true&amp;query=idn%3D111007414X", "Portal")</f>
        <v/>
      </c>
      <c r="G711" t="inlineStr"/>
      <c r="H711" t="inlineStr">
        <is>
          <t>L-1489-375567704</t>
        </is>
      </c>
      <c r="I711" t="inlineStr">
        <is>
          <t>111007414X</t>
        </is>
      </c>
      <c r="J711" t="inlineStr"/>
      <c r="K711" t="inlineStr"/>
      <c r="L711" t="inlineStr">
        <is>
          <t>II 90,1a - [21] Fragm.</t>
        </is>
      </c>
      <c r="M711" t="inlineStr"/>
      <c r="N711" t="inlineStr"/>
      <c r="O711" t="inlineStr"/>
      <c r="P711" t="inlineStr"/>
      <c r="Q711" t="inlineStr"/>
      <c r="R711" t="inlineStr"/>
      <c r="S711" t="inlineStr">
        <is>
          <t>&gt; 42 cm</t>
        </is>
      </c>
      <c r="T711" t="inlineStr"/>
      <c r="U711" t="inlineStr"/>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is>
          <t>Pa</t>
        </is>
      </c>
      <c r="AT711" t="inlineStr"/>
      <c r="AU711" t="inlineStr"/>
      <c r="AV711" t="inlineStr"/>
      <c r="AW711" t="inlineStr"/>
      <c r="AX711" t="inlineStr"/>
      <c r="AY711" t="inlineStr"/>
      <c r="AZ711" t="inlineStr"/>
      <c r="BA711" t="inlineStr"/>
      <c r="BB711" t="inlineStr"/>
      <c r="BC711" t="inlineStr"/>
      <c r="BD711" t="inlineStr"/>
      <c r="BE711" t="inlineStr"/>
      <c r="BF711" t="inlineStr"/>
      <c r="BG711" t="n">
        <v>180</v>
      </c>
      <c r="BH711" t="inlineStr"/>
      <c r="BI711" t="inlineStr"/>
      <c r="BJ711" t="inlineStr"/>
      <c r="BK711" t="inlineStr"/>
      <c r="BL711" t="inlineStr"/>
      <c r="BM711" t="inlineStr"/>
      <c r="BN711" t="n">
        <v>0</v>
      </c>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row>
    <row r="712">
      <c r="A712" t="inlineStr">
        <is>
          <t>II</t>
        </is>
      </c>
      <c r="B712" t="b">
        <v>0</v>
      </c>
      <c r="C712" t="inlineStr"/>
      <c r="D712" t="inlineStr"/>
      <c r="E712" t="n">
        <v>708</v>
      </c>
      <c r="F712">
        <f>HYPERLINK("https://portal.dnb.de/opac.htm?method=simpleSearch&amp;cqlMode=true&amp;query=idn%3D111007414X", "Portal")</f>
        <v/>
      </c>
      <c r="G712" t="inlineStr"/>
      <c r="H712" t="inlineStr">
        <is>
          <t>L-1489-375567712</t>
        </is>
      </c>
      <c r="I712" t="inlineStr">
        <is>
          <t>111007414X</t>
        </is>
      </c>
      <c r="J712" t="inlineStr"/>
      <c r="K712" t="inlineStr"/>
      <c r="L712" t="inlineStr">
        <is>
          <t>II 90,1a - [22] Fragm.</t>
        </is>
      </c>
      <c r="M712" t="inlineStr"/>
      <c r="N712" t="inlineStr"/>
      <c r="O712" t="inlineStr"/>
      <c r="P712" t="inlineStr"/>
      <c r="Q712" t="inlineStr"/>
      <c r="R712" t="inlineStr"/>
      <c r="S712" t="inlineStr">
        <is>
          <t>&gt; 42 cm</t>
        </is>
      </c>
      <c r="T712" t="inlineStr"/>
      <c r="U712" t="inlineStr"/>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is>
          <t>Pa</t>
        </is>
      </c>
      <c r="AT712" t="inlineStr"/>
      <c r="AU712" t="inlineStr"/>
      <c r="AV712" t="inlineStr"/>
      <c r="AW712" t="inlineStr"/>
      <c r="AX712" t="inlineStr"/>
      <c r="AY712" t="inlineStr"/>
      <c r="AZ712" t="inlineStr"/>
      <c r="BA712" t="inlineStr"/>
      <c r="BB712" t="inlineStr"/>
      <c r="BC712" t="inlineStr"/>
      <c r="BD712" t="inlineStr"/>
      <c r="BE712" t="inlineStr"/>
      <c r="BF712" t="inlineStr"/>
      <c r="BG712" t="n">
        <v>180</v>
      </c>
      <c r="BH712" t="inlineStr"/>
      <c r="BI712" t="inlineStr"/>
      <c r="BJ712" t="inlineStr"/>
      <c r="BK712" t="inlineStr"/>
      <c r="BL712" t="inlineStr"/>
      <c r="BM712" t="inlineStr"/>
      <c r="BN712" t="n">
        <v>0</v>
      </c>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c r="DC712" t="inlineStr"/>
      <c r="DD712" t="inlineStr"/>
      <c r="DE712" t="inlineStr"/>
      <c r="DF712" t="inlineStr"/>
      <c r="DG712" t="inlineStr"/>
    </row>
    <row r="713">
      <c r="A713" t="inlineStr">
        <is>
          <t>II</t>
        </is>
      </c>
      <c r="B713" t="b">
        <v>0</v>
      </c>
      <c r="C713" t="inlineStr"/>
      <c r="D713" t="inlineStr"/>
      <c r="E713" t="n">
        <v>709</v>
      </c>
      <c r="F713">
        <f>HYPERLINK("https://portal.dnb.de/opac.htm?method=simpleSearch&amp;cqlMode=true&amp;query=idn%3D111007414X", "Portal")</f>
        <v/>
      </c>
      <c r="G713" t="inlineStr"/>
      <c r="H713" t="inlineStr">
        <is>
          <t>L-1489-375567720</t>
        </is>
      </c>
      <c r="I713" t="inlineStr">
        <is>
          <t>111007414X</t>
        </is>
      </c>
      <c r="J713" t="inlineStr"/>
      <c r="K713" t="inlineStr"/>
      <c r="L713" t="inlineStr">
        <is>
          <t>II 90,1a - [23] Fragm.</t>
        </is>
      </c>
      <c r="M713" t="inlineStr"/>
      <c r="N713" t="inlineStr"/>
      <c r="O713" t="inlineStr"/>
      <c r="P713" t="inlineStr"/>
      <c r="Q713" t="inlineStr"/>
      <c r="R713" t="inlineStr"/>
      <c r="S713" t="inlineStr">
        <is>
          <t>&gt; 42 cm</t>
        </is>
      </c>
      <c r="T713" t="inlineStr"/>
      <c r="U713" t="inlineStr"/>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is>
          <t>Pa</t>
        </is>
      </c>
      <c r="AT713" t="inlineStr"/>
      <c r="AU713" t="inlineStr"/>
      <c r="AV713" t="inlineStr"/>
      <c r="AW713" t="inlineStr"/>
      <c r="AX713" t="inlineStr"/>
      <c r="AY713" t="inlineStr"/>
      <c r="AZ713" t="inlineStr"/>
      <c r="BA713" t="inlineStr"/>
      <c r="BB713" t="inlineStr"/>
      <c r="BC713" t="inlineStr"/>
      <c r="BD713" t="inlineStr"/>
      <c r="BE713" t="inlineStr"/>
      <c r="BF713" t="inlineStr"/>
      <c r="BG713" t="n">
        <v>180</v>
      </c>
      <c r="BH713" t="inlineStr"/>
      <c r="BI713" t="inlineStr"/>
      <c r="BJ713" t="inlineStr"/>
      <c r="BK713" t="inlineStr"/>
      <c r="BL713" t="inlineStr"/>
      <c r="BM713" t="inlineStr"/>
      <c r="BN713" t="n">
        <v>0</v>
      </c>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c r="DC713" t="inlineStr"/>
      <c r="DD713" t="inlineStr"/>
      <c r="DE713" t="inlineStr"/>
      <c r="DF713" t="inlineStr"/>
      <c r="DG713" t="inlineStr"/>
    </row>
    <row r="714">
      <c r="A714" t="inlineStr">
        <is>
          <t>II</t>
        </is>
      </c>
      <c r="B714" t="b">
        <v>0</v>
      </c>
      <c r="C714" t="inlineStr"/>
      <c r="D714" t="inlineStr"/>
      <c r="E714" t="n">
        <v>710</v>
      </c>
      <c r="F714">
        <f>HYPERLINK("https://portal.dnb.de/opac.htm?method=simpleSearch&amp;cqlMode=true&amp;query=idn%3D111007414X", "Portal")</f>
        <v/>
      </c>
      <c r="G714" t="inlineStr"/>
      <c r="H714" t="inlineStr">
        <is>
          <t>L-1489-375567739</t>
        </is>
      </c>
      <c r="I714" t="inlineStr">
        <is>
          <t>111007414X</t>
        </is>
      </c>
      <c r="J714" t="inlineStr"/>
      <c r="K714" t="inlineStr"/>
      <c r="L714" t="inlineStr">
        <is>
          <t>II 90,1a - [24] Fragm.</t>
        </is>
      </c>
      <c r="M714" t="inlineStr"/>
      <c r="N714" t="inlineStr"/>
      <c r="O714" t="inlineStr"/>
      <c r="P714" t="inlineStr"/>
      <c r="Q714" t="inlineStr"/>
      <c r="R714" t="inlineStr"/>
      <c r="S714" t="inlineStr">
        <is>
          <t>&gt; 42 cm</t>
        </is>
      </c>
      <c r="T714" t="inlineStr"/>
      <c r="U714" t="inlineStr"/>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is>
          <t>Pa</t>
        </is>
      </c>
      <c r="AT714" t="inlineStr"/>
      <c r="AU714" t="inlineStr"/>
      <c r="AV714" t="inlineStr"/>
      <c r="AW714" t="inlineStr"/>
      <c r="AX714" t="inlineStr"/>
      <c r="AY714" t="inlineStr"/>
      <c r="AZ714" t="inlineStr"/>
      <c r="BA714" t="inlineStr"/>
      <c r="BB714" t="inlineStr"/>
      <c r="BC714" t="inlineStr"/>
      <c r="BD714" t="inlineStr"/>
      <c r="BE714" t="inlineStr"/>
      <c r="BF714" t="inlineStr"/>
      <c r="BG714" t="n">
        <v>180</v>
      </c>
      <c r="BH714" t="inlineStr"/>
      <c r="BI714" t="inlineStr"/>
      <c r="BJ714" t="inlineStr"/>
      <c r="BK714" t="inlineStr"/>
      <c r="BL714" t="inlineStr"/>
      <c r="BM714" t="inlineStr"/>
      <c r="BN714" t="n">
        <v>0</v>
      </c>
      <c r="BO714" t="inlineStr"/>
      <c r="BP714" t="inlineStr"/>
      <c r="BQ714" t="inlineStr"/>
      <c r="BR714" t="inlineStr"/>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c r="DC714" t="inlineStr"/>
      <c r="DD714" t="inlineStr"/>
      <c r="DE714" t="inlineStr"/>
      <c r="DF714" t="inlineStr"/>
      <c r="DG714"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2022-11-25T17:29:40Z</dcterms:modified>
  <cp:lastModifiedBy>Wendler, André</cp:lastModifiedBy>
  <cp:lastPrinted>2020-09-18T09:32:13Z</cp:lastPrinted>
</cp:coreProperties>
</file>