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Tabelle1" sheetId="5" r:id="rId5"/>
    <sheet name="Legende" sheetId="6" r:id="rId6"/>
    <sheet name="Zusammenfassung" sheetId="7" r:id="rId7"/>
  </sheets>
  <calcPr calcId="162913"/>
  <fileRecoveryPr repairLoad="1"/>
</workbook>
</file>

<file path=xl/calcChain.xml><?xml version="1.0" encoding="utf-8"?>
<calcChain xmlns="http://schemas.openxmlformats.org/spreadsheetml/2006/main">
  <c r="C84" i="4" l="1"/>
  <c r="C83" i="4"/>
  <c r="C82" i="4"/>
  <c r="C81" i="4"/>
  <c r="C80" i="4"/>
  <c r="D79"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<sst xmlns="http://schemas.openxmlformats.org/spreadsheetml/2006/main" count="13909" uniqueCount="3337">
  <si>
    <t>Gruppe</t>
  </si>
  <si>
    <t>digi</t>
  </si>
  <si>
    <t>Restaurierung</t>
  </si>
  <si>
    <t>Whitelist</t>
  </si>
  <si>
    <t>Lfd Nr.</t>
  </si>
  <si>
    <t>Link zum Portal</t>
  </si>
  <si>
    <t>bbg</t>
  </si>
  <si>
    <t>AKZ</t>
  </si>
  <si>
    <t>IDN</t>
  </si>
  <si>
    <t>signatur_g</t>
  </si>
  <si>
    <t>signatur_a</t>
  </si>
  <si>
    <t>Signatur</t>
  </si>
  <si>
    <t>steht bei
/ Anm.
zur
Signatur</t>
  </si>
  <si>
    <t>titel</t>
  </si>
  <si>
    <t>stuecktitel</t>
  </si>
  <si>
    <t>Provenienzmerkmal</t>
  </si>
  <si>
    <t>wert</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</si>
  <si>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</si>
  <si>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</si>
  <si>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</si>
  <si>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</si>
  <si>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</si>
  <si>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</si>
  <si>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</si>
  <si>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</si>
  <si>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</si>
  <si>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</si>
  <si>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</si>
  <si>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</si>
  <si>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</si>
  <si>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</si>
  <si>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</si>
  <si>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</si>
  <si>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</si>
  <si>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</si>
  <si>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</si>
  <si>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</si>
  <si>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</si>
  <si>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</si>
  <si>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</si>
  <si>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</si>
  <si>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</si>
  <si>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</si>
  <si>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</si>
  <si>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</si>
  <si>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</si>
  <si>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</si>
  <si>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</si>
  <si>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</si>
  <si>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</si>
  <si>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</si>
  <si>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</si>
  <si>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</si>
  <si>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</si>
  <si>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</si>
  <si>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</si>
  <si>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</si>
  <si>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</si>
  <si>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</si>
  <si>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</si>
  <si>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</si>
  <si>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</si>
  <si>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</si>
  <si>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</si>
  <si>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</si>
  <si>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</si>
  <si>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</si>
  <si>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</si>
  <si>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</si>
  <si>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</si>
  <si>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</si>
  <si>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</si>
  <si>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</si>
  <si>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</si>
  <si>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</si>
  <si>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</si>
  <si>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</si>
  <si>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</si>
  <si>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</si>
  <si>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</si>
  <si>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</si>
  <si>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</si>
  <si>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</si>
  <si>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</si>
  <si>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</si>
  <si>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</si>
  <si>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</si>
  <si>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</si>
  <si>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</si>
  <si>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</si>
  <si>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</si>
  <si>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</si>
  <si>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</si>
  <si>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</si>
  <si>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</si>
  <si>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</si>
  <si>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</si>
  <si>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</si>
  <si>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</si>
  <si>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</si>
  <si>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</si>
  <si>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</si>
  <si>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</si>
  <si>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</si>
  <si>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</si>
  <si>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</si>
  <si>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</si>
  <si>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</si>
  <si>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</si>
  <si>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</si>
  <si>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</si>
  <si>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II</t>
  </si>
  <si>
    <t>II 1,1 a</t>
  </si>
  <si>
    <t>von FT neu aufgenommen</t>
  </si>
  <si>
    <t>x Silberschließen des Einbandes (4 Teilstücke)</t>
  </si>
  <si>
    <t>Aa</t>
  </si>
  <si>
    <t>L-1454-315496827</t>
  </si>
  <si>
    <t>1066966540</t>
  </si>
  <si>
    <t>II 1,1 ab - Fragm.</t>
  </si>
  <si>
    <t>II 1,1ab - Fragm.</t>
  </si>
  <si>
    <t xml:space="preserve">Biblia, 42zeilig : </t>
  </si>
  <si>
    <t xml:space="preserve"> : </t>
  </si>
  <si>
    <t>20.000,00 EUR; 20000,00 EUR</t>
  </si>
  <si>
    <t>neue DA</t>
  </si>
  <si>
    <t>DA</t>
  </si>
  <si>
    <t>L-1459-315498269</t>
  </si>
  <si>
    <t>1066967997</t>
  </si>
  <si>
    <t>II 1,2ba - Fragm.</t>
  </si>
  <si>
    <t xml:space="preserve">Rationale divinorum officiorum : </t>
  </si>
  <si>
    <t>L-1462-31549669X</t>
  </si>
  <si>
    <t>1066966419</t>
  </si>
  <si>
    <t>II 1,2ca - Fragm.</t>
  </si>
  <si>
    <t xml:space="preserve">Biblia, lat. : </t>
  </si>
  <si>
    <t>Aaf</t>
  </si>
  <si>
    <t>L-1467-315495871</t>
  </si>
  <si>
    <t>106696565X</t>
  </si>
  <si>
    <t>II 1,2e</t>
  </si>
  <si>
    <t xml:space="preserve">De arte praedicandi [= De doctrina Christiana, liber 4] : </t>
  </si>
  <si>
    <t>X</t>
  </si>
  <si>
    <t>Ledereinband</t>
  </si>
  <si>
    <t>bis 35 cm</t>
  </si>
  <si>
    <t>180°</t>
  </si>
  <si>
    <t>hohler Rücken, erhabene Illuminationen</t>
  </si>
  <si>
    <t>nicht auflegen</t>
  </si>
  <si>
    <t>Nein</t>
  </si>
  <si>
    <t>L</t>
  </si>
  <si>
    <t>x</t>
  </si>
  <si>
    <t>h/E</t>
  </si>
  <si>
    <t>Pa</t>
  </si>
  <si>
    <t>B/I/R</t>
  </si>
  <si>
    <t>max 110</t>
  </si>
  <si>
    <t>n</t>
  </si>
  <si>
    <t>Wellpappe</t>
  </si>
  <si>
    <t>L-1492-315497408</t>
  </si>
  <si>
    <t>1066967148</t>
  </si>
  <si>
    <t>II 1,3ba kursiv - Fragm.</t>
  </si>
  <si>
    <t xml:space="preserve">Cronecken der Sassen : </t>
  </si>
  <si>
    <t>L-1469-315503122</t>
  </si>
  <si>
    <t>1066972710</t>
  </si>
  <si>
    <t>II 1,3c</t>
  </si>
  <si>
    <t xml:space="preserve">Super quarto libro Sententiarum : </t>
  </si>
  <si>
    <t>Halbledereinband, Schließen, erhabene Buchbeschläge</t>
  </si>
  <si>
    <t>bis 42 cm</t>
  </si>
  <si>
    <t>80° bis 110°, einseitig digitalisierbar?</t>
  </si>
  <si>
    <t>fester Rücken mit Schmuckprägung, erhabene Illuminationen</t>
  </si>
  <si>
    <t>HL</t>
  </si>
  <si>
    <t>I/R</t>
  </si>
  <si>
    <t>L-1493-315501316</t>
  </si>
  <si>
    <t>1066970955</t>
  </si>
  <si>
    <t>II 1,3c kursiv</t>
  </si>
  <si>
    <t xml:space="preserve">Missale Moguntinum : </t>
  </si>
  <si>
    <t>Pergamentband</t>
  </si>
  <si>
    <t>hohler Rücken</t>
  </si>
  <si>
    <t>Archivkarton</t>
  </si>
  <si>
    <t>Pg</t>
  </si>
  <si>
    <t>L-1470-315499486</t>
  </si>
  <si>
    <t>1066969183</t>
  </si>
  <si>
    <t>II 1,3d</t>
  </si>
  <si>
    <t>sehr schwer, zu zweit arbeiten</t>
  </si>
  <si>
    <t xml:space="preserve">Epistolae : </t>
  </si>
  <si>
    <t>Ledereinband, Schließen, erhabene Buchbeschläge</t>
  </si>
  <si>
    <t>&gt; 42 cm</t>
  </si>
  <si>
    <t>HD</t>
  </si>
  <si>
    <t>Schließe unten, haltendes Teil birgt Verletzungsgefahr --&gt; Ecken mit Hämmerchen niederhalten</t>
  </si>
  <si>
    <t>L-1470-315497106</t>
  </si>
  <si>
    <t>106696680X</t>
  </si>
  <si>
    <t>II 1,3d kursiv</t>
  </si>
  <si>
    <t xml:space="preserve">De duobus amantibus : </t>
  </si>
  <si>
    <t>Halbpergamentband</t>
  </si>
  <si>
    <t>bis 25 cm</t>
  </si>
  <si>
    <t>HPg</t>
  </si>
  <si>
    <t>L-1470-315499494</t>
  </si>
  <si>
    <t>II 1,3da - Fragm.</t>
  </si>
  <si>
    <t>L-1470-31550059X</t>
  </si>
  <si>
    <t>1066970254</t>
  </si>
  <si>
    <t>II 1,3e</t>
  </si>
  <si>
    <t xml:space="preserve">Mammotrectus super Bibliam : </t>
  </si>
  <si>
    <t>33000,00 EUR</t>
  </si>
  <si>
    <t>hohler Rücken, stark brüchiges Einbandmaterial, erhabene Illuminationen</t>
  </si>
  <si>
    <t>Reinigung</t>
  </si>
  <si>
    <t>max 60</t>
  </si>
  <si>
    <t>ja nach</t>
  </si>
  <si>
    <t>v/h</t>
  </si>
  <si>
    <t>L-1471-315495219</t>
  </si>
  <si>
    <t>1066965072</t>
  </si>
  <si>
    <t>II 1,3g</t>
  </si>
  <si>
    <t xml:space="preserve">Summa theologiae, P. 2,1 : </t>
  </si>
  <si>
    <t>Halbledereinband</t>
  </si>
  <si>
    <t>L-1489-315496444</t>
  </si>
  <si>
    <t>1066966141</t>
  </si>
  <si>
    <t>II 1,3g kursiv</t>
  </si>
  <si>
    <t>Achtung! Kursiv steht nicht auf dem Sig.-Schild</t>
  </si>
  <si>
    <t xml:space="preserve">De legendis antiquorum libris sive De liberalibus studiis : </t>
  </si>
  <si>
    <t>ja vor</t>
  </si>
  <si>
    <t>L-1472-315496711</t>
  </si>
  <si>
    <t>1066966435</t>
  </si>
  <si>
    <t>II 1,3h</t>
  </si>
  <si>
    <t>ggf. wg. Ausgleich hohler Rücken</t>
  </si>
  <si>
    <t>Aal</t>
  </si>
  <si>
    <t>L-1474-316396664</t>
  </si>
  <si>
    <t>1067434755</t>
  </si>
  <si>
    <t>II 1,3h kursiv</t>
  </si>
  <si>
    <t xml:space="preserve">De psalmodia perficienda et modo legendi in choro : </t>
  </si>
  <si>
    <t>L-1472-315498781</t>
  </si>
  <si>
    <t>1066968527</t>
  </si>
  <si>
    <t>II 1,3i</t>
  </si>
  <si>
    <t>war mir zu schwer --&gt; zu zweit arbeiten</t>
  </si>
  <si>
    <t xml:space="preserve">Decretum : </t>
  </si>
  <si>
    <t>h</t>
  </si>
  <si>
    <t xml:space="preserve">
Rücken muss frei schweben, ggf. ausfüttern</t>
  </si>
  <si>
    <t>Schaden stabil</t>
  </si>
  <si>
    <t>x, geht nicht zur Rest., Fotos als Zustandsfotos gedacht</t>
  </si>
  <si>
    <t>L-1481-315498307</t>
  </si>
  <si>
    <t>1066968039</t>
  </si>
  <si>
    <t>II 1,3i kursiv</t>
  </si>
  <si>
    <t xml:space="preserve">Eingang der Himmel : </t>
  </si>
  <si>
    <t>Holzdeckel mit Intarsienarbeit (s. Foto)</t>
  </si>
  <si>
    <t>v</t>
  </si>
  <si>
    <t>Hülse</t>
  </si>
  <si>
    <t>L-1473-315497300</t>
  </si>
  <si>
    <t>1066967008</t>
  </si>
  <si>
    <t>II 1,3k</t>
  </si>
  <si>
    <t xml:space="preserve">Liber sextus Decretalium : </t>
  </si>
  <si>
    <t>hohler Rücken, welliger Buchblock, erhabene Illuminationen</t>
  </si>
  <si>
    <t>schwerer Holzdeckel</t>
  </si>
  <si>
    <t>xx</t>
  </si>
  <si>
    <t>L-1473-315495936</t>
  </si>
  <si>
    <t>1066965714</t>
  </si>
  <si>
    <t>II 1,3l</t>
  </si>
  <si>
    <t xml:space="preserve">De civitate Dei : </t>
  </si>
  <si>
    <t>Signaturfahne austauschen</t>
  </si>
  <si>
    <t>L-1489-352274506</t>
  </si>
  <si>
    <t>1084605600</t>
  </si>
  <si>
    <t>II 1,3l kursiv</t>
  </si>
  <si>
    <t xml:space="preserve">De indulgentiis pro animabus in purgatorio : </t>
  </si>
  <si>
    <t>Papier- oder Pappeinband, Schließen, erhabene Buchbeschläge</t>
  </si>
  <si>
    <t>L-1473-315495944</t>
  </si>
  <si>
    <t>II 1,3la - Fragm.</t>
  </si>
  <si>
    <t>L-1473-31549901X</t>
  </si>
  <si>
    <t>1066968764</t>
  </si>
  <si>
    <t>II 1,3m</t>
  </si>
  <si>
    <t xml:space="preserve">Decretales : </t>
  </si>
  <si>
    <t>L-1490-315501782</t>
  </si>
  <si>
    <t>1066971412</t>
  </si>
  <si>
    <t>II 1,3m kursiv</t>
  </si>
  <si>
    <t xml:space="preserve">De conceptione virginis Mariae : </t>
  </si>
  <si>
    <t>f</t>
  </si>
  <si>
    <t>L-1473-315499028</t>
  </si>
  <si>
    <t>II 1,3ma - Fragm.</t>
  </si>
  <si>
    <t>L-1474-315499389</t>
  </si>
  <si>
    <t>1066969086</t>
  </si>
  <si>
    <t>II 1,3n</t>
  </si>
  <si>
    <t xml:space="preserve">Speculum aureum decem praeceptorum Dei : </t>
  </si>
  <si>
    <t>L-1474-315500409</t>
  </si>
  <si>
    <t>106697005X</t>
  </si>
  <si>
    <t>II 1,3o</t>
  </si>
  <si>
    <t xml:space="preserve">Expositio super toto psalterio : </t>
  </si>
  <si>
    <t>Kassette enth. zusätzlich Originaleinbd.</t>
  </si>
  <si>
    <t>Gewebe</t>
  </si>
  <si>
    <t>Klemm-Einband liegt der Kassette bei</t>
  </si>
  <si>
    <t>L-1475-315497912</t>
  </si>
  <si>
    <t>1066967652</t>
  </si>
  <si>
    <t>II 1,3p; Großformate</t>
  </si>
  <si>
    <t>II 1,3p</t>
  </si>
  <si>
    <t xml:space="preserve">Corpus iuris civilis. Codex Justinianus : </t>
  </si>
  <si>
    <t>Einbandsicherung</t>
  </si>
  <si>
    <t>Einband provisorisch gesichert, 
Kassette wird durch BE.1.2 bestellt, liegend lagern</t>
  </si>
  <si>
    <t>B</t>
  </si>
  <si>
    <t xml:space="preserve">
kein gewöhnlicher HD, VD angebrochen, RD vorn abgebrochen --&gt; Spezielle Verpackung stabilisiert die Deckel</t>
  </si>
  <si>
    <t>theoretisch ja, aber…</t>
  </si>
  <si>
    <t>von Restaurierung würde ich absehen, es ist sinnvoll verpackt und kann so bleiben (s. Fotos)</t>
  </si>
  <si>
    <t>x, wird nicht restauriert, Fotos dienen der Dokumentation</t>
  </si>
  <si>
    <t>L-1475-315496576</t>
  </si>
  <si>
    <t>1066966281</t>
  </si>
  <si>
    <t>II 1,3q</t>
  </si>
  <si>
    <t xml:space="preserve">Sermones de tempore et de sanctis et De diversis : </t>
  </si>
  <si>
    <t>L-1476-315499885</t>
  </si>
  <si>
    <t>1066969566</t>
  </si>
  <si>
    <t>II 1,3t</t>
  </si>
  <si>
    <t xml:space="preserve">Institutiones : </t>
  </si>
  <si>
    <t>Qd</t>
  </si>
  <si>
    <t>L-1476-834802228</t>
  </si>
  <si>
    <t>1269230115</t>
  </si>
  <si>
    <t>II 1,3r und II 1,3u</t>
  </si>
  <si>
    <t>II 1,3u; II 1,3r</t>
  </si>
  <si>
    <t xml:space="preserve">Sammelband mit zwei Inkunabeln, gedruckt in Mainz von Peter Schöffer : </t>
  </si>
  <si>
    <t>Buchblock sehr steif, deshalb Bundsteg=0</t>
  </si>
  <si>
    <t>L-1477-315499893</t>
  </si>
  <si>
    <t>1066969574</t>
  </si>
  <si>
    <t>II 1,3v</t>
  </si>
  <si>
    <t xml:space="preserve">Corpus iuris civilis. Novellae etc. : </t>
  </si>
  <si>
    <t>8000,00 EUR</t>
  </si>
  <si>
    <t>stark brüchiges Einbandmaterial, erhabene Illuminationen</t>
  </si>
  <si>
    <t>f/V</t>
  </si>
  <si>
    <t>Umschlag (Leder pudert)</t>
  </si>
  <si>
    <t>L-1478-315496401</t>
  </si>
  <si>
    <t>1066966109</t>
  </si>
  <si>
    <t>II 1,3x</t>
  </si>
  <si>
    <t xml:space="preserve">Interrogatorium sive confessionale : </t>
  </si>
  <si>
    <t>L-1479-315499087</t>
  </si>
  <si>
    <t>1066968810</t>
  </si>
  <si>
    <t>II 1,3y</t>
  </si>
  <si>
    <t>fester Rücken mit Schmuckprägung, Tintenfraß, erhabene Illuminationen</t>
  </si>
  <si>
    <t>L-1469-315500522</t>
  </si>
  <si>
    <t>1066970181</t>
  </si>
  <si>
    <t>II 1,4ab - Fragm.</t>
  </si>
  <si>
    <t xml:space="preserve">Catholicon : </t>
  </si>
  <si>
    <t>L-1469-31550286X</t>
  </si>
  <si>
    <t>1066972443</t>
  </si>
  <si>
    <t>II 1,4b</t>
  </si>
  <si>
    <t xml:space="preserve">De articulis fidei et ecclesiae sacramentis : </t>
  </si>
  <si>
    <t>L-1480-315500719</t>
  </si>
  <si>
    <t>1066970378</t>
  </si>
  <si>
    <t>II 1,5a</t>
  </si>
  <si>
    <t xml:space="preserve">Klagen und nützliche Lehre aus gemeinen beschriebenen Rechten der kaiserlichen Gesetze : </t>
  </si>
  <si>
    <t>L-1491-315499540</t>
  </si>
  <si>
    <t>106696923X</t>
  </si>
  <si>
    <t>II 1,8ab - Fragm.</t>
  </si>
  <si>
    <t xml:space="preserve">Hortus sanitatis : </t>
  </si>
  <si>
    <t>L-1494-315503262</t>
  </si>
  <si>
    <t>1066972877</t>
  </si>
  <si>
    <t>II 1,9a</t>
  </si>
  <si>
    <t xml:space="preserve">De laudibus s. Annae : </t>
  </si>
  <si>
    <t>4000,00 EUR</t>
  </si>
  <si>
    <t>L-1494-315503270</t>
  </si>
  <si>
    <t>1069138924</t>
  </si>
  <si>
    <t>II 1,9ab</t>
  </si>
  <si>
    <t>Pergamentband, Schließen, erhabene Buchbeschläge</t>
  </si>
  <si>
    <t>L-1494-315499095</t>
  </si>
  <si>
    <t>1066968829</t>
  </si>
  <si>
    <t>II 1,9b</t>
  </si>
  <si>
    <t xml:space="preserve">Lucubratiunculae : </t>
  </si>
  <si>
    <t>L-1494-315502177</t>
  </si>
  <si>
    <t>1066971781</t>
  </si>
  <si>
    <t>II 1,9c</t>
  </si>
  <si>
    <t xml:space="preserve">Epigrammata de virtutibus et vitiis : </t>
  </si>
  <si>
    <t>1300,00 EUR</t>
  </si>
  <si>
    <t>L-1494-315503254</t>
  </si>
  <si>
    <t>1066972869</t>
  </si>
  <si>
    <t>II 1,9d</t>
  </si>
  <si>
    <t xml:space="preserve">De laude scriptorum : </t>
  </si>
  <si>
    <t>L-1495-315500867</t>
  </si>
  <si>
    <t>1066970505</t>
  </si>
  <si>
    <t>II 1,9e</t>
  </si>
  <si>
    <t xml:space="preserve">De fraternitate et rosario beatae Mariae virginis : </t>
  </si>
  <si>
    <t>L-1495-315503289</t>
  </si>
  <si>
    <t>1066972893</t>
  </si>
  <si>
    <t>II 1,9f</t>
  </si>
  <si>
    <t xml:space="preserve">De proprietate monachorum : </t>
  </si>
  <si>
    <t>L-1495-315503335</t>
  </si>
  <si>
    <t>1066972958</t>
  </si>
  <si>
    <t>II 1,9g</t>
  </si>
  <si>
    <t xml:space="preserve">De vanitate et miseria vitae humanae : </t>
  </si>
  <si>
    <t>L-1493-834329093</t>
  </si>
  <si>
    <t>126894694X</t>
  </si>
  <si>
    <t>II 1,9i</t>
  </si>
  <si>
    <t xml:space="preserve">Sammelband mit zwei Inkunabeln, gedruckt in Mainz : </t>
  </si>
  <si>
    <t>L-1493-315503297</t>
  </si>
  <si>
    <t>1066972907</t>
  </si>
  <si>
    <t>II 1,9k</t>
  </si>
  <si>
    <t xml:space="preserve">De republica ecclesiae et monachorum ordinis divi patris Benedicti, Köln, 1. September 1493 : </t>
  </si>
  <si>
    <t>erhabene Illuminationen</t>
  </si>
  <si>
    <t>L-1497-326851682</t>
  </si>
  <si>
    <t>1072051036</t>
  </si>
  <si>
    <t>II 1,9l</t>
  </si>
  <si>
    <t xml:space="preserve">De  operatione divini amoris : </t>
  </si>
  <si>
    <t>fester Rücken mit Schmuckprägung</t>
  </si>
  <si>
    <t>L-1493-315503300</t>
  </si>
  <si>
    <t>1066972923</t>
  </si>
  <si>
    <t>II 1,9m - 1. Ex.</t>
  </si>
  <si>
    <t xml:space="preserve">De statu et ruina monastici ordinis : </t>
  </si>
  <si>
    <t>L-1493-478322305</t>
  </si>
  <si>
    <t>II 1,9m - 2. Ex.</t>
  </si>
  <si>
    <t>L-1468-31549722X</t>
  </si>
  <si>
    <t>1066966923</t>
  </si>
  <si>
    <t>II 2,1a</t>
  </si>
  <si>
    <t xml:space="preserve">Meditationes vitae Christi : </t>
  </si>
  <si>
    <t>fester Rücken mit Schmuckprägung, stark brüchiges Einbandmaterial, erhabene Illuminationen</t>
  </si>
  <si>
    <t>L-1469-316397148</t>
  </si>
  <si>
    <t>1067435948</t>
  </si>
  <si>
    <t>II 2,1b - Fragm.</t>
  </si>
  <si>
    <t>L-1469-316397156</t>
  </si>
  <si>
    <t>II 2,1ba - Fragm.</t>
  </si>
  <si>
    <t>L-1469-315500271</t>
  </si>
  <si>
    <t>1066969930</t>
  </si>
  <si>
    <t>II 2,1c</t>
  </si>
  <si>
    <t xml:space="preserve">Summa de sacramentis : </t>
  </si>
  <si>
    <t>L-1470-315498153</t>
  </si>
  <si>
    <t>1066967903</t>
  </si>
  <si>
    <t>II 2,1d</t>
  </si>
  <si>
    <t>2800,00 EUR</t>
  </si>
  <si>
    <t>L-1471-315502436</t>
  </si>
  <si>
    <t>106697201X</t>
  </si>
  <si>
    <t>II 2,1e</t>
  </si>
  <si>
    <t xml:space="preserve">Speculum vitae humanae : </t>
  </si>
  <si>
    <t>hohler Rücken, Einband mit Schutz- oder Stoßkanten, erhabene Illuminationen</t>
  </si>
  <si>
    <t>Originaleinband separat</t>
  </si>
  <si>
    <t>L-1472-31549980X</t>
  </si>
  <si>
    <t>1066969477</t>
  </si>
  <si>
    <t>II 2,1f</t>
  </si>
  <si>
    <t xml:space="preserve">Etymologiae : </t>
  </si>
  <si>
    <t>L-1472-315499796</t>
  </si>
  <si>
    <t>1066969469</t>
  </si>
  <si>
    <t>II 2,1g</t>
  </si>
  <si>
    <t xml:space="preserve">De responsione mundi et de astrorum ordinatione : </t>
  </si>
  <si>
    <t>L-1472-315499141</t>
  </si>
  <si>
    <t>106696887X</t>
  </si>
  <si>
    <t>II 2,1i</t>
  </si>
  <si>
    <t xml:space="preserve">Postilla super epistolas et evangelia : </t>
  </si>
  <si>
    <t>L-1470-834330342</t>
  </si>
  <si>
    <t>1268947989</t>
  </si>
  <si>
    <t>II 2,1k</t>
  </si>
  <si>
    <t xml:space="preserve">Sammelband mit 9 Werken, gedruckt in Augsburg von Günther Zainer : </t>
  </si>
  <si>
    <t>L-1475-315502851</t>
  </si>
  <si>
    <t>1066972435</t>
  </si>
  <si>
    <t>II 2,1m</t>
  </si>
  <si>
    <t xml:space="preserve">Catena aurea super quattuor evangelistas : </t>
  </si>
  <si>
    <t>0-2</t>
  </si>
  <si>
    <t>x, wg. Bauch</t>
  </si>
  <si>
    <t>extremer Bauch --&gt; Digi-Grenzfall</t>
  </si>
  <si>
    <t>L-1471-315500115</t>
  </si>
  <si>
    <t>1066969779</t>
  </si>
  <si>
    <t>II 2,1n - Pt. 2</t>
  </si>
  <si>
    <t xml:space="preserve">Legenda aurea, deutsch. P. 1. (Winterteil). P. 2. (Sommerteil) : </t>
  </si>
  <si>
    <t>38000,00 DM</t>
  </si>
  <si>
    <t>fester Rücken mit Schmuckprägung, erhabene Illuminationen, stark brüchiges Einbandmaterial</t>
  </si>
  <si>
    <t>L-1470-315500670</t>
  </si>
  <si>
    <t>1066970335</t>
  </si>
  <si>
    <t>II 2,2a</t>
  </si>
  <si>
    <t xml:space="preserve">De antiquitate Iudaica : </t>
  </si>
  <si>
    <t>66000,00 EUR</t>
  </si>
  <si>
    <t>L-1471-315495146</t>
  </si>
  <si>
    <t>1066964998</t>
  </si>
  <si>
    <t>II 2,2b - Fragm.</t>
  </si>
  <si>
    <t xml:space="preserve">Almanach : </t>
  </si>
  <si>
    <t>L-1472-31549767X</t>
  </si>
  <si>
    <t>1066967415</t>
  </si>
  <si>
    <t>II 2,2c</t>
  </si>
  <si>
    <t xml:space="preserve">Historia ecclesiastica tripartita : </t>
  </si>
  <si>
    <t>L-1472-315500042</t>
  </si>
  <si>
    <t>1066969701</t>
  </si>
  <si>
    <t>II 2,2d</t>
  </si>
  <si>
    <t xml:space="preserve">Consolatio peccatorum seu Processus Belial : </t>
  </si>
  <si>
    <t>L-1474-315500204</t>
  </si>
  <si>
    <t>1066969876</t>
  </si>
  <si>
    <t>II 2,3b</t>
  </si>
  <si>
    <t xml:space="preserve">Baum der Sippschaft : </t>
  </si>
  <si>
    <t>L-1474-315500956</t>
  </si>
  <si>
    <t>1066970599</t>
  </si>
  <si>
    <t>II 2,4a</t>
  </si>
  <si>
    <t xml:space="preserve">Sermones aurei de sanctis : </t>
  </si>
  <si>
    <t>nur sehr geringer Öffnungswinkel</t>
  </si>
  <si>
    <t>hohler Rücken, Schrift bis in den Falz, welliger Buchblock</t>
  </si>
  <si>
    <t>L-1474-315502509</t>
  </si>
  <si>
    <t>1066972087</t>
  </si>
  <si>
    <t>II 2,4b</t>
  </si>
  <si>
    <t xml:space="preserve">Glossae ex illustrissimis auctoribus collectae : </t>
  </si>
  <si>
    <t>3500,00 EUR</t>
  </si>
  <si>
    <t>L-1475-315496150</t>
  </si>
  <si>
    <t>1066965870</t>
  </si>
  <si>
    <t>II 2,5a</t>
  </si>
  <si>
    <t xml:space="preserve">Quinquaginta : </t>
  </si>
  <si>
    <t>L-1476-315497831</t>
  </si>
  <si>
    <t>106696758X</t>
  </si>
  <si>
    <t>II 2,5b</t>
  </si>
  <si>
    <t xml:space="preserve">Sermones de tempore : </t>
  </si>
  <si>
    <t>1800,00 EUR</t>
  </si>
  <si>
    <t>L-1476-315495413</t>
  </si>
  <si>
    <t>1066965250</t>
  </si>
  <si>
    <t>II 2,5c</t>
  </si>
  <si>
    <t xml:space="preserve">Expositio in evangelium S. Lucae : </t>
  </si>
  <si>
    <t>6567,00 EUR</t>
  </si>
  <si>
    <t>fester Rücken mit Schmuckprägung, welliger Buchblock, stark brüchiges Einbandmaterial</t>
  </si>
  <si>
    <t>Gelenk mit JP unterlegen, Gelenke mit JP überfangen, Ecken stabilisieren</t>
  </si>
  <si>
    <t>L-1486-315502827</t>
  </si>
  <si>
    <t>1066972400</t>
  </si>
  <si>
    <t>II 2,5g</t>
  </si>
  <si>
    <t xml:space="preserve">Die @wahre Nachfolgung Christi : </t>
  </si>
  <si>
    <t>L-1488-315497483</t>
  </si>
  <si>
    <t>1066967210</t>
  </si>
  <si>
    <t>II 2,5h</t>
  </si>
  <si>
    <t xml:space="preserve">Die @heiligen Reisen gen Jerusalem : </t>
  </si>
  <si>
    <t>max 180</t>
  </si>
  <si>
    <t>geringerer Öffnungswinkel mindert "Bauch"</t>
  </si>
  <si>
    <t>L-1489-326851933</t>
  </si>
  <si>
    <t>1072051486</t>
  </si>
  <si>
    <t>II 2,5k</t>
  </si>
  <si>
    <t xml:space="preserve">Cursus hinc inde collecti : </t>
  </si>
  <si>
    <t>Schrift bis in den Falz, erhabene Illuminationen</t>
  </si>
  <si>
    <t>L-1490-315497548</t>
  </si>
  <si>
    <t>1066967288</t>
  </si>
  <si>
    <t>II 2,5l</t>
  </si>
  <si>
    <t xml:space="preserve">Buch von dem Leben und Sitten der heydnischen Maister : </t>
  </si>
  <si>
    <t>L-1476-315501839</t>
  </si>
  <si>
    <t>1066971455</t>
  </si>
  <si>
    <t>II 2,5n</t>
  </si>
  <si>
    <t xml:space="preserve">De oculo morali : </t>
  </si>
  <si>
    <t>Gewebeeinband, Schließen, erhabene Buchbeschläge</t>
  </si>
  <si>
    <t>G</t>
  </si>
  <si>
    <t>L-9999-316397652</t>
  </si>
  <si>
    <t>1067436936</t>
  </si>
  <si>
    <t>II 2,5 o - Fragm</t>
  </si>
  <si>
    <t>II 2,5o - Fragm</t>
  </si>
  <si>
    <t xml:space="preserve">Warumb klaidest du dich so in manniger Gestalt : </t>
  </si>
  <si>
    <t>L-1477-315497262</t>
  </si>
  <si>
    <t>1066966966</t>
  </si>
  <si>
    <t>II 2,5p</t>
  </si>
  <si>
    <t xml:space="preserve">Speculum Beatae Mariae Virginis : </t>
  </si>
  <si>
    <t>L-1475-315498676</t>
  </si>
  <si>
    <t>106696842X</t>
  </si>
  <si>
    <t>II 2,6a</t>
  </si>
  <si>
    <t xml:space="preserve">Conclusiones de diversis materiis moralibus sive De regulis mandatorum : </t>
  </si>
  <si>
    <t>Acf</t>
  </si>
  <si>
    <t>L-1477-315499346</t>
  </si>
  <si>
    <t>1066969051</t>
  </si>
  <si>
    <t>II 2,7a</t>
  </si>
  <si>
    <t xml:space="preserve">Summa super titulis Decretalium : </t>
  </si>
  <si>
    <t>2000,00 EUR</t>
  </si>
  <si>
    <t>welliger Buchblock, erhabene Illuminationen</t>
  </si>
  <si>
    <t>Af</t>
  </si>
  <si>
    <t>L-1477-847512924</t>
  </si>
  <si>
    <t>1272206009</t>
  </si>
  <si>
    <t>II 2,7a - 1</t>
  </si>
  <si>
    <t>Summa super titulis Decretalium</t>
  </si>
  <si>
    <t xml:space="preserve">1 : </t>
  </si>
  <si>
    <t>L-1477-847512959</t>
  </si>
  <si>
    <t>1272206068</t>
  </si>
  <si>
    <t>II 2,7a - 2</t>
  </si>
  <si>
    <t xml:space="preserve">2 : </t>
  </si>
  <si>
    <t>Originaleinband</t>
  </si>
  <si>
    <t>L-1477-847512991</t>
  </si>
  <si>
    <t>1272206114</t>
  </si>
  <si>
    <t>II 2,7a - 3/4</t>
  </si>
  <si>
    <t xml:space="preserve">3/4 : </t>
  </si>
  <si>
    <t>L-1477-847513017</t>
  </si>
  <si>
    <t>1272206149</t>
  </si>
  <si>
    <t>II 2,7a - 5</t>
  </si>
  <si>
    <t xml:space="preserve">5 : </t>
  </si>
  <si>
    <t>ggf., wg. Schließe</t>
  </si>
  <si>
    <t>Originaleinband; es gibt 2 Bücher unter dieser Signatur</t>
  </si>
  <si>
    <t>u</t>
  </si>
  <si>
    <t>L-1477-847513084</t>
  </si>
  <si>
    <t>II 2,7a - 5 - 2. Ex.</t>
  </si>
  <si>
    <t>L-1477-315497076</t>
  </si>
  <si>
    <t>1066966761</t>
  </si>
  <si>
    <t>II 2,7b</t>
  </si>
  <si>
    <t xml:space="preserve">Die @güldene Bibel : </t>
  </si>
  <si>
    <t>3000,00 EUR</t>
  </si>
  <si>
    <t>K/I</t>
  </si>
  <si>
    <t>L-1478-31550353X</t>
  </si>
  <si>
    <t>1066973148</t>
  </si>
  <si>
    <t>II 2,9a</t>
  </si>
  <si>
    <t xml:space="preserve">Vocabularius, lat. und dt. : </t>
  </si>
  <si>
    <t>hohler Rücken, Einband mit Schutz- oder Stoßkanten</t>
  </si>
  <si>
    <t>L-1484-315500123</t>
  </si>
  <si>
    <t>1066969787</t>
  </si>
  <si>
    <t>II 2,10a</t>
  </si>
  <si>
    <t xml:space="preserve">Sermones de sanctis : </t>
  </si>
  <si>
    <t>L-1495-315497416</t>
  </si>
  <si>
    <t>1066967156</t>
  </si>
  <si>
    <t>II 2,11a</t>
  </si>
  <si>
    <t xml:space="preserve">Vocabularius rerum : </t>
  </si>
  <si>
    <t>L-1497-315502525</t>
  </si>
  <si>
    <t>1066972109</t>
  </si>
  <si>
    <t>II 2,11d</t>
  </si>
  <si>
    <t xml:space="preserve">Liber chronicarum : </t>
  </si>
  <si>
    <t>K</t>
  </si>
  <si>
    <t>L-1499-315502207</t>
  </si>
  <si>
    <t>1066971803</t>
  </si>
  <si>
    <t>II 2,15d</t>
  </si>
  <si>
    <t xml:space="preserve">Psalterium, lat. und. dt. : </t>
  </si>
  <si>
    <t>L-1488-315500735</t>
  </si>
  <si>
    <t>1066970394</t>
  </si>
  <si>
    <t>II 2,16b</t>
  </si>
  <si>
    <t xml:space="preserve">Klagen, Antworten und Urteile, gezogen aus geistlichen und weltlichen Rechten : </t>
  </si>
  <si>
    <t>L-1488-315500743</t>
  </si>
  <si>
    <t>II 2,16ba</t>
  </si>
  <si>
    <t>Buch riecht extrem nach Chemie</t>
  </si>
  <si>
    <t>L-1495-326852484</t>
  </si>
  <si>
    <t>1072052393</t>
  </si>
  <si>
    <t>II 2,17a</t>
  </si>
  <si>
    <t xml:space="preserve">Von dem Psalter unserer lieben Frau : </t>
  </si>
  <si>
    <t>L-1496-315501251</t>
  </si>
  <si>
    <t>1066970890</t>
  </si>
  <si>
    <t>II 2,18a</t>
  </si>
  <si>
    <t xml:space="preserve">Revelationes divinae a sanctis angelis factae : </t>
  </si>
  <si>
    <t>R</t>
  </si>
  <si>
    <t>L-1461-315496819</t>
  </si>
  <si>
    <t>1066966524</t>
  </si>
  <si>
    <t>II 3,1a - Fragm.</t>
  </si>
  <si>
    <t xml:space="preserve">Biblia, lat., 36zeilig : </t>
  </si>
  <si>
    <t>L-1488-315501332</t>
  </si>
  <si>
    <t>1066970971</t>
  </si>
  <si>
    <t>II 3,2b (Großformat)</t>
  </si>
  <si>
    <t>II 3,2b</t>
  </si>
  <si>
    <t xml:space="preserve">Missale Olomucense : </t>
  </si>
  <si>
    <t>10000,00 EUR</t>
  </si>
  <si>
    <t>Holzdeckel</t>
  </si>
  <si>
    <t>15 Seiten</t>
  </si>
  <si>
    <t>25 Seiten</t>
  </si>
  <si>
    <t>L-1483-343703483</t>
  </si>
  <si>
    <t>1079552596</t>
  </si>
  <si>
    <t>II 3,2d</t>
  </si>
  <si>
    <t xml:space="preserve">Psalterium latinum : </t>
  </si>
  <si>
    <t>3200,00 EUR</t>
  </si>
  <si>
    <t>fester Rücken mit Schmuckprägung, welliger Buchblock, erhabene Illuminationen, Schrift bis in den Falz, Tintenfraß</t>
  </si>
  <si>
    <t>Holzdeckel, gereinigt,Fragment in Sammelbox</t>
  </si>
  <si>
    <t>L-1474-31549672X</t>
  </si>
  <si>
    <t>1077047398</t>
  </si>
  <si>
    <t>II 4,1 a</t>
  </si>
  <si>
    <t>II 4,1a</t>
  </si>
  <si>
    <t>Biblia, lat.</t>
  </si>
  <si>
    <t xml:space="preserve">Pars 1 : </t>
  </si>
  <si>
    <t>Box</t>
  </si>
  <si>
    <t>L-1474-336752105</t>
  </si>
  <si>
    <t>1077047428</t>
  </si>
  <si>
    <t>II 4,1a - 2</t>
  </si>
  <si>
    <t xml:space="preserve">Pars 2 : </t>
  </si>
  <si>
    <t>L-1472-315498900</t>
  </si>
  <si>
    <t>1066968667</t>
  </si>
  <si>
    <t>II 4,1b</t>
  </si>
  <si>
    <t xml:space="preserve">Moralia sive Expositio in Job : </t>
  </si>
  <si>
    <t>Box (wg. Schließe)</t>
  </si>
  <si>
    <t>L-1475-31549784X</t>
  </si>
  <si>
    <t>1066967598</t>
  </si>
  <si>
    <t>II 4,1c</t>
  </si>
  <si>
    <t xml:space="preserve">Fabularius seu Repertorium vocabulorum : </t>
  </si>
  <si>
    <t>L-1489-315500468</t>
  </si>
  <si>
    <t>1066970114</t>
  </si>
  <si>
    <t>II 4,1d - 2</t>
  </si>
  <si>
    <t xml:space="preserve">Sermones Dormi secure de tempore et de sanctis : </t>
  </si>
  <si>
    <t>L-1479-315495901</t>
  </si>
  <si>
    <t>1066965684</t>
  </si>
  <si>
    <t>II 4,2b</t>
  </si>
  <si>
    <t xml:space="preserve">De civitate dei : </t>
  </si>
  <si>
    <t>L-1479-315501286</t>
  </si>
  <si>
    <t>1066970920</t>
  </si>
  <si>
    <t>II 4,2c</t>
  </si>
  <si>
    <t xml:space="preserve">Sermonarium de peccatis per adventum et per duas quadragesimas : </t>
  </si>
  <si>
    <t>5000,00 EUR</t>
  </si>
  <si>
    <t>fester Rücken mit Schmuckprägung, welliger Buchblock, erhabene Illuminationen</t>
  </si>
  <si>
    <t>Trockenreinigung Vorsätze und erste und letzte Blätter am Rand</t>
  </si>
  <si>
    <t>L-1481-315498811</t>
  </si>
  <si>
    <t>106696856X</t>
  </si>
  <si>
    <t>II 4,2d</t>
  </si>
  <si>
    <t>12000,00 EUR</t>
  </si>
  <si>
    <t>L-1472-315498579</t>
  </si>
  <si>
    <t>1066968322</t>
  </si>
  <si>
    <t>II 4,2e</t>
  </si>
  <si>
    <t>I</t>
  </si>
  <si>
    <t>L-1475-315497378</t>
  </si>
  <si>
    <t>1066967113</t>
  </si>
  <si>
    <t>II 4,2f</t>
  </si>
  <si>
    <t xml:space="preserve">Speculum sapientiae : </t>
  </si>
  <si>
    <t>L-1474-315503076</t>
  </si>
  <si>
    <t>1066972656</t>
  </si>
  <si>
    <t>II 4,2g</t>
  </si>
  <si>
    <t xml:space="preserve">Summa theologiae, P. 3 : </t>
  </si>
  <si>
    <t>Schuber viel zu eng --&gt; auf keinen Fall wieder einschubern!!</t>
  </si>
  <si>
    <t>L-1474-315500131</t>
  </si>
  <si>
    <t>1066969795</t>
  </si>
  <si>
    <t>II 4,2h</t>
  </si>
  <si>
    <t xml:space="preserve">Vocabularius iuris utriusque : </t>
  </si>
  <si>
    <t>L-1476-315498803</t>
  </si>
  <si>
    <t>1066968551</t>
  </si>
  <si>
    <t>II 4,3a</t>
  </si>
  <si>
    <t>L-1482-315499648</t>
  </si>
  <si>
    <t>1066969310</t>
  </si>
  <si>
    <t>II 4,3c</t>
  </si>
  <si>
    <t xml:space="preserve">Postilla super evangelia : </t>
  </si>
  <si>
    <t>gereinigt, Fragmanet in Sammelbox</t>
  </si>
  <si>
    <t>L-1482-315502479</t>
  </si>
  <si>
    <t>1066972052</t>
  </si>
  <si>
    <t>II 4,3d</t>
  </si>
  <si>
    <t xml:space="preserve">Fasciculus temporum : </t>
  </si>
  <si>
    <t>L-1474-315496940</t>
  </si>
  <si>
    <t>1066966656</t>
  </si>
  <si>
    <t>II 4,3e</t>
  </si>
  <si>
    <t>II 4,3e -1</t>
  </si>
  <si>
    <t>II 4,3e -2</t>
  </si>
  <si>
    <t>L-1475-315502444</t>
  </si>
  <si>
    <t>1066972028</t>
  </si>
  <si>
    <t>II 4,4a</t>
  </si>
  <si>
    <t>L-1472-315494921</t>
  </si>
  <si>
    <t>106696470X</t>
  </si>
  <si>
    <t>II 4,4b</t>
  </si>
  <si>
    <t xml:space="preserve">De arte loquendi et tacendi : </t>
  </si>
  <si>
    <t>L-1473-315500190</t>
  </si>
  <si>
    <t>1066969868</t>
  </si>
  <si>
    <t>II 4,4c</t>
  </si>
  <si>
    <t xml:space="preserve">Summa de sponsalibus et matrimoniis : </t>
  </si>
  <si>
    <t>1500,00 EUR</t>
  </si>
  <si>
    <t>hohler Rücken, erhabene Illuminationen, stark brüchiges Einbandmaterial</t>
  </si>
  <si>
    <t>L-1474-315498587</t>
  </si>
  <si>
    <t>1066968330</t>
  </si>
  <si>
    <t>II 4,4d</t>
  </si>
  <si>
    <t>L-1472-315496614</t>
  </si>
  <si>
    <t>1066966338</t>
  </si>
  <si>
    <t>II 4,4e</t>
  </si>
  <si>
    <t xml:space="preserve">Speculum de honestate vitae : </t>
  </si>
  <si>
    <t>L-1475-326852794</t>
  </si>
  <si>
    <t>1072053101</t>
  </si>
  <si>
    <t>II 4,4f</t>
  </si>
  <si>
    <t xml:space="preserve">Die @guldin Bull. Add: Fridericus III, Reformation und Ordnung vom 14. August 1442 : </t>
  </si>
  <si>
    <t>L-1472-315498978</t>
  </si>
  <si>
    <t>1066968721</t>
  </si>
  <si>
    <t>II 4,4g</t>
  </si>
  <si>
    <t xml:space="preserve">Pastorale sive Regula pastoralis : </t>
  </si>
  <si>
    <t>L-1474-315500018</t>
  </si>
  <si>
    <t>1066969671</t>
  </si>
  <si>
    <t>II 4,4h</t>
  </si>
  <si>
    <t xml:space="preserve">De veritate dicenda aut tacenda : </t>
  </si>
  <si>
    <t>f/E</t>
  </si>
  <si>
    <t>L-1489-31549610X</t>
  </si>
  <si>
    <t>1066965838</t>
  </si>
  <si>
    <t>II 4,5a</t>
  </si>
  <si>
    <t>Explanatio psalmorum : P. 1-3</t>
  </si>
  <si>
    <t>fester Rücken mit Schmuckprägung, welliger Buchblock, Schrift bis in den Falz</t>
  </si>
  <si>
    <t>L-1490-834332256</t>
  </si>
  <si>
    <t>1268949655</t>
  </si>
  <si>
    <t>II 4,5b</t>
  </si>
  <si>
    <t xml:space="preserve">Sammelband mit zwei Inkunabeln : </t>
  </si>
  <si>
    <t>3600,00 EUR</t>
  </si>
  <si>
    <t>welliger Buchblock, Schrift bis in den Falz, stark brüchiges Einbandmaterial, erhabene Illuminationen</t>
  </si>
  <si>
    <t>L-1490-315496010</t>
  </si>
  <si>
    <t>1066965773</t>
  </si>
  <si>
    <t>II 4,5c</t>
  </si>
  <si>
    <t>II 4,5c (angebunden an II 4,5b)</t>
  </si>
  <si>
    <t>?? Ist eigenes Buch.</t>
  </si>
  <si>
    <t>L-1491-315497661</t>
  </si>
  <si>
    <t>1066967407</t>
  </si>
  <si>
    <t>II 4,5d</t>
  </si>
  <si>
    <t xml:space="preserve">Expositio in Psalterium : </t>
  </si>
  <si>
    <t>fester Rücken mit Schmuckprägung, welliger Buchblock, Schrift bis in den Falz, erhabene Illuminationen</t>
  </si>
  <si>
    <t xml:space="preserve">I/R </t>
  </si>
  <si>
    <t>Afl</t>
  </si>
  <si>
    <t>L-1492-329246070</t>
  </si>
  <si>
    <t>1085177637</t>
  </si>
  <si>
    <t>II 4,5e - 2</t>
  </si>
  <si>
    <t>Opera</t>
  </si>
  <si>
    <t xml:space="preserve">[Pt. 2] : </t>
  </si>
  <si>
    <t>trotzt 180° Öffnungswinkel Textverlust (Marginalien)</t>
  </si>
  <si>
    <t>L-1492-352777192</t>
  </si>
  <si>
    <t>1085177750</t>
  </si>
  <si>
    <t>II 4,5e - 3</t>
  </si>
  <si>
    <t xml:space="preserve">[Pt. 3] : </t>
  </si>
  <si>
    <t>L-1492-315495448</t>
  </si>
  <si>
    <t>1085177238</t>
  </si>
  <si>
    <t>II 4,5ea - Fragm.</t>
  </si>
  <si>
    <t xml:space="preserve">[Pt. 1] : </t>
  </si>
  <si>
    <t>L-1493-31549493X</t>
  </si>
  <si>
    <t>1066964734</t>
  </si>
  <si>
    <t>II 4,5f</t>
  </si>
  <si>
    <t>Schrift bis in den Falz</t>
  </si>
  <si>
    <t>Klemmeinband in separater Box erhalten</t>
  </si>
  <si>
    <t>L-1496-315501774</t>
  </si>
  <si>
    <t>1066971404</t>
  </si>
  <si>
    <t>II 4,5g</t>
  </si>
  <si>
    <t xml:space="preserve">Opera latina : </t>
  </si>
  <si>
    <t>3800,00 EUR</t>
  </si>
  <si>
    <t>o/u</t>
  </si>
  <si>
    <t>L-1483-315501367</t>
  </si>
  <si>
    <t>1066971005</t>
  </si>
  <si>
    <t>II 4,6a</t>
  </si>
  <si>
    <t xml:space="preserve">De horis canonicis dicendis : </t>
  </si>
  <si>
    <t>L-1486-315501936</t>
  </si>
  <si>
    <t>1066971552</t>
  </si>
  <si>
    <t>II 4,7a</t>
  </si>
  <si>
    <t xml:space="preserve">Sententiarum libri IV : </t>
  </si>
  <si>
    <t>fester Rücken mit Schmuckprägung, welliger Buchblock, Schrift bis in den Falz, stark brüchiges Einbandmaterial, erhabene Illuminationen</t>
  </si>
  <si>
    <t>L-1486-834341662</t>
  </si>
  <si>
    <t>1268958956</t>
  </si>
  <si>
    <t>II 4,7b</t>
  </si>
  <si>
    <t>L-1486-465330959</t>
  </si>
  <si>
    <t>1168282241</t>
  </si>
  <si>
    <t>II 4,7b (angebunden)</t>
  </si>
  <si>
    <t>L-1487-315496770</t>
  </si>
  <si>
    <t>1066966486</t>
  </si>
  <si>
    <t>II 4,7c</t>
  </si>
  <si>
    <t>fester Rücken mit Schmuckprägung, welliger Buchblock, Schrift bis in den Falz, erhabene Illuminationen, stark brüchiges Einbandmaterial</t>
  </si>
  <si>
    <t>L-1489-315496363</t>
  </si>
  <si>
    <t>1066966060</t>
  </si>
  <si>
    <t>II 4,7d</t>
  </si>
  <si>
    <t xml:space="preserve">Casus decretorum : </t>
  </si>
  <si>
    <t>6875,00 USD</t>
  </si>
  <si>
    <t>fester Rücken mit Schmuckprägung, welliger Buchblock, stark brüchiges Einbandmaterial, erhabene Illuminationen</t>
  </si>
  <si>
    <t>L-1489-315501944</t>
  </si>
  <si>
    <t>1066971560</t>
  </si>
  <si>
    <t>II 4,7e</t>
  </si>
  <si>
    <t>fester Rücken mit Schmuckprägung, welliger Buchblock, erhabene Illuminationen, Schrift bis in den Falz</t>
  </si>
  <si>
    <t>L-1492-315502975</t>
  </si>
  <si>
    <t>1066972559</t>
  </si>
  <si>
    <t>II 4,7f</t>
  </si>
  <si>
    <t xml:space="preserve">Scripta ad Hanibaldum episcopum super quattuor libros Sententiarum : </t>
  </si>
  <si>
    <t>4500,00 EUR</t>
  </si>
  <si>
    <t>L-1495-315496568</t>
  </si>
  <si>
    <t>1066966273</t>
  </si>
  <si>
    <t>II 4,7g</t>
  </si>
  <si>
    <t xml:space="preserve">Sermones de tempore et de sanctis : </t>
  </si>
  <si>
    <t>fester Rücken mit Schmuckprägung, Schrift bis in den Falz, stark brüchiges Einbandmaterial</t>
  </si>
  <si>
    <t>L-1496-315498986</t>
  </si>
  <si>
    <t>106696873X</t>
  </si>
  <si>
    <t>II 4,8a</t>
  </si>
  <si>
    <t>1000,00 EUR</t>
  </si>
  <si>
    <t>hohler Rücken, stark brüchiges Einbandmaterial</t>
  </si>
  <si>
    <t>L-1496-315498897</t>
  </si>
  <si>
    <t>1066968632</t>
  </si>
  <si>
    <t>II 4,8c</t>
  </si>
  <si>
    <t xml:space="preserve">Dialogorum libri quattuor : </t>
  </si>
  <si>
    <t>Kleimmeinband liegt der Kassette bei</t>
  </si>
  <si>
    <t>L-1490-315502339</t>
  </si>
  <si>
    <t>1066971935</t>
  </si>
  <si>
    <t>II 4,8d</t>
  </si>
  <si>
    <t xml:space="preserve">Fagifacetus sive De moribus et facetiis mensae : </t>
  </si>
  <si>
    <t>L-1495-315496983</t>
  </si>
  <si>
    <t>1066966680</t>
  </si>
  <si>
    <t>II 4,9a</t>
  </si>
  <si>
    <t>o</t>
  </si>
  <si>
    <t>L-1499-315500395</t>
  </si>
  <si>
    <t>1066970041</t>
  </si>
  <si>
    <t>II 4,9b</t>
  </si>
  <si>
    <t xml:space="preserve">Liber de exemplis ac similitudinibus rerum : </t>
  </si>
  <si>
    <t>1100,00 EUR</t>
  </si>
  <si>
    <t>L-1498-406962960</t>
  </si>
  <si>
    <t>1132645409</t>
  </si>
  <si>
    <t>II 4,9c</t>
  </si>
  <si>
    <t>3. : Tertia pars huius</t>
  </si>
  <si>
    <t>L-1497-315501030</t>
  </si>
  <si>
    <t>1066970688</t>
  </si>
  <si>
    <t>II 4,10a</t>
  </si>
  <si>
    <t xml:space="preserve">Germanorum veterum principum zelus et fervor in Christianam religionem Deique ministros : </t>
  </si>
  <si>
    <t>L-1515-326853065</t>
  </si>
  <si>
    <t>1072053705</t>
  </si>
  <si>
    <t>II 4,10b</t>
  </si>
  <si>
    <t xml:space="preserve">Vita S. Brunonis : </t>
  </si>
  <si>
    <t>L-1497-315497432</t>
  </si>
  <si>
    <t>1066967172</t>
  </si>
  <si>
    <t>II 4,10c</t>
  </si>
  <si>
    <t xml:space="preserve">Stultifera navis : </t>
  </si>
  <si>
    <t>L-1475-315500026</t>
  </si>
  <si>
    <t>106696968X</t>
  </si>
  <si>
    <t>II 6,1a</t>
  </si>
  <si>
    <t>L-1477-315503505</t>
  </si>
  <si>
    <t>1066973121</t>
  </si>
  <si>
    <t>II 6,1b</t>
  </si>
  <si>
    <t>L-1477-315503513</t>
  </si>
  <si>
    <t>II 6,1ba - Fragm.</t>
  </si>
  <si>
    <t>L-1474-326853480</t>
  </si>
  <si>
    <t>1072054698</t>
  </si>
  <si>
    <t>II 7,1a</t>
  </si>
  <si>
    <t xml:space="preserve">De periculis contingentibus : </t>
  </si>
  <si>
    <t>L-1467-315496061</t>
  </si>
  <si>
    <t>1066965811</t>
  </si>
  <si>
    <t>II 8,1a</t>
  </si>
  <si>
    <t xml:space="preserve">De vita Christiana : </t>
  </si>
  <si>
    <t>L-1477-31549509X</t>
  </si>
  <si>
    <t>1066964939</t>
  </si>
  <si>
    <t>II 8,1b</t>
  </si>
  <si>
    <t xml:space="preserve">Sermones Discipuli : </t>
  </si>
  <si>
    <t>L-1482-315499265</t>
  </si>
  <si>
    <t>1066968993</t>
  </si>
  <si>
    <t>II 8,1c</t>
  </si>
  <si>
    <t>L-1473-315495227</t>
  </si>
  <si>
    <t>1066965080</t>
  </si>
  <si>
    <t>II 8,1d</t>
  </si>
  <si>
    <t xml:space="preserve">Aurea verba : </t>
  </si>
  <si>
    <t>hohler Rücken, welliger Buchblock</t>
  </si>
  <si>
    <t>L-1470-315496525</t>
  </si>
  <si>
    <t>1066966230</t>
  </si>
  <si>
    <t>II 8,1e</t>
  </si>
  <si>
    <t xml:space="preserve">Sermo de gloriosa Virgine Maria : </t>
  </si>
  <si>
    <t>L-1473-315496606</t>
  </si>
  <si>
    <t>106696632X</t>
  </si>
  <si>
    <t>II 8,1f</t>
  </si>
  <si>
    <t>umgebunden,Originaleinband mit Blindmaterial liegt bei</t>
  </si>
  <si>
    <t>L-1472-31549865X</t>
  </si>
  <si>
    <t>1066968403</t>
  </si>
  <si>
    <t>II 8,1g</t>
  </si>
  <si>
    <t xml:space="preserve">Conclusiones de diversis materiis moralibus : </t>
  </si>
  <si>
    <t>L-1472-315498692</t>
  </si>
  <si>
    <t>1066968446</t>
  </si>
  <si>
    <t>II 8,1h</t>
  </si>
  <si>
    <t xml:space="preserve">De pollutione nocturna : </t>
  </si>
  <si>
    <t>L-1470-315498684</t>
  </si>
  <si>
    <t>1066968438</t>
  </si>
  <si>
    <t>II 8,1i</t>
  </si>
  <si>
    <t xml:space="preserve">De meditatione cordis. De modo orandi. De valore orationis et de attentione : </t>
  </si>
  <si>
    <t>L-1471-315498994</t>
  </si>
  <si>
    <t>1066968748</t>
  </si>
  <si>
    <t>II 8,1k</t>
  </si>
  <si>
    <t xml:space="preserve">Regula pastoralis : </t>
  </si>
  <si>
    <t>L-1485-327855061</t>
  </si>
  <si>
    <t>1072494108</t>
  </si>
  <si>
    <t>II 8,1l - 2</t>
  </si>
  <si>
    <t>Postilla super totam Bibliam</t>
  </si>
  <si>
    <t>P.2. : Paralipomena - Psalmi</t>
  </si>
  <si>
    <t>4250,00 EUR</t>
  </si>
  <si>
    <t xml:space="preserve">
wegen schlechter Lederqualität und steifer Rückeneinlage --&gt; Gelenke reißen ein</t>
  </si>
  <si>
    <t>ja ÖW=0</t>
  </si>
  <si>
    <t>Gelenke mit JP-Gewebe-Laminat stabilisieren</t>
  </si>
  <si>
    <t>L-1485-32785524X</t>
  </si>
  <si>
    <t>107249423X</t>
  </si>
  <si>
    <t>II 8,1l - 4</t>
  </si>
  <si>
    <t>P.4. : Evangelia - Apocalypsis</t>
  </si>
  <si>
    <t>L-1470-315501596</t>
  </si>
  <si>
    <t>1066971226</t>
  </si>
  <si>
    <t>II 8,1m</t>
  </si>
  <si>
    <t xml:space="preserve">De morali lepra : </t>
  </si>
  <si>
    <t>hohler Rücken, erhabene Illuminationen, hohler Rücken, erhabene Illuminationen, hohler Rücken, erhabene Illuminationen, hohler Rücken, erhabene Illuminationen</t>
  </si>
  <si>
    <t>L-1467-343703882</t>
  </si>
  <si>
    <t>107955310X</t>
  </si>
  <si>
    <t>II 8,1n</t>
  </si>
  <si>
    <t>Summa de articulis fidei et ecclesiae sacramentis : Mit Widm. an Leonardus, Erzbischof von Palermo</t>
  </si>
  <si>
    <t>L-1486-315495162</t>
  </si>
  <si>
    <t>1066965021</t>
  </si>
  <si>
    <t>II 8,2a</t>
  </si>
  <si>
    <t xml:space="preserve">De remediis utriusque fortunae : </t>
  </si>
  <si>
    <t>4800,00 EUR</t>
  </si>
  <si>
    <t>Rücken mit JP sichern, ggf. lokal mit dünnem JP überfangen</t>
  </si>
  <si>
    <t>L-1476-315498641</t>
  </si>
  <si>
    <t>106696839X</t>
  </si>
  <si>
    <t>II 8,2b</t>
  </si>
  <si>
    <t xml:space="preserve">Declaratio modi et formae venditionis et emptionis reddituum perpetuorum et vitalium : </t>
  </si>
  <si>
    <t>L-1472-834343320</t>
  </si>
  <si>
    <t>1268960594</t>
  </si>
  <si>
    <t>II 8,2c</t>
  </si>
  <si>
    <t xml:space="preserve">Sammelband mit Inkunabel und Fachbuch des 19. Jahrhunderts : </t>
  </si>
  <si>
    <t>L-1476-315502878</t>
  </si>
  <si>
    <t>1066972451</t>
  </si>
  <si>
    <t>II 8,2d</t>
  </si>
  <si>
    <t xml:space="preserve">De corpore Christi (Pseudo-). Expositio orationis dominicae : </t>
  </si>
  <si>
    <t>,00 EUR</t>
  </si>
  <si>
    <t>Teilhülse</t>
  </si>
  <si>
    <t>L-1470-315498315</t>
  </si>
  <si>
    <t>1066968047</t>
  </si>
  <si>
    <t>II 8,3a</t>
  </si>
  <si>
    <t xml:space="preserve">Soliloquium : </t>
  </si>
  <si>
    <t>L-1471-315499311</t>
  </si>
  <si>
    <t>1066969035</t>
  </si>
  <si>
    <t>II 8,3b</t>
  </si>
  <si>
    <t xml:space="preserve">Expositio super Ave Maria : </t>
  </si>
  <si>
    <t>Papier- oder Pappeinband</t>
  </si>
  <si>
    <t>L-9999-315503734</t>
  </si>
  <si>
    <t>1066973369</t>
  </si>
  <si>
    <t>II 8,4a</t>
  </si>
  <si>
    <t xml:space="preserve">De beatitudine aeternitatis : </t>
  </si>
  <si>
    <t>L-1474-315496169</t>
  </si>
  <si>
    <t>1066965889</t>
  </si>
  <si>
    <t>II 8,5a</t>
  </si>
  <si>
    <t xml:space="preserve">Sermo super orationem dominicam : </t>
  </si>
  <si>
    <t>L-1474-315495189</t>
  </si>
  <si>
    <t>1066965048</t>
  </si>
  <si>
    <t>II 8,6a</t>
  </si>
  <si>
    <t xml:space="preserve">Glossae Clementinae : </t>
  </si>
  <si>
    <t>L-1474-315499230</t>
  </si>
  <si>
    <t>1066968950</t>
  </si>
  <si>
    <t>II 8,6b</t>
  </si>
  <si>
    <t xml:space="preserve">Diaeta salutis : </t>
  </si>
  <si>
    <t>hohler Rücken, erhabene Illuminationen, Einband mit Schutz- oder Stoßkanten</t>
  </si>
  <si>
    <t>L-1475-315502916</t>
  </si>
  <si>
    <t>1066972508</t>
  </si>
  <si>
    <t>II 8,6c</t>
  </si>
  <si>
    <t xml:space="preserve">De veritate : </t>
  </si>
  <si>
    <t>max 45</t>
  </si>
  <si>
    <t>L-1475-315502924</t>
  </si>
  <si>
    <t>II 8,6ca</t>
  </si>
  <si>
    <t>erhabene Illuminationen, welliger Buchblock</t>
  </si>
  <si>
    <t>Nein, Signaturfahne austauschen</t>
  </si>
  <si>
    <t>L-1481-315330953</t>
  </si>
  <si>
    <t>1066873151</t>
  </si>
  <si>
    <t>II 8,6d</t>
  </si>
  <si>
    <t xml:space="preserve">Margarita decreti : </t>
  </si>
  <si>
    <t>L-1481-326853847</t>
  </si>
  <si>
    <t>1072055228</t>
  </si>
  <si>
    <t>II 8,6e</t>
  </si>
  <si>
    <t>L-1484-847512053</t>
  </si>
  <si>
    <t>1272205118</t>
  </si>
  <si>
    <t>II 8,6g/f</t>
  </si>
  <si>
    <t xml:space="preserve">Sammelband : </t>
  </si>
  <si>
    <t>L-1485-315502967</t>
  </si>
  <si>
    <t>1066972540</t>
  </si>
  <si>
    <t>II 8,6h</t>
  </si>
  <si>
    <t xml:space="preserve">Quaestiones de duodecim quodlibet : </t>
  </si>
  <si>
    <t>L-1486-834341050</t>
  </si>
  <si>
    <t>1268958271</t>
  </si>
  <si>
    <t>II 8,6k</t>
  </si>
  <si>
    <t>II 8,6i; II 8,6k</t>
  </si>
  <si>
    <t xml:space="preserve">Sammelband mit zwei Inkunabeln, gedruckt in Köln : </t>
  </si>
  <si>
    <t>L-1473-315497637</t>
  </si>
  <si>
    <t>1066967385</t>
  </si>
  <si>
    <t>II 8,6m - 2</t>
  </si>
  <si>
    <t xml:space="preserve">Sermones quadragesimales de poenitentia : </t>
  </si>
  <si>
    <t>L-1473-315499699</t>
  </si>
  <si>
    <t>1066969353</t>
  </si>
  <si>
    <t>II 8,7a</t>
  </si>
  <si>
    <t xml:space="preserve">De contemptu mundi sive De vilitate conditionis humanae : </t>
  </si>
  <si>
    <t>L-1480-315496002</t>
  </si>
  <si>
    <t>1066965765</t>
  </si>
  <si>
    <t>II 8,8a</t>
  </si>
  <si>
    <t xml:space="preserve">De sancta virginitate : </t>
  </si>
  <si>
    <t>L-1483-315497904</t>
  </si>
  <si>
    <t>1066967644</t>
  </si>
  <si>
    <t>II 8,10a</t>
  </si>
  <si>
    <t xml:space="preserve">Cordiale quattuor novissimorum : </t>
  </si>
  <si>
    <t>L-1480-343704323</t>
  </si>
  <si>
    <t>1079553606</t>
  </si>
  <si>
    <t>II 8,10b</t>
  </si>
  <si>
    <t xml:space="preserve">De corpore christi. [Daran:] Nicolaus de Lyra: Dicta de sacramento und Intellectus super oratione dominica : </t>
  </si>
  <si>
    <t>L-1476-326854657</t>
  </si>
  <si>
    <t>1072057565</t>
  </si>
  <si>
    <t>II 8,11 a</t>
  </si>
  <si>
    <t xml:space="preserve">Legenda aurea sanctorum sive Lombardica historia : </t>
  </si>
  <si>
    <t>L-1476-315500603</t>
  </si>
  <si>
    <t>1066970262</t>
  </si>
  <si>
    <t>II 8,11 b</t>
  </si>
  <si>
    <t>3750,00 USD</t>
  </si>
  <si>
    <t>hohler Rücken, welliger Buchblock, erhabene Illuminationen, stark brüchiges Einbandmaterial</t>
  </si>
  <si>
    <t>Gelenk vorn vollständig durchtrennen und dann Hülse</t>
  </si>
  <si>
    <t>L-1475-315500972</t>
  </si>
  <si>
    <t>1066970610</t>
  </si>
  <si>
    <t>II 8,11c</t>
  </si>
  <si>
    <t xml:space="preserve">Sermones quadragesimale de legibus : </t>
  </si>
  <si>
    <t>6500,00 EUR</t>
  </si>
  <si>
    <t>Gelenk mit JP-Gewebe-Laminat stabilisieren</t>
  </si>
  <si>
    <t>L-1486-315500514</t>
  </si>
  <si>
    <t>1066970165</t>
  </si>
  <si>
    <t>II 8,12a</t>
  </si>
  <si>
    <t xml:space="preserve">Historia trium regum : </t>
  </si>
  <si>
    <t>Gewebeeinband</t>
  </si>
  <si>
    <t>L-1487-315495839</t>
  </si>
  <si>
    <t>1066965617</t>
  </si>
  <si>
    <t>II 8,12b</t>
  </si>
  <si>
    <t xml:space="preserve">Auctoritates Aristotelis et aliorum philosophorum : </t>
  </si>
  <si>
    <t>L-1485-315495200</t>
  </si>
  <si>
    <t>1066965064</t>
  </si>
  <si>
    <t>II 8,12c</t>
  </si>
  <si>
    <t xml:space="preserve">Mensa philosophica : </t>
  </si>
  <si>
    <t>L-1478-327278625</t>
  </si>
  <si>
    <t>1072318075</t>
  </si>
  <si>
    <t>II 8,12d</t>
  </si>
  <si>
    <t xml:space="preserve">Biblia aurea : </t>
  </si>
  <si>
    <t>L-1495-84751126X</t>
  </si>
  <si>
    <t>1272204251</t>
  </si>
  <si>
    <t>II 8,13 e/d/l</t>
  </si>
  <si>
    <t>L-1479-315495820</t>
  </si>
  <si>
    <t>1066965609</t>
  </si>
  <si>
    <t>II 8,13a</t>
  </si>
  <si>
    <t xml:space="preserve">Summa de casibus conscientiae : </t>
  </si>
  <si>
    <t>7500,00 GBP</t>
  </si>
  <si>
    <t>Illuminationen??</t>
  </si>
  <si>
    <t>Greifendes Teil oben mit Niete fixieren</t>
  </si>
  <si>
    <t>v.a. an Kopf und Fuß reinigen</t>
  </si>
  <si>
    <t>L-1484-315495049</t>
  </si>
  <si>
    <t>1066964874</t>
  </si>
  <si>
    <t>II 8,13b</t>
  </si>
  <si>
    <t xml:space="preserve">Summa theologica : </t>
  </si>
  <si>
    <t>L-1497-315495243</t>
  </si>
  <si>
    <t>1066965102</t>
  </si>
  <si>
    <t>II 8,13f</t>
  </si>
  <si>
    <t>L-1498-315495251</t>
  </si>
  <si>
    <t>1066965110</t>
  </si>
  <si>
    <t>II 8,13g</t>
  </si>
  <si>
    <t xml:space="preserve">Paradisus animae sive Tractatus de virtutibus : </t>
  </si>
  <si>
    <t>L-1490-326854908</t>
  </si>
  <si>
    <t>1072057948</t>
  </si>
  <si>
    <t>II 8,13k</t>
  </si>
  <si>
    <t xml:space="preserve">De corpore christi : </t>
  </si>
  <si>
    <t>L-1494-315499273</t>
  </si>
  <si>
    <t>1066969000</t>
  </si>
  <si>
    <t>II 8,13m</t>
  </si>
  <si>
    <t>ja</t>
  </si>
  <si>
    <t>L-1498-315501103</t>
  </si>
  <si>
    <t>1066970750</t>
  </si>
  <si>
    <t>II 8,15a</t>
  </si>
  <si>
    <t>Manuale confessorum metricum. Censurae ecclesiasticae archiepiscopatus Coloniensis. Mare magnum ac defensorium privilegii quattuor ordinum mendicantiu</t>
  </si>
  <si>
    <t>L-1498-315501111</t>
  </si>
  <si>
    <t>II 8,15ab</t>
  </si>
  <si>
    <t>L-9999-327278781</t>
  </si>
  <si>
    <t>107231830X</t>
  </si>
  <si>
    <t>II 8,16a</t>
  </si>
  <si>
    <t xml:space="preserve">Quaestiones naturales philosophorum : </t>
  </si>
  <si>
    <t>Halbgewebeband</t>
  </si>
  <si>
    <t>L-1503-327279133</t>
  </si>
  <si>
    <t>1072318768</t>
  </si>
  <si>
    <t>II 8,16b</t>
  </si>
  <si>
    <t xml:space="preserve">Vocabularius poeticus : </t>
  </si>
  <si>
    <t>L-1485-315502215</t>
  </si>
  <si>
    <t>1066971811</t>
  </si>
  <si>
    <t>II 9,1a</t>
  </si>
  <si>
    <t>L-1472-315503556</t>
  </si>
  <si>
    <t>1066973164</t>
  </si>
  <si>
    <t>II 10,1a</t>
  </si>
  <si>
    <t xml:space="preserve">Vocabularius Ex quo : </t>
  </si>
  <si>
    <t>L-1483-315495715</t>
  </si>
  <si>
    <t>1066965471</t>
  </si>
  <si>
    <t>II 11,1a</t>
  </si>
  <si>
    <t xml:space="preserve">Ad Philocratem de septuaginta interpretibus : </t>
  </si>
  <si>
    <t>L-1500-315503181</t>
  </si>
  <si>
    <t>106697277X</t>
  </si>
  <si>
    <t>II 11,2a</t>
  </si>
  <si>
    <t xml:space="preserve">Büchlein der Titel aller Stände : </t>
  </si>
  <si>
    <t>L-1472-31550305X</t>
  </si>
  <si>
    <t>106697263X</t>
  </si>
  <si>
    <t>II 12,1a</t>
  </si>
  <si>
    <t>Summa theologiae : P. 2,2</t>
  </si>
  <si>
    <t>L-1474-315502940</t>
  </si>
  <si>
    <t>1066972524</t>
  </si>
  <si>
    <t>II 12,1b</t>
  </si>
  <si>
    <t xml:space="preserve">Expositio (Postilla) in Job : </t>
  </si>
  <si>
    <t>fester Rücken mit Schmuckprägung, erhabene Illuminationen, welliger Buchblock</t>
  </si>
  <si>
    <t>L-1477-315501650</t>
  </si>
  <si>
    <t>1066971293</t>
  </si>
  <si>
    <t>II 12,1c</t>
  </si>
  <si>
    <t xml:space="preserve">Stern des Meschiah : </t>
  </si>
  <si>
    <t>Ja</t>
  </si>
  <si>
    <t>L-1475-315496045</t>
  </si>
  <si>
    <t>106696579X</t>
  </si>
  <si>
    <t>II 12,1d</t>
  </si>
  <si>
    <t xml:space="preserve">De vanitate saeculi : </t>
  </si>
  <si>
    <t>L-1478-315503610</t>
  </si>
  <si>
    <t>1066973229</t>
  </si>
  <si>
    <t>II 12,1f</t>
  </si>
  <si>
    <t xml:space="preserve">Translationen etlicher Bücher : </t>
  </si>
  <si>
    <t>Schließen, erhabene Buchbeschläge, Ledereinband</t>
  </si>
  <si>
    <t>L-1494-315495928</t>
  </si>
  <si>
    <t>1066965706</t>
  </si>
  <si>
    <t>II 13,1a</t>
  </si>
  <si>
    <t>L-1494-315495030</t>
  </si>
  <si>
    <t>1066964866</t>
  </si>
  <si>
    <t>II 13,1b</t>
  </si>
  <si>
    <t xml:space="preserve">De trinitate : </t>
  </si>
  <si>
    <t>L-1491-315499214</t>
  </si>
  <si>
    <t>1066968934</t>
  </si>
  <si>
    <t>II 13,1c</t>
  </si>
  <si>
    <t xml:space="preserve">Rhetorica divina : </t>
  </si>
  <si>
    <t>L-1491-315498331</t>
  </si>
  <si>
    <t>1066968055</t>
  </si>
  <si>
    <t>II 13,1d</t>
  </si>
  <si>
    <t xml:space="preserve">Sermones : </t>
  </si>
  <si>
    <t>L-1493-315502401</t>
  </si>
  <si>
    <t>1066971994</t>
  </si>
  <si>
    <t>II 13,2a</t>
  </si>
  <si>
    <t xml:space="preserve">Spiegel der wahren Rhetorik : </t>
  </si>
  <si>
    <t>welliger Buchblock, Schrift bis in den Falz, erhabene Illuminationen</t>
  </si>
  <si>
    <t>L-1489-326854983</t>
  </si>
  <si>
    <t>107205812X</t>
  </si>
  <si>
    <t>II 14,1a</t>
  </si>
  <si>
    <t xml:space="preserve">Cornutus : </t>
  </si>
  <si>
    <t>L-1494-315502428</t>
  </si>
  <si>
    <t>1066972001</t>
  </si>
  <si>
    <t>II 14,1b</t>
  </si>
  <si>
    <t xml:space="preserve">Super sapientiam Salomonis : </t>
  </si>
  <si>
    <t>hohler Rücken, welliger Buchblock, Schrift bis in den Falz, erhabene Illuminationen, stark brüchiges Einbandmaterial</t>
  </si>
  <si>
    <t>L-1499-315503572</t>
  </si>
  <si>
    <t>1066973180</t>
  </si>
  <si>
    <t>II 14,1c</t>
  </si>
  <si>
    <t>L-1500-315501006</t>
  </si>
  <si>
    <t>1066970653</t>
  </si>
  <si>
    <t>II 14,1d</t>
  </si>
  <si>
    <t>L-1494-315501243</t>
  </si>
  <si>
    <t>1066970882</t>
  </si>
  <si>
    <t>II 14,1e</t>
  </si>
  <si>
    <t xml:space="preserve">Vocabularius praedicantium sive Variloquus : </t>
  </si>
  <si>
    <t>erhabene Illuminationen, stark brüchiges Einbandmaterial</t>
  </si>
  <si>
    <t>L-1485-326855106</t>
  </si>
  <si>
    <t>1072058391</t>
  </si>
  <si>
    <t>II 15,1a</t>
  </si>
  <si>
    <t>L-1488-315498471</t>
  </si>
  <si>
    <t>1066968217</t>
  </si>
  <si>
    <t>II 15,1b</t>
  </si>
  <si>
    <t xml:space="preserve">Formulare und deutsch Rhetorica : </t>
  </si>
  <si>
    <t>L-1489-315499109</t>
  </si>
  <si>
    <t>1066968837</t>
  </si>
  <si>
    <t>II 15,1c</t>
  </si>
  <si>
    <t xml:space="preserve">De ordine docendi ac discendi : </t>
  </si>
  <si>
    <t>L-1485-315496398</t>
  </si>
  <si>
    <t>1066966095</t>
  </si>
  <si>
    <t>II 15,1d</t>
  </si>
  <si>
    <t xml:space="preserve">Confessionale : </t>
  </si>
  <si>
    <t>7000,00 EUR</t>
  </si>
  <si>
    <t>hohler Rücken, welliger Buchblock, Tintenfraß, erhabene Illuminationen, Schrift bis in den Falz</t>
  </si>
  <si>
    <t>Verklebung lösen</t>
  </si>
  <si>
    <t>Verklebung zwischen flieg. Blatt und 1. Seite soll nicht gelöst werden (Absprache mit B. Rüdiger)</t>
  </si>
  <si>
    <t>x, Fotos nur zu Doku-Zwecken</t>
  </si>
  <si>
    <t>Verklebung lösen zw. Fliegenden Blatt und 1. Seite, flieg. Blatt stabilisieren</t>
  </si>
  <si>
    <t>L-1488-315501065</t>
  </si>
  <si>
    <t>1066970718</t>
  </si>
  <si>
    <t>II 15,2a</t>
  </si>
  <si>
    <t xml:space="preserve">Quaestiones super totum cursum logicae : </t>
  </si>
  <si>
    <t>L-1487-315503661</t>
  </si>
  <si>
    <t>1066973288</t>
  </si>
  <si>
    <t>II 16,1a</t>
  </si>
  <si>
    <t xml:space="preserve">Rhetorica pro conficiendis epistolis accomodata : </t>
  </si>
  <si>
    <t>hohler Rücken, Tintenfraß</t>
  </si>
  <si>
    <t>L-1487-315503688</t>
  </si>
  <si>
    <t>106697330X</t>
  </si>
  <si>
    <t>II 16,2a</t>
  </si>
  <si>
    <t xml:space="preserve">Psalterium cum canticis : </t>
  </si>
  <si>
    <t>L-1472-315503742</t>
  </si>
  <si>
    <t>1066973377</t>
  </si>
  <si>
    <t>II 17,1a</t>
  </si>
  <si>
    <t>De anima et spiritu. Add: De ebrietate. De vanitate saeculi. De vita christiana. De sobrietate. De quattuor virtutibus caritatis. De contritione cordi</t>
  </si>
  <si>
    <t>gereinigt</t>
  </si>
  <si>
    <t>L-1472-315494891</t>
  </si>
  <si>
    <t>106696467X</t>
  </si>
  <si>
    <t>II 17,1b</t>
  </si>
  <si>
    <t xml:space="preserve">De consensu evangelistarum : </t>
  </si>
  <si>
    <t>L-1494-315502584</t>
  </si>
  <si>
    <t>1066972168</t>
  </si>
  <si>
    <t>II 18,1a</t>
  </si>
  <si>
    <t xml:space="preserve">Epistolae longiores : </t>
  </si>
  <si>
    <t>L-1489-833255436</t>
  </si>
  <si>
    <t>1268385603</t>
  </si>
  <si>
    <t>II 18,1b</t>
  </si>
  <si>
    <t xml:space="preserve">Sammelband mit einer Inkunabel und einem Druck von 1710 : </t>
  </si>
  <si>
    <t>L-1494-31549624X</t>
  </si>
  <si>
    <t>1066965951</t>
  </si>
  <si>
    <t>II 18,1c</t>
  </si>
  <si>
    <t xml:space="preserve">Expositio mysteriorum missae : </t>
  </si>
  <si>
    <t>L-1488-315501081</t>
  </si>
  <si>
    <t>1066970734</t>
  </si>
  <si>
    <t>II 18,2a</t>
  </si>
  <si>
    <t xml:space="preserve">De componendis versibus hexametro et pentametro : </t>
  </si>
  <si>
    <t>L-1494-327279281</t>
  </si>
  <si>
    <t>1072319012</t>
  </si>
  <si>
    <t>II 18,2b</t>
  </si>
  <si>
    <t xml:space="preserve">Dialogus recommendationis exprobationisque poetices : </t>
  </si>
  <si>
    <t>L-1493-326855459</t>
  </si>
  <si>
    <t>107205888X</t>
  </si>
  <si>
    <t>II 18,3a</t>
  </si>
  <si>
    <t>L-1494-315495235</t>
  </si>
  <si>
    <t>1066965099</t>
  </si>
  <si>
    <t>II 18,3b</t>
  </si>
  <si>
    <t xml:space="preserve">De planctu naturae : </t>
  </si>
  <si>
    <t>L-1496-31550000X</t>
  </si>
  <si>
    <t>1066969663</t>
  </si>
  <si>
    <t>II 18,4a</t>
  </si>
  <si>
    <t xml:space="preserve">De animabus exutis a corporibus sive De apparitionibus et receptaculis animarum : </t>
  </si>
  <si>
    <t>L-1497-315503602</t>
  </si>
  <si>
    <t>1066973210</t>
  </si>
  <si>
    <t>II 18,4b</t>
  </si>
  <si>
    <t xml:space="preserve">Epitoma bellorum Alberti Saxoniae ducis : </t>
  </si>
  <si>
    <t>Broschur</t>
  </si>
  <si>
    <t>Mappe</t>
  </si>
  <si>
    <t>ausgebunden, Originaleinband extra</t>
  </si>
  <si>
    <t>L-1498-327280026</t>
  </si>
  <si>
    <t>1072320371</t>
  </si>
  <si>
    <t>II 18,5a</t>
  </si>
  <si>
    <t xml:space="preserve">De componendis versibus : </t>
  </si>
  <si>
    <t>L-1476-32685570X</t>
  </si>
  <si>
    <t>1072059312</t>
  </si>
  <si>
    <t>II 19,1a</t>
  </si>
  <si>
    <t>L-1488-316402206</t>
  </si>
  <si>
    <t>1067438289</t>
  </si>
  <si>
    <t>II 19,2a - Fragm.</t>
  </si>
  <si>
    <t xml:space="preserve">Missale Aboense secundum ordinem fratrum praedicatorum : </t>
  </si>
  <si>
    <t>L-1487-316402281</t>
  </si>
  <si>
    <t>1067438548</t>
  </si>
  <si>
    <t>II 19,2c - Fragm.</t>
  </si>
  <si>
    <t xml:space="preserve">Rituale Upsalense : </t>
  </si>
  <si>
    <t>L-1487-316402540</t>
  </si>
  <si>
    <t>1067439005</t>
  </si>
  <si>
    <t>II 19,2d - Fragm.</t>
  </si>
  <si>
    <t xml:space="preserve">Missale  Strengense : </t>
  </si>
  <si>
    <t>L-1493-326855874</t>
  </si>
  <si>
    <t>1072059665</t>
  </si>
  <si>
    <t>II 20,1a</t>
  </si>
  <si>
    <t xml:space="preserve">De vita spirituali : </t>
  </si>
  <si>
    <t>L-1474-315497467</t>
  </si>
  <si>
    <t>1066967202</t>
  </si>
  <si>
    <t>II 21,1a</t>
  </si>
  <si>
    <t>II 21,1a - 1</t>
  </si>
  <si>
    <t xml:space="preserve">Breviarium Moguntinum : </t>
  </si>
  <si>
    <t>fester Rücken mit Schmuckprägung, Schrift bis in den Falz, erhabene Illuminationen</t>
  </si>
  <si>
    <t>gereinigt;Fragment in Sammelbox</t>
  </si>
  <si>
    <t>II 21,1a - 2</t>
  </si>
  <si>
    <t>L-1476-316067881</t>
  </si>
  <si>
    <t>II 21,1b - Fragm</t>
  </si>
  <si>
    <t>II 21,1b - Fragm.</t>
  </si>
  <si>
    <t>L-1474-315497882</t>
  </si>
  <si>
    <t>1066967636</t>
  </si>
  <si>
    <t>II 21,1c</t>
  </si>
  <si>
    <t xml:space="preserve">Constitutiones congregationis Bursfeldensis ordinis S. Benedictini sive Cerimoniale monachorum ord. S. Benedicti : </t>
  </si>
  <si>
    <t>L-1475-316068217</t>
  </si>
  <si>
    <t>1067300287</t>
  </si>
  <si>
    <t>II 21,1d - Fragm</t>
  </si>
  <si>
    <t>II 21,1d - Fragm.</t>
  </si>
  <si>
    <t>L-1483-834340305</t>
  </si>
  <si>
    <t>1268957623</t>
  </si>
  <si>
    <t>II 22,1b</t>
  </si>
  <si>
    <t xml:space="preserve">Sammelband mit zwei Inkunabeln, gedruckt in Memmingen von Albert Kunne : </t>
  </si>
  <si>
    <t>Schließen, erhabene Buchbeschläge</t>
  </si>
  <si>
    <t>stark brüchiges Einbandmaterial, fester Rücken mit Schmuckprägung, welliger Buchblock</t>
  </si>
  <si>
    <t>Fragment in Sammelbox</t>
  </si>
  <si>
    <t xml:space="preserve">
entgültig nach Restaurierung festlegen!!</t>
  </si>
  <si>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</si>
  <si>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</si>
  <si>
    <t>L-1492-315501537</t>
  </si>
  <si>
    <t>1066971161</t>
  </si>
  <si>
    <t>II 22,1d</t>
  </si>
  <si>
    <t xml:space="preserve">Repertorium in postillam Nicolai de Lyra super vetus et novum testamentum : </t>
  </si>
  <si>
    <t>L-1488-326856064</t>
  </si>
  <si>
    <t>1072060000</t>
  </si>
  <si>
    <t>II 23,1a</t>
  </si>
  <si>
    <t xml:space="preserve">Beichtbüchlein : </t>
  </si>
  <si>
    <t>L-1500-343707918</t>
  </si>
  <si>
    <t>1079559167</t>
  </si>
  <si>
    <t>II 23,2a</t>
  </si>
  <si>
    <t xml:space="preserve">Quadragesimale s. De preservatione hominis a peccato : </t>
  </si>
  <si>
    <t>hohler Rücken, welliger Buchblock, stark brüchiges Einbandmaterial</t>
  </si>
  <si>
    <t>L-1470-315498706</t>
  </si>
  <si>
    <t>1066968454</t>
  </si>
  <si>
    <t>II 24,1a</t>
  </si>
  <si>
    <t xml:space="preserve">De spiritualibus nuptiis sive Opusculum super Cantica canticorum : </t>
  </si>
  <si>
    <t>L-1472-315497181</t>
  </si>
  <si>
    <t>1066966885</t>
  </si>
  <si>
    <t>II 24,1b</t>
  </si>
  <si>
    <t xml:space="preserve">Breviloquium : </t>
  </si>
  <si>
    <t>L-1473-287114600</t>
  </si>
  <si>
    <t>1048306054</t>
  </si>
  <si>
    <t>II 24,1c</t>
  </si>
  <si>
    <t>II 24,1c -1</t>
  </si>
  <si>
    <t xml:space="preserve">Pantheologia : </t>
  </si>
  <si>
    <t>15000,00 EUR</t>
  </si>
  <si>
    <t>Gelenk mit JP-Gewebe-Laminat stabilisieren, ggf. mit JP überfangen, Bundfelder oben und unten hohl belassen</t>
  </si>
  <si>
    <t>v.a. an Kopf und Fuß reinigen, Achtung: ÖW nur 45°</t>
  </si>
  <si>
    <t>II 24,1c -2</t>
  </si>
  <si>
    <t>Gelenk mit JP-Gewebe-Laminat stabilisieren, ggf. mit JP überfangen</t>
  </si>
  <si>
    <t>L-1471-315498668</t>
  </si>
  <si>
    <t>1066968411</t>
  </si>
  <si>
    <t>II 24,1d</t>
  </si>
  <si>
    <t>L-1474-315502959</t>
  </si>
  <si>
    <t>1066972532</t>
  </si>
  <si>
    <t>II 24,2a</t>
  </si>
  <si>
    <t>L-1475-316068608</t>
  </si>
  <si>
    <t>1067300988</t>
  </si>
  <si>
    <t>II 24,2ba - Fragm.</t>
  </si>
  <si>
    <t>Der @Heiligen Leben</t>
  </si>
  <si>
    <t>2. : Sommerteil</t>
  </si>
  <si>
    <t>L-1476-315500859</t>
  </si>
  <si>
    <t>1066970491</t>
  </si>
  <si>
    <t>II 24,2c</t>
  </si>
  <si>
    <t xml:space="preserve">Repertorium utriusque iuris : </t>
  </si>
  <si>
    <t>18 cm dick</t>
  </si>
  <si>
    <t>L-1475-315496754</t>
  </si>
  <si>
    <t>106696646X</t>
  </si>
  <si>
    <t>II 24,3 a</t>
  </si>
  <si>
    <t>L-1481-315498129</t>
  </si>
  <si>
    <t>1066967873</t>
  </si>
  <si>
    <t>II 24,3 k</t>
  </si>
  <si>
    <t xml:space="preserve">Quaestiones in quattuor libros Sententiarum : </t>
  </si>
  <si>
    <t>15275,00 USD</t>
  </si>
  <si>
    <t>loses Leder zurückkleben, ggf. mit JP überfangen, Beschläge hinten: im Deckel Nieten einschlagen oder abfeilen (verletzen Papier)</t>
  </si>
  <si>
    <t>ersten Seiten trocken reinigen, Risse schließen im Vorsatz</t>
  </si>
  <si>
    <t>L-1478-315495537</t>
  </si>
  <si>
    <t>1067336133</t>
  </si>
  <si>
    <t>II 24,3b</t>
  </si>
  <si>
    <t>Summa theologica</t>
  </si>
  <si>
    <t xml:space="preserve">P.1. : </t>
  </si>
  <si>
    <t>L-1478-315495545</t>
  </si>
  <si>
    <t>1067336222</t>
  </si>
  <si>
    <t>II 24,3c</t>
  </si>
  <si>
    <t xml:space="preserve">P.2. : </t>
  </si>
  <si>
    <t>L-1472-834344017</t>
  </si>
  <si>
    <t>1268961159</t>
  </si>
  <si>
    <t>II 24,3c kursiv</t>
  </si>
  <si>
    <t xml:space="preserve">Sammelband mit zwei Inkunabeln, gedruckt in Nürnberg bei Anton Koberger : </t>
  </si>
  <si>
    <t>L-1478-315495553</t>
  </si>
  <si>
    <t>1067336257</t>
  </si>
  <si>
    <t>II 24,3d</t>
  </si>
  <si>
    <t xml:space="preserve">P.3. : </t>
  </si>
  <si>
    <t>2700,00 EUR</t>
  </si>
  <si>
    <t>x, ist locker</t>
  </si>
  <si>
    <t>Gelenke vorn komplett durchtrennen, JP unterlegen, Gelenk hinten teilweise mit JP unterlegen, ggf. Gelenke überfangen, Rücken oben und unten sichern mit JP, Gelenk vorn innen sichern, Schließenteile am RD fixieren</t>
  </si>
  <si>
    <t>ersten Seiten trocken reinigen, Abdeckungen bei Initialen (2 Stück vorn) erneueren (glattes JP, Silversave?)</t>
  </si>
  <si>
    <t>L-1480-316101710</t>
  </si>
  <si>
    <t>1067339086</t>
  </si>
  <si>
    <t>II 24,3d  kursiv</t>
  </si>
  <si>
    <t>II 24,3d kursiv</t>
  </si>
  <si>
    <t xml:space="preserve">De obsidione urbis Rhodiae ad Fridericum imperatorem : </t>
  </si>
  <si>
    <t>L-1478-315495561</t>
  </si>
  <si>
    <t>II 24,3da - Fragm.</t>
  </si>
  <si>
    <t>L-1478-31549557X</t>
  </si>
  <si>
    <t>1067336281</t>
  </si>
  <si>
    <t>II 24,3e</t>
  </si>
  <si>
    <t xml:space="preserve">P.4. : </t>
  </si>
  <si>
    <t>L-1481-315501928</t>
  </si>
  <si>
    <t>1066971544</t>
  </si>
  <si>
    <t>II 24,3e kursiv</t>
  </si>
  <si>
    <t>L-1480-315498226</t>
  </si>
  <si>
    <t>1066967954</t>
  </si>
  <si>
    <t>II 24,3ea</t>
  </si>
  <si>
    <t>L-1481-315501472</t>
  </si>
  <si>
    <t>1066971110</t>
  </si>
  <si>
    <t>II 24,3f</t>
  </si>
  <si>
    <t>II 24,3f -1</t>
  </si>
  <si>
    <t xml:space="preserve">Postilla super totam Bibliam : </t>
  </si>
  <si>
    <t>II 24,3f -2</t>
  </si>
  <si>
    <t>II 24,3f -3</t>
  </si>
  <si>
    <t>L-1497-315496916</t>
  </si>
  <si>
    <t>1066966621</t>
  </si>
  <si>
    <t>II 24,3f kursiv</t>
  </si>
  <si>
    <t>II 24,3f kursiv - 1</t>
  </si>
  <si>
    <t>hohler Rücken, Schrift bis in den Falz, erhabene Illuminationen</t>
  </si>
  <si>
    <t>II 24,3f kursiv - 2</t>
  </si>
  <si>
    <t>hohler Rücken, Schrift bis in den Falz</t>
  </si>
  <si>
    <t>II 24,3f kursiv - 3</t>
  </si>
  <si>
    <t>L-1481-315498234</t>
  </si>
  <si>
    <t>1066967962</t>
  </si>
  <si>
    <t>II 24,3i</t>
  </si>
  <si>
    <t>mit Stahlkette</t>
  </si>
  <si>
    <t>L-1483-315500573</t>
  </si>
  <si>
    <t>1066970238</t>
  </si>
  <si>
    <t>II 24,3o</t>
  </si>
  <si>
    <t>L-1485-315495073</t>
  </si>
  <si>
    <t>1066964912</t>
  </si>
  <si>
    <t>II 24,3q</t>
  </si>
  <si>
    <t>7500,00 EUR</t>
  </si>
  <si>
    <t>L-1485-848174933</t>
  </si>
  <si>
    <t>1272536750</t>
  </si>
  <si>
    <t>II 24,3q - 1</t>
  </si>
  <si>
    <t>2500,00 EUR</t>
  </si>
  <si>
    <t>Kapitale sichern, Gelenke mit JP-Gewebe-Laminat unterlegen und ggf. mit JP überfangen, Bünde belassen (Stabilität bringt das Laminat, außerdem Gewebefälze im Gelenk innen), Ecken stabilisieren</t>
  </si>
  <si>
    <t>ersten und letzten Seiten trocken reinigen, Gewebefälze der Spiegel mit JP-Fälzen stabilisieren</t>
  </si>
  <si>
    <t>L-1485-848175026</t>
  </si>
  <si>
    <t>1272536858</t>
  </si>
  <si>
    <t>II 24,3q - 2</t>
  </si>
  <si>
    <t>Gelenke mit JP-Gewebe-Laminat unterlegen und ggf. mit JP überfangen</t>
  </si>
  <si>
    <t>Vorsätz trocken reinigen, ca. 80 Seiten mit mikrobiellen Befall trocken reinigen</t>
  </si>
  <si>
    <t>L-1485-848175069</t>
  </si>
  <si>
    <t>1272536912</t>
  </si>
  <si>
    <t>II 24,3q - 4</t>
  </si>
  <si>
    <t xml:space="preserve">4 : </t>
  </si>
  <si>
    <t>Kapital sichern, Gelenke mit JP-Gewebe-Laminat unterlegen und ggf. mit JP überfangen, Ecken stabilisieren</t>
  </si>
  <si>
    <t>Vorsätz trocken reinigen, ca. 160 Seiten mit mikrobiellen Befall trocken reinigen, Risse schließen, Gewebefalz des Spiegels ggf. mit JP-Falz stabilisieren</t>
  </si>
  <si>
    <t>L-1486-315500565</t>
  </si>
  <si>
    <t>106697022X</t>
  </si>
  <si>
    <t>II 24,3r</t>
  </si>
  <si>
    <t>L-1487-315501227</t>
  </si>
  <si>
    <t>1066970866</t>
  </si>
  <si>
    <t>II 24,3s</t>
  </si>
  <si>
    <t xml:space="preserve">Sermones de tempore et de sanctis sive Hortulus reginae : </t>
  </si>
  <si>
    <t>v.a. letzten Seiten (am Kopf)</t>
  </si>
  <si>
    <t>L-1492-315496320</t>
  </si>
  <si>
    <t>1066966028</t>
  </si>
  <si>
    <t>II 24,3ta</t>
  </si>
  <si>
    <t xml:space="preserve">De proprietatibus rerum : </t>
  </si>
  <si>
    <t>erhabene Illuminationen, Schrift bis in den Falz</t>
  </si>
  <si>
    <t>L-1492-315496339</t>
  </si>
  <si>
    <t>II 24,3tab</t>
  </si>
  <si>
    <t>L-1492-315503386</t>
  </si>
  <si>
    <t>1066973016</t>
  </si>
  <si>
    <t>II 24,3u</t>
  </si>
  <si>
    <t xml:space="preserve">Opera : </t>
  </si>
  <si>
    <t>900,00 EUR</t>
  </si>
  <si>
    <t>hohler Rücken, welliger Buchblock, stark brüchiges Einbandmaterial, Schrift bis in den Falz</t>
  </si>
  <si>
    <t>nur 110</t>
  </si>
  <si>
    <t xml:space="preserve">
Deckel vorn ist nicht mit BB verbunden (wird erst nach der Digit. restauriert)</t>
  </si>
  <si>
    <t>ja vor und nach</t>
  </si>
  <si>
    <t>vor der Digit.: Rücken am Kopf und im Gelenk vorn stabilisieren; nach der Digit.: Hülse anbringen, Gelenke überfangen mit JP (v.a. hinten), inneres Gelenk vorn ggf. mit JP-Falz zusätzlich stabilisieren</t>
  </si>
  <si>
    <t>L-1493-315502568</t>
  </si>
  <si>
    <t>1066972141</t>
  </si>
  <si>
    <t>II 24,3v</t>
  </si>
  <si>
    <t xml:space="preserve">Das @Buch der Croniken und Geschichten : </t>
  </si>
  <si>
    <t>265000,00 EUR</t>
  </si>
  <si>
    <t>fester Rücken mit Schmuckprägung, gefaltete Blätter, Schrift bis in den Falz</t>
  </si>
  <si>
    <t>x (durchgehend)</t>
  </si>
  <si>
    <t>Kapitale sichern, loses Leder zurückkleben, teilweise überfangen</t>
  </si>
  <si>
    <t>L-1494-315499745</t>
  </si>
  <si>
    <t>1066969426</t>
  </si>
  <si>
    <t>II 24,3w</t>
  </si>
  <si>
    <t xml:space="preserve">Malleus maleficarum : </t>
  </si>
  <si>
    <t>L-1496-315501995</t>
  </si>
  <si>
    <t>1066971617</t>
  </si>
  <si>
    <t>II 24,3x</t>
  </si>
  <si>
    <t xml:space="preserve">Epistolae familiares : </t>
  </si>
  <si>
    <t>L-1496-315495332</t>
  </si>
  <si>
    <t>1066965188</t>
  </si>
  <si>
    <t>II 24,3y</t>
  </si>
  <si>
    <t xml:space="preserve">Destructorium vitiorum : </t>
  </si>
  <si>
    <t>L-1497-31549994X</t>
  </si>
  <si>
    <t>1066969612</t>
  </si>
  <si>
    <t>II 24,3z</t>
  </si>
  <si>
    <t xml:space="preserve">Satyrae : </t>
  </si>
  <si>
    <t>L-1482-302645780</t>
  </si>
  <si>
    <t>1060137496</t>
  </si>
  <si>
    <t>II 24,4 f</t>
  </si>
  <si>
    <t xml:space="preserve">Forma confessionalis et absolutionis ad opus sanctae cruciatae : </t>
  </si>
  <si>
    <t>L-1485-302645535</t>
  </si>
  <si>
    <t>1060136910</t>
  </si>
  <si>
    <t>II 24,4 h</t>
  </si>
  <si>
    <t xml:space="preserve">Indulgentiae et beneficia benefactoribus hospitalis ordinis S. Spiritus in Roma concessa : </t>
  </si>
  <si>
    <t>L-1472-315495197</t>
  </si>
  <si>
    <t>1066965056</t>
  </si>
  <si>
    <t>II 24,4a</t>
  </si>
  <si>
    <t xml:space="preserve">Ehebüchlein : </t>
  </si>
  <si>
    <t>L-1476-315499397</t>
  </si>
  <si>
    <t>1066969094</t>
  </si>
  <si>
    <t>II 24,4b</t>
  </si>
  <si>
    <t xml:space="preserve">Elucidarius scripturarum : </t>
  </si>
  <si>
    <t>L-1478-315500166</t>
  </si>
  <si>
    <t>1066969825</t>
  </si>
  <si>
    <t>II 24,4c</t>
  </si>
  <si>
    <t xml:space="preserve">Lectura super arboribus consanguinitatis et affinitatis : </t>
  </si>
  <si>
    <t>L-1481-315502290</t>
  </si>
  <si>
    <t>1066971897</t>
  </si>
  <si>
    <t>II 24,4d</t>
  </si>
  <si>
    <t xml:space="preserve">Aurea Biblia, sive Repertorium aureum Bibliorum : </t>
  </si>
  <si>
    <t>L-1482-315503211</t>
  </si>
  <si>
    <t>106697280X</t>
  </si>
  <si>
    <t>II 24,4e</t>
  </si>
  <si>
    <t xml:space="preserve">Modus legendi abbreviaturas in utroque iure : </t>
  </si>
  <si>
    <t>hohler Rücken, Einband mit Schutz- oder Stoßkanten, seitliche Klammerung oder Bindung, erhabene Illuminationen</t>
  </si>
  <si>
    <t>L-1474-315502304</t>
  </si>
  <si>
    <t>1066971900</t>
  </si>
  <si>
    <t>II 24,5a</t>
  </si>
  <si>
    <t xml:space="preserve">Ephemerides, 1475-1506 : </t>
  </si>
  <si>
    <t>Ledereinband, Buchblock aus Pergament</t>
  </si>
  <si>
    <t>L-1480-326856560</t>
  </si>
  <si>
    <t>1072060566</t>
  </si>
  <si>
    <t>II 24,6a</t>
  </si>
  <si>
    <t xml:space="preserve">Speculum sacerdotum : </t>
  </si>
  <si>
    <t>L-1483-315503483</t>
  </si>
  <si>
    <t>1066973105</t>
  </si>
  <si>
    <t>II 24,6b</t>
  </si>
  <si>
    <t xml:space="preserve">De fine mundi : </t>
  </si>
  <si>
    <t>L-1481-315503238</t>
  </si>
  <si>
    <t>1066972834</t>
  </si>
  <si>
    <t>II 24,7a</t>
  </si>
  <si>
    <t xml:space="preserve">Tractatus quidam de Turcis : </t>
  </si>
  <si>
    <t>L-1481-315503475</t>
  </si>
  <si>
    <t>1066973091</t>
  </si>
  <si>
    <t>II 24,7b</t>
  </si>
  <si>
    <t>L-1486-315503491</t>
  </si>
  <si>
    <t>1066973113</t>
  </si>
  <si>
    <t>II 24,7c</t>
  </si>
  <si>
    <t xml:space="preserve">Viola sanctorum : </t>
  </si>
  <si>
    <t>L-1483-315501235</t>
  </si>
  <si>
    <t>1066970874</t>
  </si>
  <si>
    <t>II 24,8a</t>
  </si>
  <si>
    <t>L-1495-315498056</t>
  </si>
  <si>
    <t>1066967784</t>
  </si>
  <si>
    <t>II 24,8 b</t>
  </si>
  <si>
    <t>II 24,8b</t>
  </si>
  <si>
    <t xml:space="preserve">Specula omnis status vitae humanae : </t>
  </si>
  <si>
    <t>L-1489-315503394</t>
  </si>
  <si>
    <t>1066973024</t>
  </si>
  <si>
    <t>II 24,8c</t>
  </si>
  <si>
    <t xml:space="preserve">Versehung von Leib, Seele, Ehre und Gut : </t>
  </si>
  <si>
    <t>L-1484-286786508</t>
  </si>
  <si>
    <t>1048166694</t>
  </si>
  <si>
    <t>II 24,9a</t>
  </si>
  <si>
    <t xml:space="preserve">Missale Romanum : </t>
  </si>
  <si>
    <t>L-1489-31550062X</t>
  </si>
  <si>
    <t>1066970289</t>
  </si>
  <si>
    <t>II 24,9b</t>
  </si>
  <si>
    <t>L-1492-32685682X</t>
  </si>
  <si>
    <t>1072060930</t>
  </si>
  <si>
    <t>II 24,9c</t>
  </si>
  <si>
    <t xml:space="preserve">Missale Salisburgense : </t>
  </si>
  <si>
    <t>L-1493-316402567</t>
  </si>
  <si>
    <t>1067439137</t>
  </si>
  <si>
    <t>II 24,9d - Fragm.</t>
  </si>
  <si>
    <t xml:space="preserve">Breviarium Lincopense : </t>
  </si>
  <si>
    <t>L-1498-316402575</t>
  </si>
  <si>
    <t>1067439188</t>
  </si>
  <si>
    <t>II 24,9e - Fragm.</t>
  </si>
  <si>
    <t xml:space="preserve">Breviarium Scarense : </t>
  </si>
  <si>
    <t>L-1513-316640387</t>
  </si>
  <si>
    <t>106760877X</t>
  </si>
  <si>
    <t>II 24,9e zu - Fragm.</t>
  </si>
  <si>
    <t xml:space="preserve">BReuiariũ #[s]m|| ritum alme eccle=||sie Arosien=||sis.|| : </t>
  </si>
  <si>
    <t>L-1496-315499184</t>
  </si>
  <si>
    <t>106696890X</t>
  </si>
  <si>
    <t>II 24,9f</t>
  </si>
  <si>
    <t>L-1498-315495014</t>
  </si>
  <si>
    <t>106696484X</t>
  </si>
  <si>
    <t>II 24,10a</t>
  </si>
  <si>
    <t xml:space="preserve">Epistola ad Rabbi Isaac seu rationes ad reprobandos Iudaeorum errores : </t>
  </si>
  <si>
    <t>fester Rücken mit Schmuckprägung, welliger Buchblock</t>
  </si>
  <si>
    <t>L-1497-315499516</t>
  </si>
  <si>
    <t>1066969205</t>
  </si>
  <si>
    <t>II 24,10b</t>
  </si>
  <si>
    <t xml:space="preserve">Vita Sancti Dionysii : </t>
  </si>
  <si>
    <t>L-1496-315497629</t>
  </si>
  <si>
    <t>1066967377</t>
  </si>
  <si>
    <t>II 25,1a</t>
  </si>
  <si>
    <t xml:space="preserve">Sermones quadragesimales de peccatis : </t>
  </si>
  <si>
    <t>Rücken am Kopf mit JP stabilisieren</t>
  </si>
  <si>
    <t>L-1482-315498390</t>
  </si>
  <si>
    <t>1066968128</t>
  </si>
  <si>
    <t>II 26,1a</t>
  </si>
  <si>
    <t xml:space="preserve">Epistola de morte Hieronymi : </t>
  </si>
  <si>
    <t>L-1482-327280239</t>
  </si>
  <si>
    <t>1072320673</t>
  </si>
  <si>
    <t>II 26,1b</t>
  </si>
  <si>
    <t xml:space="preserve">Infirmorum visitatio : </t>
  </si>
  <si>
    <t>Buchrücken fehlt bereits bei Erfassg.</t>
  </si>
  <si>
    <t>L-9999-343686457</t>
  </si>
  <si>
    <t>1079531114</t>
  </si>
  <si>
    <t>II 26,2 a</t>
  </si>
  <si>
    <t>II 26,2a</t>
  </si>
  <si>
    <t xml:space="preserve">Missale Pataviense : </t>
  </si>
  <si>
    <t xml:space="preserve">
Rücken freischwebend!</t>
  </si>
  <si>
    <t>Titelschild sichern (Fragmente inneliegend), Perg.-fragment einfügen (inneliegend), Kapital unten ankleben (inneliegend)</t>
  </si>
  <si>
    <t>ca. 33 Seiten wattiert im Bereich des mikrobiellen Befalls --&gt; stabilisieren, vorher trockenreinigen, Desinfizieren nicht nötig</t>
  </si>
  <si>
    <t>L-1477-315498013</t>
  </si>
  <si>
    <t>106696775X</t>
  </si>
  <si>
    <t>II 27,1a</t>
  </si>
  <si>
    <t xml:space="preserve">Dialogus inter Hugonem, Catonem, et Oliverium super libertate ecclesiastica : </t>
  </si>
  <si>
    <t>Holzdeckel, gereinigt</t>
  </si>
  <si>
    <t>L-1486-315503165</t>
  </si>
  <si>
    <t>1066972753</t>
  </si>
  <si>
    <t>II 28,1a</t>
  </si>
  <si>
    <t xml:space="preserve">Dicta super Summulas Petri Hispani : </t>
  </si>
  <si>
    <t>L-1478-31549526X</t>
  </si>
  <si>
    <t>1066965129</t>
  </si>
  <si>
    <t>II 28,1b</t>
  </si>
  <si>
    <t>L-1476-32685729X</t>
  </si>
  <si>
    <t>1072061481</t>
  </si>
  <si>
    <t>II 28,1c</t>
  </si>
  <si>
    <t xml:space="preserve">Brief an Herzog Sigmund von Österreich betr. die Herrschaft Hohenberg : </t>
  </si>
  <si>
    <t>Rücken an Kopf und Fuß mit JP sichern</t>
  </si>
  <si>
    <t>L-1478-315499192</t>
  </si>
  <si>
    <t>1066968918</t>
  </si>
  <si>
    <t>II 28,1d</t>
  </si>
  <si>
    <t>L-1478-315497815</t>
  </si>
  <si>
    <t>1066967555</t>
  </si>
  <si>
    <t>II 28,1e</t>
  </si>
  <si>
    <t>L-1496-315502681</t>
  </si>
  <si>
    <t>1066972265</t>
  </si>
  <si>
    <t>II 28,1f</t>
  </si>
  <si>
    <t xml:space="preserve">Statuta synodalia Eystettensia cum statutis provincialibus Moguntinis : </t>
  </si>
  <si>
    <t>L-1482-315501391</t>
  </si>
  <si>
    <t>106697103X</t>
  </si>
  <si>
    <t>II 28,2a</t>
  </si>
  <si>
    <t xml:space="preserve">Supplementum Summae Pisanellae : </t>
  </si>
  <si>
    <t>L-1488-315497033</t>
  </si>
  <si>
    <t>1066966737</t>
  </si>
  <si>
    <t>II 28,2b</t>
  </si>
  <si>
    <t xml:space="preserve">Sacri canonis missae expositio : </t>
  </si>
  <si>
    <t>x TS sichern</t>
  </si>
  <si>
    <t>Titelschild sichern</t>
  </si>
  <si>
    <t>L-1481-315497866</t>
  </si>
  <si>
    <t>106696761X</t>
  </si>
  <si>
    <t>II 28,2c</t>
  </si>
  <si>
    <t xml:space="preserve">Concordantiae bibliorum : </t>
  </si>
  <si>
    <t>L-1479-315501626</t>
  </si>
  <si>
    <t>1066971250</t>
  </si>
  <si>
    <t>II 28,2d</t>
  </si>
  <si>
    <t xml:space="preserve">Praeceptorium divinae legis sive Expositio decalogi : </t>
  </si>
  <si>
    <t>L-1482-315502649</t>
  </si>
  <si>
    <t>1066972222</t>
  </si>
  <si>
    <t>II 28,2e</t>
  </si>
  <si>
    <t xml:space="preserve">Statuta provincialia Moguntinensia : </t>
  </si>
  <si>
    <t>erhabene Illuminationen, hohler Rücken</t>
  </si>
  <si>
    <t>L-1489-315503564</t>
  </si>
  <si>
    <t>1066973172</t>
  </si>
  <si>
    <t>II 28,2f</t>
  </si>
  <si>
    <t xml:space="preserve">Vocabularius ex quo : </t>
  </si>
  <si>
    <t>L-1473-315503726</t>
  </si>
  <si>
    <t>1066973350</t>
  </si>
  <si>
    <t>II 29,1a</t>
  </si>
  <si>
    <t xml:space="preserve">Compendium theologicae veritatis : </t>
  </si>
  <si>
    <t>welliger Buchblock, fester Rücken mit Schmuckprägung, erhabene Illuminationen</t>
  </si>
  <si>
    <t>L-1472-315494913</t>
  </si>
  <si>
    <t>1066964696</t>
  </si>
  <si>
    <t>II 29,1b</t>
  </si>
  <si>
    <t xml:space="preserve">Sermones notabiles et formales de praecipuis festivitatibus : </t>
  </si>
  <si>
    <t>Titelschilder und Leder sichern, Kanten der Titelschilder ggf. mit JP überfangen</t>
  </si>
  <si>
    <t>L-1477-31550014X</t>
  </si>
  <si>
    <t>1066969809</t>
  </si>
  <si>
    <t>II 29,2a</t>
  </si>
  <si>
    <t>Rücken und Gelenk mit JP sichern, Gelenk hinten mit JP überfangen</t>
  </si>
  <si>
    <t>L-1477-315495618</t>
  </si>
  <si>
    <t>1066965404</t>
  </si>
  <si>
    <t>II 29,2b</t>
  </si>
  <si>
    <t xml:space="preserve">Summa theologica, P. 2 : </t>
  </si>
  <si>
    <t>L-1477-315502460</t>
  </si>
  <si>
    <t>1066972044</t>
  </si>
  <si>
    <t>II 29,2c</t>
  </si>
  <si>
    <t>fester Rücken mit Schmuckprägung, welliger Buchblock, erhabene Illuminationen, stark brüchiges Einbandmaterial</t>
  </si>
  <si>
    <t>L-1479-315500964</t>
  </si>
  <si>
    <t>1066970602</t>
  </si>
  <si>
    <t>II 29,2d</t>
  </si>
  <si>
    <t xml:space="preserve">Sermones quadragesimales de legibus dicti : </t>
  </si>
  <si>
    <t>L-1480-315501812</t>
  </si>
  <si>
    <t>1066971447</t>
  </si>
  <si>
    <t>II 29,2e</t>
  </si>
  <si>
    <t xml:space="preserve">Quaestiones super libros Sententiarum : </t>
  </si>
  <si>
    <t>L-1480-315501820</t>
  </si>
  <si>
    <t>II 29,2ea - Fragm.</t>
  </si>
  <si>
    <t>L-1489-315496797</t>
  </si>
  <si>
    <t>1066966508</t>
  </si>
  <si>
    <t>II 29,2f</t>
  </si>
  <si>
    <t>L-1475-315494875</t>
  </si>
  <si>
    <t>1066964645</t>
  </si>
  <si>
    <t>II 29,2g</t>
  </si>
  <si>
    <t>6000,00 EUR</t>
  </si>
  <si>
    <t>fester Rücken mit Schmuckprägung, welliger Buchblock, stark brüchiges Einbandmaterial, fester Rücken mit Schmuckprägung, erhabene Illuminationen, welliger Buchblock</t>
  </si>
  <si>
    <t>Rücken und Gelenk mit JP sichern, lose Bereiche/Narben zurückkleben</t>
  </si>
  <si>
    <t>L-1476-31549820X</t>
  </si>
  <si>
    <t>1066967938</t>
  </si>
  <si>
    <t>II 29,2h</t>
  </si>
  <si>
    <t>Buchschuh</t>
  </si>
  <si>
    <t>II 29,2i - Einband</t>
  </si>
  <si>
    <t>L-1490-315499737</t>
  </si>
  <si>
    <t>1066969418</t>
  </si>
  <si>
    <t>II 29,2k</t>
  </si>
  <si>
    <t>fester Rücken mit Schmuckprägung, erhabene Illuminationen, erhabene Illuminationen, Schrift bis in den Falz</t>
  </si>
  <si>
    <t>L-1498-315498110</t>
  </si>
  <si>
    <t>1066967857</t>
  </si>
  <si>
    <t>II 29,3a</t>
  </si>
  <si>
    <t>Ars minor : mit deutscher Interlinearglosse</t>
  </si>
  <si>
    <t>L-1496-315500875</t>
  </si>
  <si>
    <t>1066970513</t>
  </si>
  <si>
    <t>II 29,3b</t>
  </si>
  <si>
    <t xml:space="preserve">Speculum conscientiae et novissimorum : </t>
  </si>
  <si>
    <t>L-1499-315503548</t>
  </si>
  <si>
    <t>1066973156</t>
  </si>
  <si>
    <t>II 29,3c</t>
  </si>
  <si>
    <t xml:space="preserve">Vocabularius de partibus indeclinabilibus : </t>
  </si>
  <si>
    <t>L-1496-327280298</t>
  </si>
  <si>
    <t>1072320762</t>
  </si>
  <si>
    <t>II 29,3d</t>
  </si>
  <si>
    <t xml:space="preserve">Oratio querulosa contra invasores sacerdotum. Mit Widm. an Papst Alexander VI : </t>
  </si>
  <si>
    <t>L-1473-315495812</t>
  </si>
  <si>
    <t>1066965595</t>
  </si>
  <si>
    <t>II 30,1 f</t>
  </si>
  <si>
    <t>L-1473-315503416</t>
  </si>
  <si>
    <t>1066973040</t>
  </si>
  <si>
    <t>II 30,1a</t>
  </si>
  <si>
    <t xml:space="preserve">Speculum historiale : </t>
  </si>
  <si>
    <t>30000,00 EUR</t>
  </si>
  <si>
    <t>L-1473-848175786</t>
  </si>
  <si>
    <t>1272537471</t>
  </si>
  <si>
    <t>II 30,1a - 1/2</t>
  </si>
  <si>
    <t>Speculum historiale</t>
  </si>
  <si>
    <t xml:space="preserve">1/2 : </t>
  </si>
  <si>
    <t>L-1473-848175832</t>
  </si>
  <si>
    <t>1272537528</t>
  </si>
  <si>
    <t>II 30,1a - 3/4</t>
  </si>
  <si>
    <t>gefaltete Blätter, erhabene Illuminationen</t>
  </si>
  <si>
    <t>mit Stephanie besprechen!!, Ergänzungen im BB mit nachmalen des Druckes/der Initialen, Risse u.a. an Sollbruchstellen --&gt; was tun? (siehe auch Aufzeichnungen und Fotos)</t>
  </si>
  <si>
    <t>genauer Kalkulieren</t>
  </si>
  <si>
    <t>L-9999-414987330</t>
  </si>
  <si>
    <t>1138380822</t>
  </si>
  <si>
    <t>II 30,1c-d</t>
  </si>
  <si>
    <t>II 30,1d; II 30,1c</t>
  </si>
  <si>
    <t xml:space="preserve">Sammelband mit zwei Inkunabeln, gedruckt in Strassburg von Johann Mentelin : </t>
  </si>
  <si>
    <t>11500,00 USD</t>
  </si>
  <si>
    <t xml:space="preserve">
Rücken freischwebend</t>
  </si>
  <si>
    <t>L-1471-315495081</t>
  </si>
  <si>
    <t>1066964920</t>
  </si>
  <si>
    <t>II 30,1e</t>
  </si>
  <si>
    <t xml:space="preserve">Fortalitium fidei : </t>
  </si>
  <si>
    <t>41825,00 GBP</t>
  </si>
  <si>
    <t>erhabene Illuminationen, fester Rücken mit Schmuckprägung, welliger Buchblock</t>
  </si>
  <si>
    <t>Holzdeckel, seitliche Lesezeichen</t>
  </si>
  <si>
    <t>Box anfertigen: Schließe nicht mehr schließen, beschädigt den BB, Schließe in Tyvek einpacken und Benutzerhinweis einkleben</t>
  </si>
  <si>
    <t>Box (Schließen sollten nicht mehr geschlossen werden, beschädigen den BB)</t>
  </si>
  <si>
    <t>Registermarken teilweise stabilisieren</t>
  </si>
  <si>
    <t>L-1470-315495855</t>
  </si>
  <si>
    <t>1066965633</t>
  </si>
  <si>
    <t>II 30,1g</t>
  </si>
  <si>
    <t xml:space="preserve">Confessiones : </t>
  </si>
  <si>
    <t>stark brüchiges Einbandmaterial, fester Rücken mit Schmuckprägung, erhabene Illuminationen</t>
  </si>
  <si>
    <t>L-1466-315495863</t>
  </si>
  <si>
    <t>1066965641</t>
  </si>
  <si>
    <t>II 30,1h</t>
  </si>
  <si>
    <t xml:space="preserve">De arte praedicandi : </t>
  </si>
  <si>
    <t>L-1471-31549607X</t>
  </si>
  <si>
    <t>106696582X</t>
  </si>
  <si>
    <t>II 30,1i</t>
  </si>
  <si>
    <t>L-1474-315497858</t>
  </si>
  <si>
    <t>1066967601</t>
  </si>
  <si>
    <t>II 30,1k</t>
  </si>
  <si>
    <t>9200,00 EUR</t>
  </si>
  <si>
    <t>loses Leder zurückkleben, Gelenk oben vorn belassen (ist steif und stabil), Kapitale lose Fäden fixieren</t>
  </si>
  <si>
    <t>Trockenreinigung gesamter BB</t>
  </si>
  <si>
    <t>L-1473-315499117</t>
  </si>
  <si>
    <t>1066968845</t>
  </si>
  <si>
    <t>II 30,1l</t>
  </si>
  <si>
    <t xml:space="preserve">Rosarium decretorum : </t>
  </si>
  <si>
    <t>hohler Rücken, erhabene Illuminationen, welliger Buchblock</t>
  </si>
  <si>
    <t>Gelenke oben mit JP-Gewebe-Laminat stabilisieren</t>
  </si>
  <si>
    <t>L-1469-315499451</t>
  </si>
  <si>
    <t>1066969159</t>
  </si>
  <si>
    <t>II 30,1m</t>
  </si>
  <si>
    <t>bröseligen Bereich am Rücken mit JP überfangen</t>
  </si>
  <si>
    <t>L-1473-286787504</t>
  </si>
  <si>
    <t>1048169669</t>
  </si>
  <si>
    <t>II 30,1n</t>
  </si>
  <si>
    <t>erhabene Illuminationen, fester Rücken mit Schmuckprägung</t>
  </si>
  <si>
    <t>L-1466-315500247</t>
  </si>
  <si>
    <t>1066969914</t>
  </si>
  <si>
    <t>II 30,1o</t>
  </si>
  <si>
    <t xml:space="preserve">Homiliae super Matthaeum : </t>
  </si>
  <si>
    <t>welliger Buchblock, fester Rücken mit Schmuckprägung, stark brüchiges Einbandmaterial</t>
  </si>
  <si>
    <t>L-1472-315501464</t>
  </si>
  <si>
    <t>1066971102</t>
  </si>
  <si>
    <t>II 30,1p</t>
  </si>
  <si>
    <t>erhabene Illuminationen, welliger Buchblock, fester Rücken mit Schmuckprägung, erhabene Illuminationen</t>
  </si>
  <si>
    <t>Rücken oben mit JP stabilisieren</t>
  </si>
  <si>
    <t>Trockenreinigung gesamter BB, Vorsatzblatt hinten wieder einfügen</t>
  </si>
  <si>
    <t>L-1470-315501723</t>
  </si>
  <si>
    <t>1066971358</t>
  </si>
  <si>
    <t>II 30,1q</t>
  </si>
  <si>
    <t xml:space="preserve">Scrutinium scripturarum : </t>
  </si>
  <si>
    <t>L-1463-315503041</t>
  </si>
  <si>
    <t>1066972621</t>
  </si>
  <si>
    <t>II 30,1r</t>
  </si>
  <si>
    <t>erhabene Illuminationen, welliger Buchblock, fester Rücken mit Schmuckprägung</t>
  </si>
  <si>
    <t>L-1470-315503343</t>
  </si>
  <si>
    <t>1066972966</t>
  </si>
  <si>
    <t>II 30,1s</t>
  </si>
  <si>
    <t xml:space="preserve">Facta et dicta memorabilia : </t>
  </si>
  <si>
    <t>L-1476-315503440</t>
  </si>
  <si>
    <t>1066973067</t>
  </si>
  <si>
    <t>II 30,1t</t>
  </si>
  <si>
    <t xml:space="preserve">Speculum morale : </t>
  </si>
  <si>
    <t>L-1480-315493186</t>
  </si>
  <si>
    <t>106696291X</t>
  </si>
  <si>
    <t>II 30,2 i</t>
  </si>
  <si>
    <t>L-1475-315500530</t>
  </si>
  <si>
    <t>106697019X</t>
  </si>
  <si>
    <t>II 30,2a</t>
  </si>
  <si>
    <t>erhabene Illuminationen, welliger Buchblock, hohler Rücken</t>
  </si>
  <si>
    <t>L-1475-315497602</t>
  </si>
  <si>
    <t>1066967350</t>
  </si>
  <si>
    <t>II 30,2c</t>
  </si>
  <si>
    <t xml:space="preserve">Sermones de adventu, etc. : </t>
  </si>
  <si>
    <t>L-1467-315499575</t>
  </si>
  <si>
    <t>1066969264</t>
  </si>
  <si>
    <t>II 30,2d</t>
  </si>
  <si>
    <t xml:space="preserve">De sermonum proprietate sive Opus de universo : </t>
  </si>
  <si>
    <t>L-1470-315502053</t>
  </si>
  <si>
    <t>1066971676</t>
  </si>
  <si>
    <t>II 30,2e</t>
  </si>
  <si>
    <t>II 30,2e - 1</t>
  </si>
  <si>
    <t xml:space="preserve">Vitae illustrium virorum : </t>
  </si>
  <si>
    <t>100000,00 EUR</t>
  </si>
  <si>
    <t>II 30,2e - 2</t>
  </si>
  <si>
    <t>Trockenreinigung v.a. am Kopf im vorderen Bereich des Buches, Vorsätze in den Fälzen auskehren</t>
  </si>
  <si>
    <t>L-1477-315503408</t>
  </si>
  <si>
    <t>1066973032</t>
  </si>
  <si>
    <t>II 30,2f</t>
  </si>
  <si>
    <t xml:space="preserve">Speculum doctrinale : </t>
  </si>
  <si>
    <t>L-1476-315503424</t>
  </si>
  <si>
    <t>1066973059</t>
  </si>
  <si>
    <t>II 30,2g</t>
  </si>
  <si>
    <t>II 30,2g - 1/2</t>
  </si>
  <si>
    <t>II 30,2g - 3/4</t>
  </si>
  <si>
    <t>L-1476-315503467</t>
  </si>
  <si>
    <t>1066973083</t>
  </si>
  <si>
    <t>II 30,2h</t>
  </si>
  <si>
    <t>II 30,2h - 1</t>
  </si>
  <si>
    <t xml:space="preserve">Speculum naturale : </t>
  </si>
  <si>
    <t>35700,00 EUR</t>
  </si>
  <si>
    <t>II 30,2h - 2</t>
  </si>
  <si>
    <t>II 30,2i - 1</t>
  </si>
  <si>
    <t>II 30,2i - 2</t>
  </si>
  <si>
    <t>II 30,2i - 3</t>
  </si>
  <si>
    <t>Lesezeichen an Seiten angebracht</t>
  </si>
  <si>
    <t>II 30,2i - 4</t>
  </si>
  <si>
    <t>L-1480-316102806</t>
  </si>
  <si>
    <t>II 30,2ia - Fragm.</t>
  </si>
  <si>
    <t>L-1471-315498870</t>
  </si>
  <si>
    <t>1066968616</t>
  </si>
  <si>
    <t>II 30,3 a</t>
  </si>
  <si>
    <t>II 30,3a</t>
  </si>
  <si>
    <t>L-1472-315499877</t>
  </si>
  <si>
    <t>1066969558</t>
  </si>
  <si>
    <t>II 30,3b</t>
  </si>
  <si>
    <t>20000,00 EUR</t>
  </si>
  <si>
    <t>Vorsätze v.a. in den Gewebefälze reinigen</t>
  </si>
  <si>
    <t>L-1472-31549879X</t>
  </si>
  <si>
    <t>1066968535</t>
  </si>
  <si>
    <t>II 30,3 c</t>
  </si>
  <si>
    <t>II 30,3c</t>
  </si>
  <si>
    <t>L-1474-315501014</t>
  </si>
  <si>
    <t>1066970661</t>
  </si>
  <si>
    <t>II 30,3d</t>
  </si>
  <si>
    <t xml:space="preserve">Vita Christi : </t>
  </si>
  <si>
    <t>L-1474-315496541</t>
  </si>
  <si>
    <t>1066966257</t>
  </si>
  <si>
    <t>II 30,3 e</t>
  </si>
  <si>
    <t>II 30,3e</t>
  </si>
  <si>
    <t xml:space="preserve">Epistolae [u. a.] : </t>
  </si>
  <si>
    <t>L-1468-315496703</t>
  </si>
  <si>
    <t>1066966427</t>
  </si>
  <si>
    <t>II 30,3f - Fragm.</t>
  </si>
  <si>
    <t>450,00 EUR</t>
  </si>
  <si>
    <t>Trockenreinigung ges. BB und Vorsätze im Gewebefalz (Schimmelig, alter Schaden)</t>
  </si>
  <si>
    <t>L-1474-315497254</t>
  </si>
  <si>
    <t>1066966958</t>
  </si>
  <si>
    <t>II 30,3h</t>
  </si>
  <si>
    <t>L-1470-315497297</t>
  </si>
  <si>
    <t>1066966990</t>
  </si>
  <si>
    <t>II 30,3i</t>
  </si>
  <si>
    <t>L-1473-315498560</t>
  </si>
  <si>
    <t>1066968314</t>
  </si>
  <si>
    <t>II 30,3k</t>
  </si>
  <si>
    <t xml:space="preserve">Malogranatum : </t>
  </si>
  <si>
    <t>L-1470-315499001</t>
  </si>
  <si>
    <t>1066968756</t>
  </si>
  <si>
    <t>II 30,3l</t>
  </si>
  <si>
    <t>L-1473-315499729</t>
  </si>
  <si>
    <t>106696940X</t>
  </si>
  <si>
    <t>II 30,3m</t>
  </si>
  <si>
    <t xml:space="preserve">Liber de contemptu mundi sive De miseria humanae conditionis : </t>
  </si>
  <si>
    <t>L-1475-315501022</t>
  </si>
  <si>
    <t>106697067X</t>
  </si>
  <si>
    <t>II 30,3n</t>
  </si>
  <si>
    <t xml:space="preserve">Iter ad Terram Sanctam : </t>
  </si>
  <si>
    <t>L-1471-31550191X</t>
  </si>
  <si>
    <t>1066971536</t>
  </si>
  <si>
    <t>II 30, 3o</t>
  </si>
  <si>
    <t>II 30,3o</t>
  </si>
  <si>
    <t>32500,00 GBP</t>
  </si>
  <si>
    <t xml:space="preserve">
wegen Rücken und im Falz zusammengeklebten Seiten (ginge nur bei 110, aber das ist für den Rücken zu viel)</t>
  </si>
  <si>
    <t>Beschlag mit Niete versehen, Loses Leder teils mit JP stabilisieren</t>
  </si>
  <si>
    <t>x, hinten im Falz zusammengeklebt</t>
  </si>
  <si>
    <t>x, im Falzbereich</t>
  </si>
  <si>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</si>
  <si>
    <t>L-1473-315496118</t>
  </si>
  <si>
    <t>1066965846</t>
  </si>
  <si>
    <t>II 30,5a</t>
  </si>
  <si>
    <t xml:space="preserve">Manuale : </t>
  </si>
  <si>
    <t>L-1474-315496517</t>
  </si>
  <si>
    <t>1066966222</t>
  </si>
  <si>
    <t>II 30,5b</t>
  </si>
  <si>
    <t xml:space="preserve">De contractibus et usuris : </t>
  </si>
  <si>
    <t>L-1473-834333201</t>
  </si>
  <si>
    <t>1268950440</t>
  </si>
  <si>
    <t>II 30,5c</t>
  </si>
  <si>
    <t xml:space="preserve">Sammelband mit zwei Inkunabeln, gedruckt in Strassburg von Georg Reyser : </t>
  </si>
  <si>
    <t>L-1473-315501790</t>
  </si>
  <si>
    <t>1066971420</t>
  </si>
  <si>
    <t>II 30,5e</t>
  </si>
  <si>
    <t xml:space="preserve">Historia scholastica : </t>
  </si>
  <si>
    <t>L-1474-315501456</t>
  </si>
  <si>
    <t>1066971099</t>
  </si>
  <si>
    <t>II 30,5f</t>
  </si>
  <si>
    <t xml:space="preserve">Auslegung der Psalmen : </t>
  </si>
  <si>
    <t>L-1474-315502983</t>
  </si>
  <si>
    <t>1066972567</t>
  </si>
  <si>
    <t>II 30,5g</t>
  </si>
  <si>
    <t xml:space="preserve">Summa contra gentiles sive De veritate catholicae fidei : </t>
  </si>
  <si>
    <t>L-1474-315496460</t>
  </si>
  <si>
    <t>1066966168</t>
  </si>
  <si>
    <t>II 30,6a</t>
  </si>
  <si>
    <t xml:space="preserve">Liber Bibliae moralis : </t>
  </si>
  <si>
    <t>L-1474-315494956</t>
  </si>
  <si>
    <t>1066964769</t>
  </si>
  <si>
    <t>II 30,6b</t>
  </si>
  <si>
    <t xml:space="preserve">Distinctiones dictionum theologicalium : </t>
  </si>
  <si>
    <t>L-1473-315499656</t>
  </si>
  <si>
    <t>1066969329</t>
  </si>
  <si>
    <t>II 30,6c</t>
  </si>
  <si>
    <t xml:space="preserve">Soliloquium in modum dialogi : </t>
  </si>
  <si>
    <t>L-1473-326859624</t>
  </si>
  <si>
    <t>1072064456</t>
  </si>
  <si>
    <t>II 30,7a</t>
  </si>
  <si>
    <t xml:space="preserve">Speculum iudiciale : </t>
  </si>
  <si>
    <t>L-1476-315501618</t>
  </si>
  <si>
    <t>1066971242</t>
  </si>
  <si>
    <t>II 30,7b</t>
  </si>
  <si>
    <t>L-1475-315495979</t>
  </si>
  <si>
    <t>1066965749</t>
  </si>
  <si>
    <t>II 30,7c</t>
  </si>
  <si>
    <t xml:space="preserve">De duodecim abusionum gradibus : </t>
  </si>
  <si>
    <t>Halbgewebeband, Schließen, erhabene Buchbeschläge</t>
  </si>
  <si>
    <t>L-1476-315499427</t>
  </si>
  <si>
    <t>1066969124</t>
  </si>
  <si>
    <t>II 30,7e</t>
  </si>
  <si>
    <t xml:space="preserve">Liber Discipuli de eruditione Christifidelium : </t>
  </si>
  <si>
    <t>Buchrücken vollständig abgelöst, gereinigt</t>
  </si>
  <si>
    <t>L-1474-834333783</t>
  </si>
  <si>
    <t>1268950890</t>
  </si>
  <si>
    <t>II 30,7f</t>
  </si>
  <si>
    <t xml:space="preserve">Sammelband mit zwei Inkunabeln, gedruckt in Strassburg von Georg Husner : </t>
  </si>
  <si>
    <t>L-1474-352276495</t>
  </si>
  <si>
    <t>1084608782</t>
  </si>
  <si>
    <t xml:space="preserve">De libero arbitrio aliaque opuscula : </t>
  </si>
  <si>
    <t>L-1415-315497157</t>
  </si>
  <si>
    <t>1066966850</t>
  </si>
  <si>
    <t>II 30,7g</t>
  </si>
  <si>
    <t>De disciplina scholarium : mit Komm.</t>
  </si>
  <si>
    <t>L-1493-315496215</t>
  </si>
  <si>
    <t>1066965927</t>
  </si>
  <si>
    <t>II 30,7h</t>
  </si>
  <si>
    <t xml:space="preserve">Sermones ad heremitas. [Enth. außerdem:] Homiliae duae : </t>
  </si>
  <si>
    <t>L-1493-315496207</t>
  </si>
  <si>
    <t>II 30,7ha</t>
  </si>
  <si>
    <t>hohler Rücken, welliger Buchblock, Schrift bis in den Falz, erhabene Illuminationen</t>
  </si>
  <si>
    <t>L-1483-315500093</t>
  </si>
  <si>
    <t>1066969752</t>
  </si>
  <si>
    <t>II 30,7i</t>
  </si>
  <si>
    <t>Originaleinbandfragm. Separat</t>
  </si>
  <si>
    <t>L-1482-315500212</t>
  </si>
  <si>
    <t>1066969884</t>
  </si>
  <si>
    <t>II 30,8b</t>
  </si>
  <si>
    <t>Vßlegung vber den boume der sypschafft, Vßlegung vber den boum der mogschafft, mit einem Anhang Zu erclerung des boumes der geistlichen sypschafft ode</t>
  </si>
  <si>
    <t>800,00 EUR</t>
  </si>
  <si>
    <t>x Minieingriff</t>
  </si>
  <si>
    <t>Rücken sichern mit JP</t>
  </si>
  <si>
    <t>L-1490-31548862X</t>
  </si>
  <si>
    <t>1066957983</t>
  </si>
  <si>
    <t>II 30,9b</t>
  </si>
  <si>
    <t xml:space="preserve">Canones iuxta regulam : </t>
  </si>
  <si>
    <t>Rücken und Titelschild sichern, Schließe belassen</t>
  </si>
  <si>
    <t>L-1498-315503599</t>
  </si>
  <si>
    <t>1066973202</t>
  </si>
  <si>
    <t>II 30,9c</t>
  </si>
  <si>
    <t xml:space="preserve">Philippica in laudem et defensionem Philippi comitis Rheni Palatini Bavariae ducis : </t>
  </si>
  <si>
    <t>L-1484-315497610</t>
  </si>
  <si>
    <t>1066967369</t>
  </si>
  <si>
    <t>II 30,9d</t>
  </si>
  <si>
    <t>Sermones de adventu, Sermo de S. Joseph, Sermo de beatitudine, Sermones de divina caritate, Sermones de immortalitate animae. Enth. außerdem: Dominicu</t>
  </si>
  <si>
    <t>II 30,9d - Fragm.</t>
  </si>
  <si>
    <t>L-1481-315500417</t>
  </si>
  <si>
    <t>1066970068</t>
  </si>
  <si>
    <t>II 30,10a</t>
  </si>
  <si>
    <t>L-1484-315501847</t>
  </si>
  <si>
    <t>1066971463</t>
  </si>
  <si>
    <t>II 30,11a</t>
  </si>
  <si>
    <t xml:space="preserve">Sermones thesauri novi de sanctis : </t>
  </si>
  <si>
    <t>L-1484-315497823</t>
  </si>
  <si>
    <t>1066967563</t>
  </si>
  <si>
    <t>II 30,12a</t>
  </si>
  <si>
    <t>L-1486-315498242</t>
  </si>
  <si>
    <t>1066967970</t>
  </si>
  <si>
    <t>II 30,12b</t>
  </si>
  <si>
    <t>110000,00 EUR</t>
  </si>
  <si>
    <t>Rücken an Kopf und Fuß mit JP sichern, Gelenke mit JP-Gewebe-Laminat unterlegen, ggf. mit JP überfangen, Titelschilder fixieren</t>
  </si>
  <si>
    <t>L-1490-31550143X</t>
  </si>
  <si>
    <t>1066971072</t>
  </si>
  <si>
    <t>II 30,12c</t>
  </si>
  <si>
    <t xml:space="preserve">Biblia pauperum : </t>
  </si>
  <si>
    <t>L-1492-460784927</t>
  </si>
  <si>
    <t>1166155838</t>
  </si>
  <si>
    <t>II 30,12d</t>
  </si>
  <si>
    <t xml:space="preserve">Pars 4. : </t>
  </si>
  <si>
    <t>750,00 EUR</t>
  </si>
  <si>
    <t>L-1496-315495057</t>
  </si>
  <si>
    <t>1066964882</t>
  </si>
  <si>
    <t>II 30,12e</t>
  </si>
  <si>
    <t>Summa theologica : P. 1-4</t>
  </si>
  <si>
    <t>500,00 EUR</t>
  </si>
  <si>
    <t>fester Rücken mit Schmuckprägung, Schrift bis in den Falz</t>
  </si>
  <si>
    <t>L-1488-834344491</t>
  </si>
  <si>
    <t>1268961639</t>
  </si>
  <si>
    <t>II 30,12g</t>
  </si>
  <si>
    <t xml:space="preserve">Sammelband mit zwei Teilen der Opera von Johannes Gerson : </t>
  </si>
  <si>
    <t>L-1500-315493674</t>
  </si>
  <si>
    <t>1066963428</t>
  </si>
  <si>
    <t>II 30,13 m</t>
  </si>
  <si>
    <t xml:space="preserve">
Rücken extrem brüchig</t>
  </si>
  <si>
    <t>Titelschild sichern (ggf. mit JP überfangen), Gelenk vorn mit JP-Gewebe-Laminat stabilisieren (Bund belassen), Gelenk hinten teils mit JP überfangen</t>
  </si>
  <si>
    <t>L-1487-315498455</t>
  </si>
  <si>
    <t>1066968187</t>
  </si>
  <si>
    <t>II 30,13b</t>
  </si>
  <si>
    <t>Sententiarum variationes sive Synonyma : [lat.-deutsch]</t>
  </si>
  <si>
    <t>L-1488-315502487</t>
  </si>
  <si>
    <t>1066972060</t>
  </si>
  <si>
    <t>II 30,13c</t>
  </si>
  <si>
    <t>L-1489-834332698</t>
  </si>
  <si>
    <t>1268950041</t>
  </si>
  <si>
    <t>II 30,13d</t>
  </si>
  <si>
    <t xml:space="preserve">Sammelband mit zwei Inkunabeln, gedruckt in Strassburg : </t>
  </si>
  <si>
    <t>II 30,13e</t>
  </si>
  <si>
    <t>Originaleinband/Blindmaterial</t>
  </si>
  <si>
    <t>L-1488-315498633</t>
  </si>
  <si>
    <t>1066968381</t>
  </si>
  <si>
    <t>De spiritualibus ascensionibus : P. 1-3</t>
  </si>
  <si>
    <t>L-1498-352277645</t>
  </si>
  <si>
    <t>1084610876</t>
  </si>
  <si>
    <t>II 30,13g</t>
  </si>
  <si>
    <t>nein</t>
  </si>
  <si>
    <t>L-1507-315499559</t>
  </si>
  <si>
    <t>1066969248</t>
  </si>
  <si>
    <t>II 30,13ga</t>
  </si>
  <si>
    <t>L-1484-315502665</t>
  </si>
  <si>
    <t>1066972249</t>
  </si>
  <si>
    <t>II 30,13i</t>
  </si>
  <si>
    <t>Schließen, erhabene Buchbeschläge, Halbledereinband</t>
  </si>
  <si>
    <t>L-1490-315499435</t>
  </si>
  <si>
    <t>1066969132</t>
  </si>
  <si>
    <t>II 30,13k</t>
  </si>
  <si>
    <t>L-1483-315499761</t>
  </si>
  <si>
    <t>1066969434</t>
  </si>
  <si>
    <t>II 30,14a</t>
  </si>
  <si>
    <t xml:space="preserve">Postillae de tempore et sermones : </t>
  </si>
  <si>
    <t>L-1483-315496312</t>
  </si>
  <si>
    <t>106696601X</t>
  </si>
  <si>
    <t>II 30,14b</t>
  </si>
  <si>
    <t>L-1483-315501804</t>
  </si>
  <si>
    <t>1066971439</t>
  </si>
  <si>
    <t>II 30,14c</t>
  </si>
  <si>
    <t>Titelschild und Ledernarben sichern, Gelenke mit JP überfangen, im Gelenk hinten Fehltstelle ergänzen, Einschlag oben mit JP sichern</t>
  </si>
  <si>
    <t>L-1483-315500441</t>
  </si>
  <si>
    <t>1066970092</t>
  </si>
  <si>
    <t>II 30,14d</t>
  </si>
  <si>
    <t>L-1483-315500425</t>
  </si>
  <si>
    <t>1066970076</t>
  </si>
  <si>
    <t>II 30,14e</t>
  </si>
  <si>
    <t>1700,00 EUR</t>
  </si>
  <si>
    <t>Rücken an Kopf und Fuß mit JP einfassen, RD im Gelenkbereich mit Spiegel verkleben, loses Gewebe in den Gelenken fixieren und ggf. mit JP überfangen</t>
  </si>
  <si>
    <t>L-1483-315497955</t>
  </si>
  <si>
    <t>1066967695</t>
  </si>
  <si>
    <t>II 30,14f</t>
  </si>
  <si>
    <t xml:space="preserve">Ruralia commoda : </t>
  </si>
  <si>
    <t>Leder an Kopf und Fuß mit JP/JP-Gewebe-Laminat stabilisieren, Titelschilder und Narben festigen, ggf. mit JP überfangen</t>
  </si>
  <si>
    <t>L-1483-315499524</t>
  </si>
  <si>
    <t>1066969213</t>
  </si>
  <si>
    <t>II 30,14h</t>
  </si>
  <si>
    <t xml:space="preserve">Historia Alexandri Magni : </t>
  </si>
  <si>
    <t>L-1484-315502657</t>
  </si>
  <si>
    <t>II 30,14i</t>
  </si>
  <si>
    <t xml:space="preserve">
sehr geringer ÖW (ca. 30°)</t>
  </si>
  <si>
    <t>L-1489-315495065</t>
  </si>
  <si>
    <t>1066964890</t>
  </si>
  <si>
    <t>II 30,14k</t>
  </si>
  <si>
    <t>L-1483-31550045X</t>
  </si>
  <si>
    <t>1066970106</t>
  </si>
  <si>
    <t>II 30,14l</t>
  </si>
  <si>
    <t>L-1483-315500506</t>
  </si>
  <si>
    <t>1066970157</t>
  </si>
  <si>
    <t>II 30,14m</t>
  </si>
  <si>
    <t xml:space="preserve">Summa collationum sive Communiloquium : </t>
  </si>
  <si>
    <t>L-1483-315501340</t>
  </si>
  <si>
    <t>106697098X</t>
  </si>
  <si>
    <t>II 30,14o</t>
  </si>
  <si>
    <t xml:space="preserve">Modus legendi abbreviaturas [u.a.] : </t>
  </si>
  <si>
    <t>L-1483-315501561</t>
  </si>
  <si>
    <t>1066971196</t>
  </si>
  <si>
    <t>II 30,14oa</t>
  </si>
  <si>
    <t xml:space="preserve">Sermones de tempore et de sanctis sive Viridarius : </t>
  </si>
  <si>
    <t>Tintenfraß</t>
  </si>
  <si>
    <t>L-1483-315497246</t>
  </si>
  <si>
    <t>106696694X</t>
  </si>
  <si>
    <t>II 30,14p</t>
  </si>
  <si>
    <t xml:space="preserve">Sermones mediocres de tempore : </t>
  </si>
  <si>
    <t>4560,00 EUR</t>
  </si>
  <si>
    <t xml:space="preserve">
Buch ist beschädigt, Rücken muss frei hängen, nachher Rest.</t>
  </si>
  <si>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</si>
  <si>
    <t>L-1483-315497785</t>
  </si>
  <si>
    <t>1066967539</t>
  </si>
  <si>
    <t>II 30,14q</t>
  </si>
  <si>
    <t xml:space="preserve">Compendium iuris canonici : </t>
  </si>
  <si>
    <t>L-1488-315495510</t>
  </si>
  <si>
    <t>106696534X</t>
  </si>
  <si>
    <t>II 30,15a</t>
  </si>
  <si>
    <t xml:space="preserve">Confessionale Defecerunt scrutantes scrutinio : </t>
  </si>
  <si>
    <t>L-1489-315495472</t>
  </si>
  <si>
    <t>1066965293</t>
  </si>
  <si>
    <t>II 30,15b</t>
  </si>
  <si>
    <t xml:space="preserve">Summa angelica de casibus conscientiae : </t>
  </si>
  <si>
    <t>L-1489-315497238</t>
  </si>
  <si>
    <t>1066966931</t>
  </si>
  <si>
    <t>II 30,15c</t>
  </si>
  <si>
    <t xml:space="preserve">Opuscula : </t>
  </si>
  <si>
    <t>L-1491-315496134</t>
  </si>
  <si>
    <t>1066965862</t>
  </si>
  <si>
    <t>II 30,15d</t>
  </si>
  <si>
    <t xml:space="preserve">Opuscula plurima : </t>
  </si>
  <si>
    <t>L-1491-834329794</t>
  </si>
  <si>
    <t>1268947474</t>
  </si>
  <si>
    <t>II 30,15f</t>
  </si>
  <si>
    <t xml:space="preserve">Sammelband mit zwei Inkunabeln, gedruckt in Strassburg von Martin Flach : </t>
  </si>
  <si>
    <t>1200,00 EUR</t>
  </si>
  <si>
    <t xml:space="preserve">
Rücken bröselig</t>
  </si>
  <si>
    <t>Rücken an Kopf und Fuß sichern mit JP, Gelenke belassen (Deckel sitzen fest)</t>
  </si>
  <si>
    <t>L-1493-315499133</t>
  </si>
  <si>
    <t>1066968861</t>
  </si>
  <si>
    <t>II 30,15g</t>
  </si>
  <si>
    <t xml:space="preserve">Manipulus curatorum : </t>
  </si>
  <si>
    <t>L-1493-31550238X</t>
  </si>
  <si>
    <t>1066971978</t>
  </si>
  <si>
    <t>II 30,15h</t>
  </si>
  <si>
    <t xml:space="preserve">De laudibus Mariae : </t>
  </si>
  <si>
    <t>L-1493-315501863</t>
  </si>
  <si>
    <t>106697148X</t>
  </si>
  <si>
    <t>II 30,15ha</t>
  </si>
  <si>
    <t>L-1495-315495480</t>
  </si>
  <si>
    <t>1066965307</t>
  </si>
  <si>
    <t>II 30,15i</t>
  </si>
  <si>
    <t>L-1496-315502274</t>
  </si>
  <si>
    <t>1066971870</t>
  </si>
  <si>
    <t>II 30,15k</t>
  </si>
  <si>
    <t xml:space="preserve">Theologia naturalis sive Liber creaturarum : </t>
  </si>
  <si>
    <t>Leder im Gelenk sichern durch "Pflaster" (JP drüberkleben)</t>
  </si>
  <si>
    <t>L-1496-315496509</t>
  </si>
  <si>
    <t>1066966214</t>
  </si>
  <si>
    <t>II 30,15l</t>
  </si>
  <si>
    <t xml:space="preserve">Mariale : </t>
  </si>
  <si>
    <t>3300,00 EUR</t>
  </si>
  <si>
    <t>Titelschilder fixieren, Schließenriemen festigen (zusammenkleben) und sonst belassen</t>
  </si>
  <si>
    <t>L-1497-315496592</t>
  </si>
  <si>
    <t>1066966311</t>
  </si>
  <si>
    <t>II 30,15m</t>
  </si>
  <si>
    <t xml:space="preserve">Sermones super Cantica canticorum : </t>
  </si>
  <si>
    <t>1400,00 EUR</t>
  </si>
  <si>
    <t>nach rest. Eingriff ist Schaden stabil genug</t>
  </si>
  <si>
    <t>Rücken am Kopf mit JP stabilisieren, Gelenke belassen (Deckel sitzen fest)</t>
  </si>
  <si>
    <t>L-1499-327280379</t>
  </si>
  <si>
    <t>1072320894</t>
  </si>
  <si>
    <t>II 30,15o</t>
  </si>
  <si>
    <t xml:space="preserve">De sacramentis : </t>
  </si>
  <si>
    <t>L-1487-327280646</t>
  </si>
  <si>
    <t>1072321378</t>
  </si>
  <si>
    <t>II 30,15p</t>
  </si>
  <si>
    <t>alte Vorsätze+Rücken mit in Kassette</t>
  </si>
  <si>
    <t>L-1489-315498072</t>
  </si>
  <si>
    <t>1066967806</t>
  </si>
  <si>
    <t>II 30,16a</t>
  </si>
  <si>
    <t xml:space="preserve">Directorium statuum seu verius Tribulatio seculi : </t>
  </si>
  <si>
    <t>L-1500-315501693</t>
  </si>
  <si>
    <t>1066971323</t>
  </si>
  <si>
    <t>II 30,18a</t>
  </si>
  <si>
    <t xml:space="preserve">Die @vierundzwanzig Alten oder Der goldne Thron : </t>
  </si>
  <si>
    <t>alter Einband in extra Mappe</t>
  </si>
  <si>
    <t>L-1500-315497149</t>
  </si>
  <si>
    <t>1066966842</t>
  </si>
  <si>
    <t>II 30,18b</t>
  </si>
  <si>
    <t xml:space="preserve">Von dem trost der weißheit : </t>
  </si>
  <si>
    <t>L-1499-315499249</t>
  </si>
  <si>
    <t>1066968977</t>
  </si>
  <si>
    <t>II 31,1a</t>
  </si>
  <si>
    <t>L-1500-315497025</t>
  </si>
  <si>
    <t>1066966729</t>
  </si>
  <si>
    <t>II 31,1b</t>
  </si>
  <si>
    <t xml:space="preserve">Epitoma expositionis sacri canonis missae : </t>
  </si>
  <si>
    <t>L-1498-315502789</t>
  </si>
  <si>
    <t>1066972354</t>
  </si>
  <si>
    <t>II 31,1c</t>
  </si>
  <si>
    <t xml:space="preserve">Tractatus bipartitus de Deo homine facto : </t>
  </si>
  <si>
    <t>L-1474-315496479</t>
  </si>
  <si>
    <t>1066966176</t>
  </si>
  <si>
    <t>II 32,1 b</t>
  </si>
  <si>
    <t>24000,00 EUR</t>
  </si>
  <si>
    <t>Kapital fixieren, Gelenke mit JP stabilisieren (oben unterlegen, beide Gelenke mit JP überfangen und so stabilisieren), Anmerkung: Deckel sind fest, es geht lediglich darum das lose Leder zu fixieren</t>
  </si>
  <si>
    <t>L-1473-315498161</t>
  </si>
  <si>
    <t>1066967911</t>
  </si>
  <si>
    <t>II 32,1a</t>
  </si>
  <si>
    <t>L-1475-315498188</t>
  </si>
  <si>
    <t>106696792X</t>
  </si>
  <si>
    <t>II 32,1c</t>
  </si>
  <si>
    <t>L-1475-315498196</t>
  </si>
  <si>
    <t>II 32,1ca - Fragm.</t>
  </si>
  <si>
    <t>L-1475-31549705X</t>
  </si>
  <si>
    <t>1066966753</t>
  </si>
  <si>
    <t>II 32,1d</t>
  </si>
  <si>
    <t xml:space="preserve">Aurea Biblia sive Repertorium aureum Bibliorum : </t>
  </si>
  <si>
    <t>L-1480-315500476</t>
  </si>
  <si>
    <t>1066970130</t>
  </si>
  <si>
    <t>II 32,1e</t>
  </si>
  <si>
    <t xml:space="preserve">Scala coeli : </t>
  </si>
  <si>
    <t>L-1481-315502622</t>
  </si>
  <si>
    <t>1066972206</t>
  </si>
  <si>
    <t>II 32,1f</t>
  </si>
  <si>
    <t>T.1 und T.2 jeweils einzeln in e. Kassette</t>
  </si>
  <si>
    <t>L-1473-31550028X</t>
  </si>
  <si>
    <t>1066969949</t>
  </si>
  <si>
    <t>II 32,1h</t>
  </si>
  <si>
    <t xml:space="preserve">De adhaerendo Deo : </t>
  </si>
  <si>
    <t>L-1481-315499591</t>
  </si>
  <si>
    <t>1066969280</t>
  </si>
  <si>
    <t>II 32,1i</t>
  </si>
  <si>
    <t>L-1484-315500301</t>
  </si>
  <si>
    <t>1066969965</t>
  </si>
  <si>
    <t>II 32,2ab</t>
  </si>
  <si>
    <t xml:space="preserve">Summa confessorum : </t>
  </si>
  <si>
    <t>L-1486-315499206</t>
  </si>
  <si>
    <t>1066968926</t>
  </si>
  <si>
    <t>II 32,2b</t>
  </si>
  <si>
    <t>L-1488-315500107</t>
  </si>
  <si>
    <t>1066969760</t>
  </si>
  <si>
    <t>II 32,2c</t>
  </si>
  <si>
    <t>L-1488-315499664</t>
  </si>
  <si>
    <t>1066969337</t>
  </si>
  <si>
    <t>II 32,2d</t>
  </si>
  <si>
    <t xml:space="preserve">Auslegung über Sankt Augustins Regel : </t>
  </si>
  <si>
    <t>L-1488-444452109</t>
  </si>
  <si>
    <t>II 32,2da</t>
  </si>
  <si>
    <t>L-1499-315502738</t>
  </si>
  <si>
    <t>106697229X</t>
  </si>
  <si>
    <t>II 32,4a</t>
  </si>
  <si>
    <t xml:space="preserve">Almanach nova in annos 1499-1531 : </t>
  </si>
  <si>
    <t>hohler Rücken, welliger Buchblock, Schrift bis in den Falz</t>
  </si>
  <si>
    <t>L-1499-31550109X</t>
  </si>
  <si>
    <t>1066970742</t>
  </si>
  <si>
    <t>II 32,5a</t>
  </si>
  <si>
    <t xml:space="preserve">Scribendi orandique modus : </t>
  </si>
  <si>
    <t>L-1494-315500581</t>
  </si>
  <si>
    <t>1066970246</t>
  </si>
  <si>
    <t>II 33,1a</t>
  </si>
  <si>
    <t xml:space="preserve">Epigrammata : </t>
  </si>
  <si>
    <t>L-1484-315495278</t>
  </si>
  <si>
    <t>1066965137</t>
  </si>
  <si>
    <t>II 34,1a</t>
  </si>
  <si>
    <t xml:space="preserve">Summa de eucharistiae sacramento : </t>
  </si>
  <si>
    <t>Hülse, Gelenke belassen, Rücken am Fuß mit JP sichern</t>
  </si>
  <si>
    <t>L-1479-316402591</t>
  </si>
  <si>
    <t>1067439234</t>
  </si>
  <si>
    <t>II 35,1a - Fragm.</t>
  </si>
  <si>
    <t xml:space="preserve">Breviarium Herbipolense : </t>
  </si>
  <si>
    <t>L-1499-316402605</t>
  </si>
  <si>
    <t>1067439250</t>
  </si>
  <si>
    <t>II 35,2a - Fragm.</t>
  </si>
  <si>
    <t xml:space="preserve">Missale Herbipolense : </t>
  </si>
  <si>
    <t>L-1474-315495456</t>
  </si>
  <si>
    <t>1066965277</t>
  </si>
  <si>
    <t>II 36,1a</t>
  </si>
  <si>
    <t xml:space="preserve">Modus confitendi : </t>
  </si>
  <si>
    <t>L-1505-327280808</t>
  </si>
  <si>
    <t>1072321602</t>
  </si>
  <si>
    <t>II 36,1b</t>
  </si>
  <si>
    <t xml:space="preserve">Modus confitendi et poenitendi (Poeniteas cito) : </t>
  </si>
  <si>
    <t>L-2019-323537</t>
  </si>
  <si>
    <t>1200511840</t>
  </si>
  <si>
    <t>II 37, 1a</t>
  </si>
  <si>
    <t>II 37,1a</t>
  </si>
  <si>
    <t xml:space="preserve">Rechnung auf alle Kaufmannschaft : </t>
  </si>
  <si>
    <t>7248,74 EUR</t>
  </si>
  <si>
    <t>welliger Buchblock</t>
  </si>
  <si>
    <t>L-1472-327281049</t>
  </si>
  <si>
    <t>1072321904</t>
  </si>
  <si>
    <t>II 43,1a</t>
  </si>
  <si>
    <t xml:space="preserve">Confessionale [etc.] : </t>
  </si>
  <si>
    <t>L-1486-315497173</t>
  </si>
  <si>
    <t>1066966877</t>
  </si>
  <si>
    <t>II 43,2a</t>
  </si>
  <si>
    <t xml:space="preserve">Collectio florum Decretorum : </t>
  </si>
  <si>
    <t>L-1496-315495340</t>
  </si>
  <si>
    <t>1066965196</t>
  </si>
  <si>
    <t>II 43,2b</t>
  </si>
  <si>
    <t>L-1482-31640263X</t>
  </si>
  <si>
    <t>1067439293</t>
  </si>
  <si>
    <t>II 43,3ab - Fragm.</t>
  </si>
  <si>
    <t xml:space="preserve">Pentateuchus : </t>
  </si>
  <si>
    <t>L-1495-315496649</t>
  </si>
  <si>
    <t>1066966362</t>
  </si>
  <si>
    <t>II 43,5a</t>
  </si>
  <si>
    <t xml:space="preserve">De felicitate : </t>
  </si>
  <si>
    <t>L-1498-315496622</t>
  </si>
  <si>
    <t>1066966346</t>
  </si>
  <si>
    <t>II 43,6a</t>
  </si>
  <si>
    <t xml:space="preserve">Heptalogos : </t>
  </si>
  <si>
    <t>hohler Rücken, Schrift bis in den Falz, stark brüchiges Einbandmaterial</t>
  </si>
  <si>
    <t>L-1485-315498595</t>
  </si>
  <si>
    <t>1066968349</t>
  </si>
  <si>
    <t>II 44,1a</t>
  </si>
  <si>
    <t xml:space="preserve">Noctes Atticae : </t>
  </si>
  <si>
    <t>L-1486-315496177</t>
  </si>
  <si>
    <t>1066965897</t>
  </si>
  <si>
    <t>II 44,2a</t>
  </si>
  <si>
    <t xml:space="preserve">Sermones ad fratres in eremo : </t>
  </si>
  <si>
    <t>L-1499-327281251</t>
  </si>
  <si>
    <t>1072322234</t>
  </si>
  <si>
    <t>II 44,2b</t>
  </si>
  <si>
    <t>L-1490-315494018</t>
  </si>
  <si>
    <t>1066963800</t>
  </si>
  <si>
    <t>II 44,3a</t>
  </si>
  <si>
    <t xml:space="preserve">Philosophia pauperum sive Isagoge in libros Aristotelis physicorum, de caelo et mundo, de generatione et corruptione, meteororum et de anima [Version </t>
  </si>
  <si>
    <t>L-1473-32690154X</t>
  </si>
  <si>
    <t>1072097877</t>
  </si>
  <si>
    <t>II 44,4a</t>
  </si>
  <si>
    <t xml:space="preserve">Statuta et pacta communis Brixiae : </t>
  </si>
  <si>
    <t>L-1475-315498099</t>
  </si>
  <si>
    <t>1066967830</t>
  </si>
  <si>
    <t>II 44,5a</t>
  </si>
  <si>
    <t xml:space="preserve">Commentarii in Iuvenalem : </t>
  </si>
  <si>
    <t>L-1476-315495782</t>
  </si>
  <si>
    <t>1066965560</t>
  </si>
  <si>
    <t>II 45,1a</t>
  </si>
  <si>
    <t xml:space="preserve">Gnotosolitos sive Speculum conscientiae : </t>
  </si>
  <si>
    <t>26000,00 EUR</t>
  </si>
  <si>
    <t xml:space="preserve">
ggf. Rücken unterlegen</t>
  </si>
  <si>
    <t>Gelenk mit JP-Gewebe-Laminat schließen</t>
  </si>
  <si>
    <t>L-1481-31549655X</t>
  </si>
  <si>
    <t>1066966265</t>
  </si>
  <si>
    <t>II 45,1b</t>
  </si>
  <si>
    <t xml:space="preserve">
Rücken ist lose, 2. Teil Rest. erst nach Digit.</t>
  </si>
  <si>
    <t>vor der Digit.: Rücken sichern, nach der Digit.: Hülse, gebrochenen Rücken am besten entfernen sonst wird Rücken insg. zu steif</t>
  </si>
  <si>
    <t>L-1475-326901868</t>
  </si>
  <si>
    <t>1072098342</t>
  </si>
  <si>
    <t>II 46,1a</t>
  </si>
  <si>
    <t xml:space="preserve">Vitas Patrum : </t>
  </si>
  <si>
    <t>Schuber in Mappe</t>
  </si>
  <si>
    <t>L-1480-315502002</t>
  </si>
  <si>
    <t>1066971625</t>
  </si>
  <si>
    <t>II 48,1a</t>
  </si>
  <si>
    <t xml:space="preserve">De honesta voluptate et valetudine : </t>
  </si>
  <si>
    <t>L-1492-315501766</t>
  </si>
  <si>
    <t>1066971390</t>
  </si>
  <si>
    <t>II 49,1a</t>
  </si>
  <si>
    <t>Titelschilder und Narben sichern</t>
  </si>
  <si>
    <t>L-1484-327281405</t>
  </si>
  <si>
    <t>1072322579</t>
  </si>
  <si>
    <t>II 50,1b</t>
  </si>
  <si>
    <t xml:space="preserve">Getijdenboek (Almanach 1480–1521) : </t>
  </si>
  <si>
    <t>L-1477-834334240</t>
  </si>
  <si>
    <t>1268951293</t>
  </si>
  <si>
    <t>II 51,1b</t>
  </si>
  <si>
    <t>L-1480-315502282</t>
  </si>
  <si>
    <t>1066971889</t>
  </si>
  <si>
    <t>II 51,1c</t>
  </si>
  <si>
    <t xml:space="preserve">Theologia naturalis, sive liber creaturarum : </t>
  </si>
  <si>
    <t>L-1480-315501715</t>
  </si>
  <si>
    <t>106697134X</t>
  </si>
  <si>
    <t>II 52,2a</t>
  </si>
  <si>
    <t xml:space="preserve">Lectura super secunda parte Infortiati : </t>
  </si>
  <si>
    <t>kleine Risse in den Gelenken mit JP schließen, Leder fixieren</t>
  </si>
  <si>
    <t>L-1493-315495359</t>
  </si>
  <si>
    <t>106696520X</t>
  </si>
  <si>
    <t>II 52,2b</t>
  </si>
  <si>
    <t xml:space="preserve">Compilatio astronomica : </t>
  </si>
  <si>
    <t>L-1470-315497491</t>
  </si>
  <si>
    <t>1066967229</t>
  </si>
  <si>
    <t>II 54,1a</t>
  </si>
  <si>
    <t xml:space="preserve">De bello Italico adversus Gothos : </t>
  </si>
  <si>
    <t>L-1481-326902260</t>
  </si>
  <si>
    <t>1072098903</t>
  </si>
  <si>
    <t>II 56,1a</t>
  </si>
  <si>
    <t xml:space="preserve">Ars praedicandi : </t>
  </si>
  <si>
    <t>Band + alter Einband in einer Kassette</t>
  </si>
  <si>
    <t>L-1491-326902686</t>
  </si>
  <si>
    <t>1072099748</t>
  </si>
  <si>
    <t>II 61,1a</t>
  </si>
  <si>
    <t xml:space="preserve">De instantia : </t>
  </si>
  <si>
    <t>L-1480-315496304</t>
  </si>
  <si>
    <t>1066966001</t>
  </si>
  <si>
    <t>II 62,1a</t>
  </si>
  <si>
    <t>L-1482-315499834</t>
  </si>
  <si>
    <t>1066969507</t>
  </si>
  <si>
    <t>II 62,2a</t>
  </si>
  <si>
    <t xml:space="preserve">Digestum novum : </t>
  </si>
  <si>
    <t>L-1497-31550336X</t>
  </si>
  <si>
    <t>1066972982</t>
  </si>
  <si>
    <t>II 62,3a</t>
  </si>
  <si>
    <t xml:space="preserve">Palinurus : </t>
  </si>
  <si>
    <t>L-1496-326902872</t>
  </si>
  <si>
    <t>1072100134</t>
  </si>
  <si>
    <t>II 62,4a</t>
  </si>
  <si>
    <t xml:space="preserve">Summa de ecclesia : </t>
  </si>
  <si>
    <t>L-1497-315496126</t>
  </si>
  <si>
    <t>1066965854</t>
  </si>
  <si>
    <t>II 62,4b</t>
  </si>
  <si>
    <t xml:space="preserve">Opus quaestionum : </t>
  </si>
  <si>
    <t>Schuber in Kassette</t>
  </si>
  <si>
    <t>L-1499-327281782</t>
  </si>
  <si>
    <t>1072323095</t>
  </si>
  <si>
    <t>II 62,5a</t>
  </si>
  <si>
    <t>L-1475-315501049</t>
  </si>
  <si>
    <t>1066970696</t>
  </si>
  <si>
    <t>II 63,2a</t>
  </si>
  <si>
    <t xml:space="preserve">Regula monachorum ex epistolis Hieronymi collecta : </t>
  </si>
  <si>
    <t>L-1479-326902988</t>
  </si>
  <si>
    <t>1072100355</t>
  </si>
  <si>
    <t>II 63,2b</t>
  </si>
  <si>
    <t xml:space="preserve">Sommola di pacifica coscienza : </t>
  </si>
  <si>
    <t>L-1477-326903305</t>
  </si>
  <si>
    <t>1072101181</t>
  </si>
  <si>
    <t>II 63,2c</t>
  </si>
  <si>
    <t xml:space="preserve">De bello Hispano : </t>
  </si>
  <si>
    <t>L-1476-31550174X</t>
  </si>
  <si>
    <t>1066971374</t>
  </si>
  <si>
    <t>II 63,3a</t>
  </si>
  <si>
    <t xml:space="preserve">Expositio librorum naturalium Aristotelis : </t>
  </si>
  <si>
    <t>L-1476-315496231</t>
  </si>
  <si>
    <t>1066965943</t>
  </si>
  <si>
    <t>II 63,3b</t>
  </si>
  <si>
    <t xml:space="preserve">Super I. et II. Decretalium : </t>
  </si>
  <si>
    <t>L-1483-315495774</t>
  </si>
  <si>
    <t>1066965544</t>
  </si>
  <si>
    <t>II 63,3c</t>
  </si>
  <si>
    <t xml:space="preserve">Breviarium practicae : </t>
  </si>
  <si>
    <t>L-1478-31549638X</t>
  </si>
  <si>
    <t>1066966087</t>
  </si>
  <si>
    <t>II 63,4a</t>
  </si>
  <si>
    <t>L-1482-326903461</t>
  </si>
  <si>
    <t>1072101475</t>
  </si>
  <si>
    <t>II 63,5a</t>
  </si>
  <si>
    <t xml:space="preserve">Statuta Mediolani. [Daran:] Tabula statutorum : </t>
  </si>
  <si>
    <t>L-1489-315502266</t>
  </si>
  <si>
    <t>1066971862</t>
  </si>
  <si>
    <t>II 63,5b</t>
  </si>
  <si>
    <t xml:space="preserve">Vita di S. Catarina da Siena : </t>
  </si>
  <si>
    <t>L-1480-326905863</t>
  </si>
  <si>
    <t>1072105233</t>
  </si>
  <si>
    <t>II 63,6a</t>
  </si>
  <si>
    <t xml:space="preserve">Vitae imperatorum, sive De vita illustrium virorum : </t>
  </si>
  <si>
    <t>L-1495-315501294</t>
  </si>
  <si>
    <t>1066970939</t>
  </si>
  <si>
    <t>II 63,8a</t>
  </si>
  <si>
    <t xml:space="preserve">Sermonarium per quadragesimam de commendatione virtutum et reprobatione vitiorum : </t>
  </si>
  <si>
    <t xml:space="preserve">
Buch öffnet sich schlecht, Schließen sehr steif</t>
  </si>
  <si>
    <t>fester Rücken inzwischen hohl</t>
  </si>
  <si>
    <t>L-1479-315498382</t>
  </si>
  <si>
    <t>106696811X</t>
  </si>
  <si>
    <t>II 64,1b</t>
  </si>
  <si>
    <t xml:space="preserve">Historia ecclesiastica : </t>
  </si>
  <si>
    <t>L-1477-326906126</t>
  </si>
  <si>
    <t>1072105721</t>
  </si>
  <si>
    <t>II 65,1a</t>
  </si>
  <si>
    <t>L-1480-327008083</t>
  </si>
  <si>
    <t>1072172607</t>
  </si>
  <si>
    <t>II 65,2</t>
  </si>
  <si>
    <t>Schaden für Digit. Stabil, Rest. nach Digit.</t>
  </si>
  <si>
    <t>Hülse (nach der Rest., Buch öffnet sich so besser)</t>
  </si>
  <si>
    <t>L-1473-31549848X</t>
  </si>
  <si>
    <t>1066968225</t>
  </si>
  <si>
    <t>II 66,2a</t>
  </si>
  <si>
    <t xml:space="preserve">Opus restitutionum, usurarum, excommunicationum : </t>
  </si>
  <si>
    <t>x, wird nicht rest., Fotos zu Dokumentationszwecken</t>
  </si>
  <si>
    <t>L-1479-315497939</t>
  </si>
  <si>
    <t>1066967679</t>
  </si>
  <si>
    <t>II 66,3a</t>
  </si>
  <si>
    <t xml:space="preserve">Corpus iuris civilis. Digestum novum : </t>
  </si>
  <si>
    <t>L-1486-327679239</t>
  </si>
  <si>
    <t>107237840X</t>
  </si>
  <si>
    <t>II 66,4a</t>
  </si>
  <si>
    <t xml:space="preserve">De latitudinibus formarum : </t>
  </si>
  <si>
    <t>L-1475-326906487</t>
  </si>
  <si>
    <t>1072106345</t>
  </si>
  <si>
    <t>II 67,1a</t>
  </si>
  <si>
    <t xml:space="preserve">Homiliae in Evangelia : </t>
  </si>
  <si>
    <t>L-1494-326906622</t>
  </si>
  <si>
    <t>1072106558</t>
  </si>
  <si>
    <t>II 67,2a</t>
  </si>
  <si>
    <t xml:space="preserve">De anima : </t>
  </si>
  <si>
    <t>L-1499-315496053</t>
  </si>
  <si>
    <t>1066965803</t>
  </si>
  <si>
    <t>II 67,4a</t>
  </si>
  <si>
    <t xml:space="preserve">De virtute Psalmorum : </t>
  </si>
  <si>
    <t>L-1480-32690672X</t>
  </si>
  <si>
    <t>1072106795</t>
  </si>
  <si>
    <t>II 67,6a</t>
  </si>
  <si>
    <t xml:space="preserve">Summa in virtutes cardinales : </t>
  </si>
  <si>
    <t>L-1499-315496223</t>
  </si>
  <si>
    <t>1066965935</t>
  </si>
  <si>
    <t>II 67,7a</t>
  </si>
  <si>
    <t>L-1493-315495367</t>
  </si>
  <si>
    <t>1066965218</t>
  </si>
  <si>
    <t>II 67,10a</t>
  </si>
  <si>
    <t xml:space="preserve">Alphabetum divini amoris : </t>
  </si>
  <si>
    <t>L-1493-32767928X</t>
  </si>
  <si>
    <t>1072378566</t>
  </si>
  <si>
    <t>II 67,10b</t>
  </si>
  <si>
    <t xml:space="preserve">De vita spirituali animae : </t>
  </si>
  <si>
    <t>L-1475-327679387</t>
  </si>
  <si>
    <t>1072378760</t>
  </si>
  <si>
    <t>II 67,11a</t>
  </si>
  <si>
    <t xml:space="preserve">Epistolae ad Lucilium : </t>
  </si>
  <si>
    <t>Kapsel</t>
  </si>
  <si>
    <t>L-1481-315501057</t>
  </si>
  <si>
    <t>106697070X</t>
  </si>
  <si>
    <t>II 68,1a</t>
  </si>
  <si>
    <t xml:space="preserve">Quaestiones super tota philosophia naturali : </t>
  </si>
  <si>
    <t>Schrift bis in den Falz, stark brüchiges Einbandmaterial</t>
  </si>
  <si>
    <t xml:space="preserve">
DL erklären, dass es bröseln wird und Gelenk ws. komplett bricht und das das in diesem Fall ok. Ist.</t>
  </si>
  <si>
    <t>Buch lässt sich im kaputten Zustand besser öffnen und außerdem ist Leder extrem brüchig, daher Rest. Nachher</t>
  </si>
  <si>
    <t>L-1482-343708523</t>
  </si>
  <si>
    <t>1079560041</t>
  </si>
  <si>
    <t>II 68,1b</t>
  </si>
  <si>
    <t xml:space="preserve">Expositio logicae : </t>
  </si>
  <si>
    <t>hohler Rücken, stark brüchiges Einbandmaterial, Schrift bis in den Falz</t>
  </si>
  <si>
    <t>x Teilhülse, nicht rausgeben!!</t>
  </si>
  <si>
    <t>L-1481-326907726</t>
  </si>
  <si>
    <t>1072108216</t>
  </si>
  <si>
    <t>II 69,1a</t>
  </si>
  <si>
    <t>welliger Buchblock, stark brüchiges Einbandmaterial</t>
  </si>
  <si>
    <t>Rücken fehlt</t>
  </si>
  <si>
    <t>L-1498-315495375</t>
  </si>
  <si>
    <t>1066965226</t>
  </si>
  <si>
    <t>II 69,2a</t>
  </si>
  <si>
    <t xml:space="preserve">Super feudis : </t>
  </si>
  <si>
    <t>Riss im Rücken mit JP-Gewebe-Laminat unterlegen, Titelschilder fixieren, Schließenriemen unten spalten und dünnes Pergament einziehen, anschießend Kanten ggf. mit JP einfassen/überfangen</t>
  </si>
  <si>
    <t>L-1484-327679522</t>
  </si>
  <si>
    <t>1072378957</t>
  </si>
  <si>
    <t>II 69,3a</t>
  </si>
  <si>
    <t xml:space="preserve">De iure emphyteutico (Cod. 4,66) : </t>
  </si>
  <si>
    <t>Fehlstellen im Rücken mit JP schließen, Gewebe fixieren</t>
  </si>
  <si>
    <t>lose Vorsatzblätter mittel JP-Falz befestigen</t>
  </si>
  <si>
    <t>L-1498-326910484</t>
  </si>
  <si>
    <t>1072111624</t>
  </si>
  <si>
    <t>II 70,1a</t>
  </si>
  <si>
    <t xml:space="preserve">Repetitiones et disputationes : </t>
  </si>
  <si>
    <t>9000,00 EUR</t>
  </si>
  <si>
    <t>Gelenk hinten vollständig durchtrennen, Hülse, Gelenke mit JP überfangen</t>
  </si>
  <si>
    <t>L-1485-326910751</t>
  </si>
  <si>
    <t>1072112019</t>
  </si>
  <si>
    <t>II 72,1a</t>
  </si>
  <si>
    <t xml:space="preserve">Carmina differentialia : </t>
  </si>
  <si>
    <t>Schrift bis in den Falz, hohler Rücken</t>
  </si>
  <si>
    <t>L-1481-315497114</t>
  </si>
  <si>
    <t>1066966818</t>
  </si>
  <si>
    <t>II 74,1a</t>
  </si>
  <si>
    <t xml:space="preserve">Genealogiae deorum : </t>
  </si>
  <si>
    <t>fester Rücken mit Schmuckprägung, stark brüchiges Einbandmaterial, welliger Buchblock</t>
  </si>
  <si>
    <t>Gelenke hauptsächlich mit JP überkleben, außer hinten unten: dort unterlegen mit JP, Rücken am Fuß mit JP sichern</t>
  </si>
  <si>
    <t>L-1494-315495693</t>
  </si>
  <si>
    <t>1066965455</t>
  </si>
  <si>
    <t>II 74,2a</t>
  </si>
  <si>
    <t>Historia Romana : P. 2</t>
  </si>
  <si>
    <t>L-1498-315497718</t>
  </si>
  <si>
    <t>1066967458</t>
  </si>
  <si>
    <t>II 74,3a</t>
  </si>
  <si>
    <t xml:space="preserve">De natura deorum : </t>
  </si>
  <si>
    <t>L-1470-320163695</t>
  </si>
  <si>
    <t>1069014885</t>
  </si>
  <si>
    <t>II 75,1b - 1</t>
  </si>
  <si>
    <t>Epistolae</t>
  </si>
  <si>
    <t xml:space="preserve">1. : </t>
  </si>
  <si>
    <t>Umschlag (kein roter Zerfall, aber Leder sehr krümelig)</t>
  </si>
  <si>
    <t>Leder fixieren</t>
  </si>
  <si>
    <t>L-1470-320163733</t>
  </si>
  <si>
    <t>106901494X</t>
  </si>
  <si>
    <t>II 75,1b - 2</t>
  </si>
  <si>
    <t xml:space="preserve">2. : </t>
  </si>
  <si>
    <t>L-1472-473334682</t>
  </si>
  <si>
    <t>1171730640</t>
  </si>
  <si>
    <t>II 75,1e</t>
  </si>
  <si>
    <t xml:space="preserve">Pars 2. : </t>
  </si>
  <si>
    <t>17000,00 EUR</t>
  </si>
  <si>
    <t>mit Stephanie besprechen, ws. ca. 5 Initialen zum Festigen (muss genauer angeschaut werden)</t>
  </si>
  <si>
    <t>ws. ca. 5 pudernde Initialen, Aufwand reell ws. max. 5 Std. (hier 40 wegen Besprechen mit Stephanie)</t>
  </si>
  <si>
    <t>L-1476-315502517</t>
  </si>
  <si>
    <t>1066972095</t>
  </si>
  <si>
    <t>II 75,2e</t>
  </si>
  <si>
    <t xml:space="preserve">Oratio lamentabilis ad Papam Sixtum IV. : </t>
  </si>
  <si>
    <t>L-1495-326993355</t>
  </si>
  <si>
    <t>1072153890</t>
  </si>
  <si>
    <t>II 76,1a</t>
  </si>
  <si>
    <t xml:space="preserve">Historia Romana : </t>
  </si>
  <si>
    <t>L-1492-326993479</t>
  </si>
  <si>
    <t>1072153998</t>
  </si>
  <si>
    <t>II 80,1a</t>
  </si>
  <si>
    <t xml:space="preserve">Anterotica sive De amoris generibus : </t>
  </si>
  <si>
    <t>L-1476-326993541</t>
  </si>
  <si>
    <t>1072154080</t>
  </si>
  <si>
    <t>II 80,2a</t>
  </si>
  <si>
    <t xml:space="preserve">Super primum sententiarum : </t>
  </si>
  <si>
    <t>L-1477-326993959</t>
  </si>
  <si>
    <t>1072154773</t>
  </si>
  <si>
    <t>II 80,3a</t>
  </si>
  <si>
    <t xml:space="preserve">Commentarius in secundum librum Sententiarum Petri Lombardi : </t>
  </si>
  <si>
    <t>L-1480-326998527</t>
  </si>
  <si>
    <t>1072161362</t>
  </si>
  <si>
    <t>II 80,5a</t>
  </si>
  <si>
    <t xml:space="preserve">Antiquitates Romanae : </t>
  </si>
  <si>
    <t>II 80,5a - Einband</t>
  </si>
  <si>
    <t>L-1480-326998683</t>
  </si>
  <si>
    <t>1072161729</t>
  </si>
  <si>
    <t>II 80,6a</t>
  </si>
  <si>
    <t xml:space="preserve">Institutiones oratoriae : </t>
  </si>
  <si>
    <t>L-1470-326999035</t>
  </si>
  <si>
    <t>1072162407</t>
  </si>
  <si>
    <t>II 82,1 c</t>
  </si>
  <si>
    <t xml:space="preserve">De coniuratione Catilinae. De bello Iugurthino : </t>
  </si>
  <si>
    <t>L-1470-326998888</t>
  </si>
  <si>
    <t>1072162032</t>
  </si>
  <si>
    <t>II 82,1b</t>
  </si>
  <si>
    <t xml:space="preserve">Satirae : </t>
  </si>
  <si>
    <t>L-1472-315497645</t>
  </si>
  <si>
    <t>1066967393</t>
  </si>
  <si>
    <t>II 82,1e</t>
  </si>
  <si>
    <t>Sermones quadragesimales de poenitentia. Sermo in festo annuntiationis virginis Mariae Ne timeas Maria ... . Sermo de praedestinatorum numero et damna</t>
  </si>
  <si>
    <t>L-1471-315496428</t>
  </si>
  <si>
    <t>1066966125</t>
  </si>
  <si>
    <t>II 82,1g (I)</t>
  </si>
  <si>
    <t xml:space="preserve">Super prima parte Codicis : </t>
  </si>
  <si>
    <t>L-1471-315496436</t>
  </si>
  <si>
    <t>1066966133</t>
  </si>
  <si>
    <t>II 82,1g (II)</t>
  </si>
  <si>
    <t xml:space="preserve">Super secunda parte Codicis : </t>
  </si>
  <si>
    <t>L-1476-315501669</t>
  </si>
  <si>
    <t>1066971307</t>
  </si>
  <si>
    <t>II 82,2 c</t>
  </si>
  <si>
    <t>II 82,2c</t>
  </si>
  <si>
    <t xml:space="preserve">De proprietate latini sermonis : </t>
  </si>
  <si>
    <t>Kassette im Schuber</t>
  </si>
  <si>
    <t>L-1477-315495669</t>
  </si>
  <si>
    <t>1173179313</t>
  </si>
  <si>
    <t>II 82,2d</t>
  </si>
  <si>
    <t>Summa theologica, P. 1-4</t>
  </si>
  <si>
    <t>2. : Pars 2</t>
  </si>
  <si>
    <t>L-1478-315499842</t>
  </si>
  <si>
    <t>1066969515</t>
  </si>
  <si>
    <t>II 82,2e</t>
  </si>
  <si>
    <t xml:space="preserve">Digestum vetus : </t>
  </si>
  <si>
    <t>L-1478-31549641X</t>
  </si>
  <si>
    <t>1066966117</t>
  </si>
  <si>
    <t>II 82,2f - 1</t>
  </si>
  <si>
    <t>II 82,2f  - 1</t>
  </si>
  <si>
    <t>II 82,2f</t>
  </si>
  <si>
    <t xml:space="preserve">Super I. parte Infortiati : </t>
  </si>
  <si>
    <t>L-1478-343708906</t>
  </si>
  <si>
    <t>1079560564</t>
  </si>
  <si>
    <t>II 82,2f - 2</t>
  </si>
  <si>
    <t>II 82,2f (angebunden)</t>
  </si>
  <si>
    <t xml:space="preserve">Super II. parte Infortiati : </t>
  </si>
  <si>
    <t>L-1471-327006366</t>
  </si>
  <si>
    <t>1072170264</t>
  </si>
  <si>
    <t>II 82,3a</t>
  </si>
  <si>
    <t xml:space="preserve">Commentarium in Vergilii opera : </t>
  </si>
  <si>
    <t>L-1476-315501278</t>
  </si>
  <si>
    <t>1066970912</t>
  </si>
  <si>
    <t>II 82,4b</t>
  </si>
  <si>
    <t>L-1482-315494972</t>
  </si>
  <si>
    <t>1066964793</t>
  </si>
  <si>
    <t>II 82,4c</t>
  </si>
  <si>
    <t>18000,00 EUR</t>
  </si>
  <si>
    <t xml:space="preserve">3 Bd. Jeweils Einzeln in e. Kassette </t>
  </si>
  <si>
    <t xml:space="preserve">
Buch hat kaputte Gelenke, öffnet sich aber so besser, DL erklären, dass es weiter kaputt gehen kann und in diesem Fall ok ist. Wird nachher rest.</t>
  </si>
  <si>
    <t>L-1479-315497696</t>
  </si>
  <si>
    <t>1066967431</t>
  </si>
  <si>
    <t>II 82,5a</t>
  </si>
  <si>
    <t xml:space="preserve">De inventione sive Rhetorica vetus : </t>
  </si>
  <si>
    <t>Buchrückenteile extra in Sammelbox</t>
  </si>
  <si>
    <t>L-1476-315495723</t>
  </si>
  <si>
    <t>106696548X</t>
  </si>
  <si>
    <t>II 82,6a</t>
  </si>
  <si>
    <t xml:space="preserve">De animalibus : </t>
  </si>
  <si>
    <t>L-9999-414838785</t>
  </si>
  <si>
    <t>1138321850</t>
  </si>
  <si>
    <t>II 82,7 h</t>
  </si>
  <si>
    <t>Schaden ist stabil genug</t>
  </si>
  <si>
    <t>x 110</t>
  </si>
  <si>
    <t xml:space="preserve">
Pg., beschädigt, koloriert</t>
  </si>
  <si>
    <t>L-1468-315501197</t>
  </si>
  <si>
    <t>1066970831</t>
  </si>
  <si>
    <t>II 82,7b</t>
  </si>
  <si>
    <t xml:space="preserve">
mit saurem Füllmaterial</t>
  </si>
  <si>
    <t>L-1483-327015608</t>
  </si>
  <si>
    <t>1066968098</t>
  </si>
  <si>
    <t>II 82,7d</t>
  </si>
  <si>
    <t xml:space="preserve">Chronicon : </t>
  </si>
  <si>
    <t>VD/RD</t>
  </si>
  <si>
    <t xml:space="preserve">Kanten stabilisieren und ggf. mit JP einfassen (Form beigehalten), Gelenk schließen, </t>
  </si>
  <si>
    <t>L-1483-315501162</t>
  </si>
  <si>
    <t>1066970807</t>
  </si>
  <si>
    <t>II 82,7 e</t>
  </si>
  <si>
    <t>II 82,7e</t>
  </si>
  <si>
    <t xml:space="preserve">Buch der zehn Gebote : </t>
  </si>
  <si>
    <t>L-1485-315498447</t>
  </si>
  <si>
    <t>1066968179</t>
  </si>
  <si>
    <t>II 82,7f</t>
  </si>
  <si>
    <t xml:space="preserve">Opusculum repertorii prognosticon in mutationes aeris : </t>
  </si>
  <si>
    <t>L-1480-315499982</t>
  </si>
  <si>
    <t>1066969655</t>
  </si>
  <si>
    <t>II 82,7g</t>
  </si>
  <si>
    <t xml:space="preserve">De urbis Collosensis obsidione a. 1480 a Turcis tentata : </t>
  </si>
  <si>
    <t xml:space="preserve">
mit saurem Füllmaterial, Gelenk vorn gebrochen</t>
  </si>
  <si>
    <t>L-1476-315498021</t>
  </si>
  <si>
    <t>1066967768</t>
  </si>
  <si>
    <t>II 82,9a</t>
  </si>
  <si>
    <t xml:space="preserve">Bibliothecae historicae libri VI : </t>
  </si>
  <si>
    <t xml:space="preserve">
Gelenke kaputt</t>
  </si>
  <si>
    <t>Rücken zusammensetzen, Hülse anbringen und Rest belassen</t>
  </si>
  <si>
    <t>L-1478-315500832</t>
  </si>
  <si>
    <t>1066970475</t>
  </si>
  <si>
    <t>II 82,9b</t>
  </si>
  <si>
    <t>L-1478-315496762</t>
  </si>
  <si>
    <t>1066966478</t>
  </si>
  <si>
    <t>II 82,10 b</t>
  </si>
  <si>
    <t>ws. bei GF</t>
  </si>
  <si>
    <t>L-1480-315498919</t>
  </si>
  <si>
    <t>1066968675</t>
  </si>
  <si>
    <t>II 82,10a</t>
  </si>
  <si>
    <t xml:space="preserve">x </t>
  </si>
  <si>
    <t>Riss im Vorsatzfalz schließen, dabei Heftfaden in richtige Position bringen</t>
  </si>
  <si>
    <t>L-1482-834329506</t>
  </si>
  <si>
    <t>1268947210</t>
  </si>
  <si>
    <t>II 82,11a</t>
  </si>
  <si>
    <t xml:space="preserve">Sammelband mit zwei Inkunabeln, gedruckt in Venedig : </t>
  </si>
  <si>
    <t>Gelenk vorn festigen u. mit JP überfangen</t>
  </si>
  <si>
    <t>L-1480-315498528</t>
  </si>
  <si>
    <t>1066968268</t>
  </si>
  <si>
    <t>II 82,12a</t>
  </si>
  <si>
    <t xml:space="preserve">Grammatica : </t>
  </si>
  <si>
    <t>L-1496-327016809</t>
  </si>
  <si>
    <t>1072183919</t>
  </si>
  <si>
    <t>II 82,13a</t>
  </si>
  <si>
    <t xml:space="preserve">Decisiones  rotae Romanae (I-III) : </t>
  </si>
  <si>
    <t>L-1482-315501308</t>
  </si>
  <si>
    <t>1066970947</t>
  </si>
  <si>
    <t>II 82,14 a</t>
  </si>
  <si>
    <t xml:space="preserve">Missale dominicanum seu ordinis praedicatorum : </t>
  </si>
  <si>
    <t>L-1486-315503114</t>
  </si>
  <si>
    <t>1066972702</t>
  </si>
  <si>
    <t>II 82,15a</t>
  </si>
  <si>
    <t xml:space="preserve">Super primo libro Sententiarum : </t>
  </si>
  <si>
    <t>L-1489-83433187X</t>
  </si>
  <si>
    <t>1268949337</t>
  </si>
  <si>
    <t>II 82,15b</t>
  </si>
  <si>
    <t>Sammelband mit zwei Inkunabeln : zwei Bände der Summa theologiae aus verschiedenen Venediger Offizinen</t>
  </si>
  <si>
    <t>L-2013-303556</t>
  </si>
  <si>
    <t>1032687681</t>
  </si>
  <si>
    <t>II 82,15c</t>
  </si>
  <si>
    <t xml:space="preserve">Flaviano Myrmeico v. c. suo salutem : </t>
  </si>
  <si>
    <t>L-1496-327017139</t>
  </si>
  <si>
    <t>1066968594</t>
  </si>
  <si>
    <t>II 82,16 a</t>
  </si>
  <si>
    <t>L-1497-315498404</t>
  </si>
  <si>
    <t>1066968136</t>
  </si>
  <si>
    <t>II 82,16 b</t>
  </si>
  <si>
    <t xml:space="preserve">Commentarius in Institutiones : </t>
  </si>
  <si>
    <t>L-1496-315498846</t>
  </si>
  <si>
    <t>II 82,16ab - Fragm.</t>
  </si>
  <si>
    <t>oE</t>
  </si>
  <si>
    <t xml:space="preserve">
zumindest im ungebundenen Zustand</t>
  </si>
  <si>
    <t>mit Stephanie besprechen, ohne Einband, teils lose Lagen, zum Digit. Belassen und nur lose Blätter am Rand rest., nach der Digit. Restaurieren??</t>
  </si>
  <si>
    <t>vor der Digit. Nur das Nötigste: an losen Seiten die Blattränder bearbeiten, sonst belassen</t>
  </si>
  <si>
    <t>L-1481-31549851X</t>
  </si>
  <si>
    <t>106696825X</t>
  </si>
  <si>
    <t>II 82,17 a</t>
  </si>
  <si>
    <t xml:space="preserve">Lectura super Clementinis : </t>
  </si>
  <si>
    <t>Titelschild sichern, Gewebe wirklich zurückkleben? (wegen Buntpapier)</t>
  </si>
  <si>
    <t>L-1481-315499125</t>
  </si>
  <si>
    <t>1066968853</t>
  </si>
  <si>
    <t>II 82,17 b</t>
  </si>
  <si>
    <t>16490,00 EUR</t>
  </si>
  <si>
    <t>Kapitalfäden fixieren, Rücken unten mit JP ergänzen, loses Leder zurückkleben, Deckelecke hinten unten mit Paste ergänzen und loses Material zurückkleben</t>
  </si>
  <si>
    <t>L-1481-315503130</t>
  </si>
  <si>
    <t>1066972737</t>
  </si>
  <si>
    <t>II 82,17c</t>
  </si>
  <si>
    <t>L-1481-315499052</t>
  </si>
  <si>
    <t>1066968780</t>
  </si>
  <si>
    <t>II 82,17d</t>
  </si>
  <si>
    <t>Erfurter Einband</t>
  </si>
  <si>
    <t>Gelenke mit JP stabilisieren, Leder zurückkleben</t>
  </si>
  <si>
    <t>L-1481-315498137</t>
  </si>
  <si>
    <t>1066967881</t>
  </si>
  <si>
    <t>II 82,17e</t>
  </si>
  <si>
    <t xml:space="preserve">Quodlibeta : </t>
  </si>
  <si>
    <t>L-1483-457263547</t>
  </si>
  <si>
    <t>1164536214</t>
  </si>
  <si>
    <t>II 82,18a</t>
  </si>
  <si>
    <t>Opera, lat.</t>
  </si>
  <si>
    <t>P. 3,1 : Metaphysica</t>
  </si>
  <si>
    <t>L-1483-457263660</t>
  </si>
  <si>
    <t>1164536303</t>
  </si>
  <si>
    <t>P. 3,2 : Ethica ad Nicomachum. Politica. Oeconomica</t>
  </si>
  <si>
    <t>L-1486-315502363</t>
  </si>
  <si>
    <t>1066971951</t>
  </si>
  <si>
    <t>II 82,19a</t>
  </si>
  <si>
    <t xml:space="preserve">Pantheologia sive Summa universae theologiae : </t>
  </si>
  <si>
    <t>2200,00 EUR</t>
  </si>
  <si>
    <t>nach Rest. festlegen</t>
  </si>
  <si>
    <t>Rückeneinlage furchtbar dick und steif --&gt; Rest.maßnahme sehr gut überlegen</t>
  </si>
  <si>
    <t>x ? (noch festlegen)</t>
  </si>
  <si>
    <t>evtl. ist Hülse eine Lösung, die den Rücken wenigstens am Buch hält --&gt; über max.ÖW nach Anbringen der Hülse entscheiden</t>
  </si>
  <si>
    <t>II 82,19b</t>
  </si>
  <si>
    <t>L-1485-315497599</t>
  </si>
  <si>
    <t>1066967342</t>
  </si>
  <si>
    <t>II 82,20a</t>
  </si>
  <si>
    <t>L-1486-315503084</t>
  </si>
  <si>
    <t>1066972664</t>
  </si>
  <si>
    <t>II 82,21a</t>
  </si>
  <si>
    <t>Summa theologiae : P. 3</t>
  </si>
  <si>
    <t xml:space="preserve">
Erfurter Einband</t>
  </si>
  <si>
    <t>Erfurter Einband, leider völlig überarbeitet/überformt</t>
  </si>
  <si>
    <t>lose schließe anbringen</t>
  </si>
  <si>
    <t>L-1494-315502258</t>
  </si>
  <si>
    <t>1066971854</t>
  </si>
  <si>
    <t>II 82,23a</t>
  </si>
  <si>
    <t xml:space="preserve">
hat "Steckschließe" (Pergamentriemchen und Holzstift)</t>
  </si>
  <si>
    <t>L-1497-315502037</t>
  </si>
  <si>
    <t>106697165X</t>
  </si>
  <si>
    <t>II 82,24a</t>
  </si>
  <si>
    <t xml:space="preserve">Historia naturalis : </t>
  </si>
  <si>
    <t>L-1492-315499907</t>
  </si>
  <si>
    <t>1066969582</t>
  </si>
  <si>
    <t>II 82,24b</t>
  </si>
  <si>
    <t xml:space="preserve">Orationes et epistolae : </t>
  </si>
  <si>
    <t xml:space="preserve">
mit Schließe (Klemm-)</t>
  </si>
  <si>
    <t>L-1483-315499818</t>
  </si>
  <si>
    <t>1066969485</t>
  </si>
  <si>
    <t>II 82,25a</t>
  </si>
  <si>
    <t>3400,00 EUR</t>
  </si>
  <si>
    <t>K/I/R</t>
  </si>
  <si>
    <t>sehr steife Rückeneinlage, reicht Hülse und Fragmente sichern? Oder Gelenke mit Gewebe unterlegen? Genauer Bedenken! Wenn Gelenke unterlegt werden mind. 3 Std., wenn Hülse reichen würde und nur Fragmente gesichert werden 1 Std.</t>
  </si>
  <si>
    <t>L-1495-315496274</t>
  </si>
  <si>
    <t>1066965978</t>
  </si>
  <si>
    <t>II 82,26a</t>
  </si>
  <si>
    <t xml:space="preserve">Summa casuum conscientiae : </t>
  </si>
  <si>
    <t xml:space="preserve">
Gewebeeinband</t>
  </si>
  <si>
    <t>L-1489-315495960</t>
  </si>
  <si>
    <t>1066965730</t>
  </si>
  <si>
    <t>II 82,27a</t>
  </si>
  <si>
    <t>L-1489-315496878</t>
  </si>
  <si>
    <t>1066966575</t>
  </si>
  <si>
    <t>II 82,27b</t>
  </si>
  <si>
    <t>L-1493-315503351</t>
  </si>
  <si>
    <t>1066972974</t>
  </si>
  <si>
    <t>II 82,27c</t>
  </si>
  <si>
    <t>5577,00 EUR</t>
  </si>
  <si>
    <t>x max 110</t>
  </si>
  <si>
    <t>nur loses Leder fixieren und Ecken stabilisieren, Gelenk belassen (ist stabil)</t>
  </si>
  <si>
    <t>L-1490-315501073</t>
  </si>
  <si>
    <t>1066970726</t>
  </si>
  <si>
    <t>II 82,28a</t>
  </si>
  <si>
    <t xml:space="preserve">De priscorum proprietate verborum : </t>
  </si>
  <si>
    <t>L-1477-315497920</t>
  </si>
  <si>
    <t>1066967660</t>
  </si>
  <si>
    <t>II 82,28 b</t>
  </si>
  <si>
    <t>II 82,28b</t>
  </si>
  <si>
    <t xml:space="preserve">Corpus iuris civilis. Digesta Iustiniani. Infortiatum : </t>
  </si>
  <si>
    <t>L-1487-31549770X</t>
  </si>
  <si>
    <t>106696744X</t>
  </si>
  <si>
    <t>II 82,29a</t>
  </si>
  <si>
    <t>L-1487-315497726</t>
  </si>
  <si>
    <t>1066967466</t>
  </si>
  <si>
    <t>II 82,29b</t>
  </si>
  <si>
    <t xml:space="preserve">De officiis : </t>
  </si>
  <si>
    <t>L-1489-834331055</t>
  </si>
  <si>
    <t>1268948691</t>
  </si>
  <si>
    <t>II 82,30a</t>
  </si>
  <si>
    <t xml:space="preserve">Sammelband mit drei Inkunabeln, gedruckt in Venedig von Paganinus de Paganinis : </t>
  </si>
  <si>
    <t>L-1496-343709120</t>
  </si>
  <si>
    <t>1066971919</t>
  </si>
  <si>
    <t>II 82,31a - Fragm.</t>
  </si>
  <si>
    <t xml:space="preserve">Epitoma in Almagestum Ptolemaei : </t>
  </si>
  <si>
    <t>L-1491-315502010</t>
  </si>
  <si>
    <t>1066971633</t>
  </si>
  <si>
    <t>II 82,32a</t>
  </si>
  <si>
    <t xml:space="preserve">Opera, lat. : </t>
  </si>
  <si>
    <t>L-1490-834322595</t>
  </si>
  <si>
    <t>1268940860</t>
  </si>
  <si>
    <t>II 82,33 b</t>
  </si>
  <si>
    <t xml:space="preserve">
Neueinband</t>
  </si>
  <si>
    <t>L-1496-327017562</t>
  </si>
  <si>
    <t>1072184923</t>
  </si>
  <si>
    <t>II 82,34a</t>
  </si>
  <si>
    <t>L-1497-315498048</t>
  </si>
  <si>
    <t>1066967776</t>
  </si>
  <si>
    <t>II 82,34c</t>
  </si>
  <si>
    <t xml:space="preserve">Vitae et sententiae philosophorum : </t>
  </si>
  <si>
    <t xml:space="preserve">
ÖW nach Rest. ggf. überdenken</t>
  </si>
  <si>
    <t>Hülse sollte aus jetziger Sicht reichen</t>
  </si>
  <si>
    <t>L-1491-315501189</t>
  </si>
  <si>
    <t>1066970823</t>
  </si>
  <si>
    <t>II 82,34d</t>
  </si>
  <si>
    <t>L-1495-834321718</t>
  </si>
  <si>
    <t>1268940054</t>
  </si>
  <si>
    <t>II 82,36a</t>
  </si>
  <si>
    <t>Erfurter Einband, leider überarbeitet</t>
  </si>
  <si>
    <t>L-1496-315497521</t>
  </si>
  <si>
    <t>1066967261</t>
  </si>
  <si>
    <t>II 82,36b</t>
  </si>
  <si>
    <t xml:space="preserve">Corona aurea : </t>
  </si>
  <si>
    <t>beiliegende Makulatur/Einbandreste besser versorgen, Gefahr des Verlorengehens</t>
  </si>
  <si>
    <t>L-1499-327680911</t>
  </si>
  <si>
    <t>1072381877</t>
  </si>
  <si>
    <t>II 82,36c</t>
  </si>
  <si>
    <t xml:space="preserve">Tristia : </t>
  </si>
  <si>
    <t>L-1497-31549798X</t>
  </si>
  <si>
    <t>1066967725</t>
  </si>
  <si>
    <t>II 82,37b</t>
  </si>
  <si>
    <t xml:space="preserve">La @Commedia : </t>
  </si>
  <si>
    <t>x 45</t>
  </si>
  <si>
    <t xml:space="preserve">
ist beschädigt</t>
  </si>
  <si>
    <t>L-1498-315502495</t>
  </si>
  <si>
    <t>1066972079</t>
  </si>
  <si>
    <t>II 82,38a</t>
  </si>
  <si>
    <t xml:space="preserve">Enneades ab orbe condito : </t>
  </si>
  <si>
    <t>L-1497-315765119</t>
  </si>
  <si>
    <t>106707564X</t>
  </si>
  <si>
    <t>II 82,39a</t>
  </si>
  <si>
    <t xml:space="preserve">Opera </t>
  </si>
  <si>
    <t>Pt. 4 :  [Enth. außerdem: Werke von Theophrastus und Alexander &lt;Aphrodisiensis&gt;]</t>
  </si>
  <si>
    <t>L-1497-834346338</t>
  </si>
  <si>
    <t>126896333X</t>
  </si>
  <si>
    <t>II 82,38b</t>
  </si>
  <si>
    <t>II 82,39b; II 82,38b</t>
  </si>
  <si>
    <t>L-1499-315496290</t>
  </si>
  <si>
    <t>1066965994</t>
  </si>
  <si>
    <t>II 82,40a</t>
  </si>
  <si>
    <t xml:space="preserve">Parthenice prima sive Mariana : </t>
  </si>
  <si>
    <t>L-1500-315498412</t>
  </si>
  <si>
    <t>1066968144</t>
  </si>
  <si>
    <t>II 82,41a</t>
  </si>
  <si>
    <t xml:space="preserve">De Christiana religione : </t>
  </si>
  <si>
    <t>L-1491-834322900</t>
  </si>
  <si>
    <t>1268941085</t>
  </si>
  <si>
    <t>II 82,42a</t>
  </si>
  <si>
    <t>Einbandfragment in Wellpappbox daneben</t>
  </si>
  <si>
    <t>L-1485-31550093X</t>
  </si>
  <si>
    <t>1066970572</t>
  </si>
  <si>
    <t>II 82,43a</t>
  </si>
  <si>
    <t xml:space="preserve">
entgültig nach Rest. festlegen</t>
  </si>
  <si>
    <t>Rücken durch JP-Gewebe-Laminat unterstützen (Leder trägt ws. zu sehr auf), Schließe richten</t>
  </si>
  <si>
    <t>L-1480-315501421</t>
  </si>
  <si>
    <t>1066971064</t>
  </si>
  <si>
    <t>II 82,44</t>
  </si>
  <si>
    <t>L-1480-315500697</t>
  </si>
  <si>
    <t>1066970343</t>
  </si>
  <si>
    <t>II 83,1a</t>
  </si>
  <si>
    <t xml:space="preserve">De bello Judaico : </t>
  </si>
  <si>
    <t>L-1480-315500689</t>
  </si>
  <si>
    <t>II 83,1b</t>
  </si>
  <si>
    <t>L-1481-315497092</t>
  </si>
  <si>
    <t>1066966796</t>
  </si>
  <si>
    <t>II 83,2a</t>
  </si>
  <si>
    <t>II 83,2a - 1</t>
  </si>
  <si>
    <t xml:space="preserve">Roma instaurata : </t>
  </si>
  <si>
    <t>x historisch?</t>
  </si>
  <si>
    <t>Schuber defekt</t>
  </si>
  <si>
    <t xml:space="preserve">
mit hist.(?) Schuber</t>
  </si>
  <si>
    <t>II 83,2a - 2</t>
  </si>
  <si>
    <t>L-1477-315495677</t>
  </si>
  <si>
    <t>1066965439</t>
  </si>
  <si>
    <t>II 84,1a</t>
  </si>
  <si>
    <t xml:space="preserve">Quaestiones super duodecim libros Metaphysicae Aristotelis : </t>
  </si>
  <si>
    <t xml:space="preserve">
berührunugsfrei</t>
  </si>
  <si>
    <t>L-1479-327681535</t>
  </si>
  <si>
    <t>1072382814</t>
  </si>
  <si>
    <t>II 84,1b</t>
  </si>
  <si>
    <t xml:space="preserve">In epistolas ad familiares Ciceronis commentum : </t>
  </si>
  <si>
    <t>L-1476-327020814</t>
  </si>
  <si>
    <t>107218866X</t>
  </si>
  <si>
    <t>II 84,2a</t>
  </si>
  <si>
    <t xml:space="preserve">Oratio in funere Bartholomaei Colei : </t>
  </si>
  <si>
    <t>Br</t>
  </si>
  <si>
    <t>L-1476-327155663</t>
  </si>
  <si>
    <t>1072254964</t>
  </si>
  <si>
    <t>II 84,2b</t>
  </si>
  <si>
    <t xml:space="preserve">Commentum in Ciceronis Oratorem : </t>
  </si>
  <si>
    <t>bröseliges Leder Gelenk vorn oben sichern, Rest belassen</t>
  </si>
  <si>
    <t>L-1475-327156120</t>
  </si>
  <si>
    <t>1072255812</t>
  </si>
  <si>
    <t>II 84,2c</t>
  </si>
  <si>
    <t>L-1479-327021136</t>
  </si>
  <si>
    <t>1072189011</t>
  </si>
  <si>
    <t>II 84,3a</t>
  </si>
  <si>
    <t xml:space="preserve">De orthographia dictionum e Graecis tractarum : </t>
  </si>
  <si>
    <t>Fragmente des Klemmeinbandes werden extra in Wellpappbox daneben aufbewahrt</t>
  </si>
  <si>
    <t xml:space="preserve">
neigt zum Bauch, Einband separat</t>
  </si>
  <si>
    <t>L-1488-315495707</t>
  </si>
  <si>
    <t>1066965463</t>
  </si>
  <si>
    <t>II 84,4a</t>
  </si>
  <si>
    <t>L-1478-327021756</t>
  </si>
  <si>
    <t>107218981X</t>
  </si>
  <si>
    <t>II 85,1a - Fragm.</t>
  </si>
  <si>
    <t xml:space="preserve">De astrolabio canones : </t>
  </si>
  <si>
    <t>L-1476-834334410</t>
  </si>
  <si>
    <t>1268951471</t>
  </si>
  <si>
    <t>II 63,1a</t>
  </si>
  <si>
    <t>II 85,1b; II 63,1a</t>
  </si>
  <si>
    <t>Schaden ist stabil genug für Digit.</t>
  </si>
  <si>
    <t>x 60</t>
  </si>
  <si>
    <t xml:space="preserve">
Gelenke sind kaputt</t>
  </si>
  <si>
    <t>L-1481-315500433</t>
  </si>
  <si>
    <t>1066970084</t>
  </si>
  <si>
    <t>II 86,1a</t>
  </si>
  <si>
    <t xml:space="preserve">Quaestiones Evangeliorum de tempore et de sanctis : </t>
  </si>
  <si>
    <t>L-1481-315501685</t>
  </si>
  <si>
    <t>1066971315</t>
  </si>
  <si>
    <t>II 86,1b</t>
  </si>
  <si>
    <t xml:space="preserve">Consilia et quaestiones : </t>
  </si>
  <si>
    <t>Schaden in den Gelenken ist stabil genug</t>
  </si>
  <si>
    <t xml:space="preserve">
max 110, Gelenke beschädigt</t>
  </si>
  <si>
    <t>L-1498-327681713</t>
  </si>
  <si>
    <t>107238311X</t>
  </si>
  <si>
    <t>II 86A,1a - Fragm.</t>
  </si>
  <si>
    <t xml:space="preserve">The @Golden Legend : </t>
  </si>
  <si>
    <t>L-1479-315502630</t>
  </si>
  <si>
    <t>1066972214</t>
  </si>
  <si>
    <t>II 87,1 a</t>
  </si>
  <si>
    <t>II 87,1a</t>
  </si>
  <si>
    <t>Gelenke außen stabilisieren, Gelenke innen (Gewebe) belassen (Bünde sind tiptop)</t>
  </si>
  <si>
    <t>L-1486-327682124</t>
  </si>
  <si>
    <t>1072383721</t>
  </si>
  <si>
    <t>II 87,1c</t>
  </si>
  <si>
    <t xml:space="preserve">De consideratione : </t>
  </si>
  <si>
    <t>L-9999-327022485</t>
  </si>
  <si>
    <t>1072190648</t>
  </si>
  <si>
    <t>II 88,1 - Fragm.</t>
  </si>
  <si>
    <t xml:space="preserve">Ars minor : </t>
  </si>
  <si>
    <t>L-1477-315469234</t>
  </si>
  <si>
    <t>1066941572</t>
  </si>
  <si>
    <t>II 90,1a (ÜF / 4. OG: R73A/10/1)</t>
  </si>
  <si>
    <t>II 90,1a</t>
  </si>
  <si>
    <t xml:space="preserve">Konvolut von Inkunabelblättern (Fragmente) : </t>
  </si>
  <si>
    <t>L-1474-375087958</t>
  </si>
  <si>
    <t>1109774656</t>
  </si>
  <si>
    <t>II 90,1a - [1] Fragm.</t>
  </si>
  <si>
    <t>Mappe mit den Fragmenten liegt bei ÜF, alle Fragmente sind bei 180° zu digitalisieren; alle Fragmente (II 90,1a [1]-[24] Fragm.) sind auf Kartons (säurehaltig!!) 31,5x46 montiert</t>
  </si>
  <si>
    <t>L-1477-375088350</t>
  </si>
  <si>
    <t>110977575X</t>
  </si>
  <si>
    <t>II 90,1a - [2] Fragm.</t>
  </si>
  <si>
    <t>L-1477-375088466</t>
  </si>
  <si>
    <t>II 90,1a - [3] Fragm.</t>
  </si>
  <si>
    <t>L-1477-375088474</t>
  </si>
  <si>
    <t>II 90,1a - [4] Fragm.</t>
  </si>
  <si>
    <t>L-1478-375324100</t>
  </si>
  <si>
    <t>1066968020</t>
  </si>
  <si>
    <t>II 90,1a - [5] Fragm.</t>
  </si>
  <si>
    <t>L-1496-375327509</t>
  </si>
  <si>
    <t>1109813201</t>
  </si>
  <si>
    <t>II 90,1a - [6] Fragm.</t>
  </si>
  <si>
    <t>L-1474-375328378</t>
  </si>
  <si>
    <t>II 90,1a - [7] Fragm.</t>
  </si>
  <si>
    <t>L-1498-375329048</t>
  </si>
  <si>
    <t>1109815573</t>
  </si>
  <si>
    <t>II 90,1a - [8] Fragm.</t>
  </si>
  <si>
    <t>L-1498-375329684</t>
  </si>
  <si>
    <t>II 90,1a - [9] Fragm.</t>
  </si>
  <si>
    <t>L-1498-375330437</t>
  </si>
  <si>
    <t>II 90,1a - [10] Fragm.</t>
  </si>
  <si>
    <t>L-1482-375330852</t>
  </si>
  <si>
    <t>1066964505</t>
  </si>
  <si>
    <t>II 90,1a - [11] Fragm.</t>
  </si>
  <si>
    <t>L-1487-375331115</t>
  </si>
  <si>
    <t>1066965390</t>
  </si>
  <si>
    <t>II 90,1a - [12] Fragm.</t>
  </si>
  <si>
    <t>L-1495-375331980</t>
  </si>
  <si>
    <t>110982050X</t>
  </si>
  <si>
    <t>II 90,1a - [13] Fragm.</t>
  </si>
  <si>
    <t>L-1490-375417559</t>
  </si>
  <si>
    <t>1109921993</t>
  </si>
  <si>
    <t>II 90,1a - [14] Fragm.</t>
  </si>
  <si>
    <t>L-1491-375563911</t>
  </si>
  <si>
    <t>1110068220</t>
  </si>
  <si>
    <t>II 90,1a - [15] Fragm.</t>
  </si>
  <si>
    <t>L-1493-375566767</t>
  </si>
  <si>
    <t>1066966613</t>
  </si>
  <si>
    <t>II 90,1a - [16] Fragm.</t>
  </si>
  <si>
    <t>II 90,1a - [17] Fragm.</t>
  </si>
  <si>
    <t>L-1495-375567593</t>
  </si>
  <si>
    <t>II 90,1a - [20] Fragm.</t>
  </si>
  <si>
    <t>L-1489-375567704</t>
  </si>
  <si>
    <t>111007414X</t>
  </si>
  <si>
    <t>II 90,1a - [21] Fragm.</t>
  </si>
  <si>
    <t>L-1489-375567712</t>
  </si>
  <si>
    <t>II 90,1a - [22] Fragm.</t>
  </si>
  <si>
    <t>L-1489-375567720</t>
  </si>
  <si>
    <t>II 90,1a - [23] Fragm.</t>
  </si>
  <si>
    <t>L-1489-375567739</t>
  </si>
  <si>
    <t>II 90,1a - [24] Fragm.</t>
  </si>
  <si>
    <t>Klemmsammlung</t>
  </si>
  <si>
    <t xml:space="preserve"> </t>
  </si>
  <si>
    <t xml:space="preserve">Signaturgruppe II </t>
  </si>
  <si>
    <t>Standorte</t>
  </si>
  <si>
    <t>Normalformate 4. OG R 43-44</t>
  </si>
  <si>
    <t>Großformate 4. OG R 37- 38</t>
  </si>
  <si>
    <t xml:space="preserve">Überformate 4. OG R 73A/10/1 </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</si>
  <si>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</si>
  <si>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</si>
  <si>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</si>
  <si>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</si>
  <si>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</si>
  <si>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</si>
  <si>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</si>
  <si>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</si>
  <si>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"II_Inkunabeln+". Diese worden mit Zebra versehen.</t>
  </si>
  <si>
    <t>zusätzlich Zebra in Signaturspalte eingefügt</t>
  </si>
  <si>
    <t>neue Tabellenblätter in die Mappe eingefügt (Infos zu dieser Mappe, Legende_Thomschke, Schäden_Einband, Schäden_Buchblock)</t>
  </si>
  <si>
    <t>relative Zellbezüge eingefügt (auf II_Inkunabeln+,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</si>
  <si>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</si>
  <si>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</si>
  <si>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</si>
  <si>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</si>
  <si>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</si>
  <si>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</si>
  <si>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</si>
  <si>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</si>
  <si>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</si>
  <si>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</si>
  <si>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</si>
  <si>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HG</t>
  </si>
  <si>
    <t>Holzdeckelband</t>
  </si>
  <si>
    <t>Pg (Mak.)</t>
  </si>
  <si>
    <t>Pergamentband (Makulatur)</t>
  </si>
  <si>
    <t>ohne Einband (ungebunden)</t>
  </si>
  <si>
    <t>EB</t>
  </si>
  <si>
    <t>Einzelblätter</t>
  </si>
  <si>
    <t>Rücken</t>
  </si>
  <si>
    <t>fester Rücken</t>
  </si>
  <si>
    <t>fester Rücken mit Vergoldung</t>
  </si>
  <si>
    <t>hohler Rücken mit Einlage</t>
  </si>
  <si>
    <t>Ausstattung</t>
  </si>
  <si>
    <t>Kolorierung</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</si>
  <si>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</si>
  <si>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</si>
  <si>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</si>
  <si>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</si>
  <si>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</si>
  <si>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</si>
  <si>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</si>
  <si>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</si>
  <si>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</si>
  <si>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</si>
  <si>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VD</t>
  </si>
  <si>
    <t>Vorderdeckel</t>
  </si>
  <si>
    <t>RD</t>
  </si>
  <si>
    <t>Rückdeckel</t>
  </si>
  <si>
    <t>oben</t>
  </si>
  <si>
    <t>unten</t>
  </si>
  <si>
    <t>Datentransferblatt für II Inkunabeln+</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</si>
  <si>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</si>
  <si>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</si>
  <si>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</si>
  <si>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</si>
  <si>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</si>
  <si>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</si>
  <si>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</si>
  <si>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</si>
  <si>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</si>
  <si>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</si>
  <si>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</si>
  <si>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</si>
  <si>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</si>
  <si>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</si>
  <si>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</si>
  <si>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</si>
  <si>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</si>
  <si>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</si>
  <si>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</si>
  <si>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</si>
  <si>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</si>
  <si>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</si>
  <si>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</si>
  <si>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</si>
  <si>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</si>
  <si>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</si>
  <si>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</si>
  <si>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</si>
  <si>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</si>
  <si>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</si>
  <si>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</si>
  <si>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</si>
  <si>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</si>
  <si>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</si>
  <si>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</si>
  <si>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</si>
  <si>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</si>
  <si>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</si>
  <si>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</si>
  <si>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</si>
  <si>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</si>
  <si>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</si>
  <si>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</si>
  <si>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</si>
  <si>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</si>
  <si>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</si>
  <si>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II 1,3r</t>
  </si>
  <si>
    <t>II 18,4b - Einbandfragment</t>
  </si>
  <si>
    <t>II 24,3q - 3</t>
  </si>
  <si>
    <t>II 24,4e - Fragm.</t>
  </si>
  <si>
    <t>II 2,1o</t>
  </si>
  <si>
    <t>II 2,1p</t>
  </si>
  <si>
    <t>II 2,1q</t>
  </si>
  <si>
    <t>II 8,6f</t>
  </si>
  <si>
    <t>II 8,13e</t>
  </si>
  <si>
    <t>II 24,3f kursiv - P1</t>
  </si>
  <si>
    <t>II 30,1a -Vol.1/2</t>
  </si>
  <si>
    <t>II 30,1a -Vol.3/4</t>
  </si>
  <si>
    <t>II 30,1d (an II 30,1c vorgebunden)</t>
  </si>
  <si>
    <t>II 63,1a (daran angebunden ist II 85,1b)</t>
  </si>
  <si>
    <t>II 82,7h</t>
  </si>
  <si>
    <t>II 82,33b</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</si>
  <si>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</si>
  <si>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</si>
  <si>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</si>
  <si>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</si>
  <si>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</si>
  <si>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</si>
  <si>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</si>
  <si>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</si>
  <si>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</si>
  <si>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</si>
  <si>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</si>
  <si>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gefaltete Blätter</t>
  </si>
  <si>
    <t xml:space="preserve">Papierumschlag </t>
  </si>
  <si>
    <t>Einband mit Schutz- oder Stoßkanten</t>
  </si>
  <si>
    <t>Buchblock nicht aufgeschnitten</t>
  </si>
  <si>
    <t>stark brüchiges Papier</t>
  </si>
  <si>
    <t>Folie</t>
  </si>
  <si>
    <t>Buchblock aus Pergament</t>
  </si>
  <si>
    <t>stark brüchiges Einbandmaterial</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</si>
  <si>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</si>
  <si>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</si>
  <si>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</si>
  <si>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</si>
  <si>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</si>
  <si>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</si>
  <si>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</si>
  <si>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</si>
  <si>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</si>
  <si>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</si>
  <si>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</si>
  <si>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</si>
  <si>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</si>
  <si>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</si>
  <si>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</si>
  <si>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</si>
  <si>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nicht verwenden</t>
  </si>
  <si>
    <t>Heftung sichern</t>
  </si>
  <si>
    <t>Kapital sichern</t>
  </si>
  <si>
    <t>Bindung lösen</t>
  </si>
  <si>
    <t>Seiten glätten</t>
  </si>
  <si>
    <t>lose Seiten befestigen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</si>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</sst>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8">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14" fontId="0" fillId="0" borderId="0" xfId="0" applyNumberFormat="1" applyAlignment="1">
      <alignment horizontal="left"/>
    </xf>
    <xf numFmtId="0" fontId="3" fillId="0" borderId="0" xfId="0" applyFont="1"/>
    <xf numFmtId="0" fontId="8" fillId="0" borderId="0" xfId="0" applyFont="1"/>
    <xf numFmtId="0" fontId="9" fillId="0" borderId="0" xfId="0" applyFont="1"/>
    <xf numFmtId="0" fontId="10" fillId="0" borderId="0" xfId="0" applyFont="1" applyAlignment="1">
      <alignment horizontal="left" vertical="top" wrapText="1"/>
    </xf>
    <xf numFmtId="0" fontId="10" fillId="0" borderId="0" xfId="0" applyFont="1" applyAlignment="1">
      <alignment horizontal="left" vertical="top"/>
    </xf>
    <xf numFmtId="0" fontId="2" fillId="0" borderId="0" xfId="0" applyFont="1"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xf numFmtId="0" fontId="0" fillId="0" borderId="12" xfId="0" applyBorder="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Basistabelle" displayName="Basistabelle" ref="A1:DG708">
  <autoFilter ref="A1:DG708"/>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 (in Std.)"/>
    <tableColumn id="111" name="Anmerkungen für die Restaurierung am Buchblock"/>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708"/>
  <sheetViews>
    <sheetView tabSelected="1" topLeftCell="CN1" workbookViewId="0">
      <selection activeCell="DH1" sqref="DH1:DH1048576"/>
    </sheetView>
  </sheetViews>
  <sheetFormatPr baseColWidth="10" defaultColWidth="8.796875" defaultRowHeight="11.4" x14ac:dyDescent="0.2"/>
  <sheetData>
    <row r="1" spans="1:11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row>
    <row r="2" spans="1:111" x14ac:dyDescent="0.2">
      <c r="A2" t="s">
        <v>111</v>
      </c>
      <c r="B2" t="b">
        <v>0</v>
      </c>
      <c r="F2" t="str">
        <f>HYPERLINK("https://portal.dnb.de/opac.htm?method=simpleSearch&amp;cqlMode=true&amp;query=idn%3D", "Portal")</f>
        <v>Portal</v>
      </c>
    </row>
    <row r="3" spans="1:111" x14ac:dyDescent="0.2">
      <c r="A3" t="s">
        <v>111</v>
      </c>
      <c r="B3" t="b">
        <v>0</v>
      </c>
      <c r="F3" t="str">
        <f>HYPERLINK("https://portal.dnb.de/opac.htm?method=simpleSearch&amp;cqlMode=true&amp;query=idn%3D", "Portal")</f>
        <v>Portal</v>
      </c>
      <c r="L3" t="s">
        <v>112</v>
      </c>
      <c r="M3" t="s">
        <v>113</v>
      </c>
      <c r="AI3" t="s">
        <v>114</v>
      </c>
      <c r="BN3">
        <v>0</v>
      </c>
    </row>
    <row r="4" spans="1:111" x14ac:dyDescent="0.2">
      <c r="A4" t="s">
        <v>111</v>
      </c>
      <c r="B4" t="b">
        <v>1</v>
      </c>
      <c r="E4">
        <v>2</v>
      </c>
      <c r="F4" t="str">
        <f>HYPERLINK("https://portal.dnb.de/opac.htm?method=simpleSearch&amp;cqlMode=true&amp;query=idn%3D1066966540", "Portal")</f>
        <v>Portal</v>
      </c>
      <c r="G4" t="s">
        <v>115</v>
      </c>
      <c r="H4" t="s">
        <v>116</v>
      </c>
      <c r="I4" t="s">
        <v>117</v>
      </c>
      <c r="J4" t="s">
        <v>118</v>
      </c>
      <c r="K4" t="s">
        <v>118</v>
      </c>
      <c r="L4" t="s">
        <v>119</v>
      </c>
      <c r="N4" t="s">
        <v>120</v>
      </c>
      <c r="O4" t="s">
        <v>121</v>
      </c>
      <c r="Q4" t="s">
        <v>122</v>
      </c>
      <c r="AA4" t="s">
        <v>123</v>
      </c>
      <c r="AD4" t="s">
        <v>124</v>
      </c>
      <c r="BN4">
        <v>0</v>
      </c>
    </row>
    <row r="5" spans="1:111" x14ac:dyDescent="0.2">
      <c r="A5" t="s">
        <v>111</v>
      </c>
      <c r="B5" t="b">
        <v>1</v>
      </c>
      <c r="E5">
        <v>3</v>
      </c>
      <c r="F5" t="str">
        <f>HYPERLINK("https://portal.dnb.de/opac.htm?method=simpleSearch&amp;cqlMode=true&amp;query=idn%3D1066967997", "Portal")</f>
        <v>Portal</v>
      </c>
      <c r="G5" t="s">
        <v>115</v>
      </c>
      <c r="H5" t="s">
        <v>125</v>
      </c>
      <c r="I5" t="s">
        <v>126</v>
      </c>
      <c r="J5" t="s">
        <v>127</v>
      </c>
      <c r="K5" t="s">
        <v>127</v>
      </c>
      <c r="L5" t="s">
        <v>127</v>
      </c>
      <c r="N5" t="s">
        <v>128</v>
      </c>
      <c r="O5" t="s">
        <v>121</v>
      </c>
      <c r="BN5">
        <v>0</v>
      </c>
    </row>
    <row r="6" spans="1:111" x14ac:dyDescent="0.2">
      <c r="A6" t="s">
        <v>111</v>
      </c>
      <c r="B6" t="b">
        <v>1</v>
      </c>
      <c r="E6">
        <v>4</v>
      </c>
      <c r="F6" t="str">
        <f>HYPERLINK("https://portal.dnb.de/opac.htm?method=simpleSearch&amp;cqlMode=true&amp;query=idn%3D1066966419", "Portal")</f>
        <v>Portal</v>
      </c>
      <c r="G6" t="s">
        <v>115</v>
      </c>
      <c r="H6" t="s">
        <v>129</v>
      </c>
      <c r="I6" t="s">
        <v>130</v>
      </c>
      <c r="J6" t="s">
        <v>131</v>
      </c>
      <c r="K6" t="s">
        <v>131</v>
      </c>
      <c r="L6" t="s">
        <v>131</v>
      </c>
      <c r="N6" t="s">
        <v>132</v>
      </c>
      <c r="O6" t="s">
        <v>121</v>
      </c>
      <c r="BN6">
        <v>0</v>
      </c>
    </row>
    <row r="7" spans="1:111" x14ac:dyDescent="0.2">
      <c r="A7" t="s">
        <v>111</v>
      </c>
      <c r="B7" t="b">
        <v>1</v>
      </c>
      <c r="E7">
        <v>5</v>
      </c>
      <c r="F7" t="str">
        <f>HYPERLINK("https://portal.dnb.de/opac.htm?method=simpleSearch&amp;cqlMode=true&amp;query=idn%3D106696565X", "Portal")</f>
        <v>Portal</v>
      </c>
      <c r="G7" t="s">
        <v>133</v>
      </c>
      <c r="H7" t="s">
        <v>134</v>
      </c>
      <c r="I7" t="s">
        <v>135</v>
      </c>
      <c r="J7" t="s">
        <v>136</v>
      </c>
      <c r="K7" t="s">
        <v>136</v>
      </c>
      <c r="L7" t="s">
        <v>136</v>
      </c>
      <c r="N7" t="s">
        <v>137</v>
      </c>
      <c r="O7" t="s">
        <v>121</v>
      </c>
      <c r="P7" t="s">
        <v>138</v>
      </c>
      <c r="R7" t="s">
        <v>139</v>
      </c>
      <c r="S7" t="s">
        <v>140</v>
      </c>
      <c r="T7" t="s">
        <v>141</v>
      </c>
      <c r="U7" t="s">
        <v>142</v>
      </c>
      <c r="V7" t="s">
        <v>143</v>
      </c>
      <c r="W7" t="s">
        <v>67</v>
      </c>
      <c r="X7" t="s">
        <v>144</v>
      </c>
      <c r="Y7">
        <v>0</v>
      </c>
      <c r="AI7" t="s">
        <v>145</v>
      </c>
      <c r="AK7" t="s">
        <v>146</v>
      </c>
      <c r="AM7" t="s">
        <v>147</v>
      </c>
      <c r="AS7" t="s">
        <v>148</v>
      </c>
      <c r="AT7" t="s">
        <v>146</v>
      </c>
      <c r="BC7" t="s">
        <v>149</v>
      </c>
      <c r="BD7" t="s">
        <v>146</v>
      </c>
      <c r="BE7">
        <v>3</v>
      </c>
      <c r="BG7" t="s">
        <v>150</v>
      </c>
      <c r="BM7" t="s">
        <v>151</v>
      </c>
      <c r="BN7">
        <v>0</v>
      </c>
      <c r="BP7" t="s">
        <v>152</v>
      </c>
    </row>
    <row r="8" spans="1:111" x14ac:dyDescent="0.2">
      <c r="A8" t="s">
        <v>111</v>
      </c>
      <c r="B8" t="b">
        <v>1</v>
      </c>
      <c r="E8">
        <v>7</v>
      </c>
      <c r="F8" t="str">
        <f>HYPERLINK("https://portal.dnb.de/opac.htm?method=simpleSearch&amp;cqlMode=true&amp;query=idn%3D1066967148", "Portal")</f>
        <v>Portal</v>
      </c>
      <c r="G8" t="s">
        <v>133</v>
      </c>
      <c r="H8" t="s">
        <v>153</v>
      </c>
      <c r="I8" t="s">
        <v>154</v>
      </c>
      <c r="J8" t="s">
        <v>155</v>
      </c>
      <c r="K8" t="s">
        <v>155</v>
      </c>
      <c r="L8" t="s">
        <v>155</v>
      </c>
      <c r="N8" t="s">
        <v>156</v>
      </c>
      <c r="O8" t="s">
        <v>121</v>
      </c>
      <c r="BN8">
        <v>0</v>
      </c>
    </row>
    <row r="9" spans="1:111" x14ac:dyDescent="0.2">
      <c r="A9" t="s">
        <v>111</v>
      </c>
      <c r="B9" t="b">
        <v>1</v>
      </c>
      <c r="E9">
        <v>8</v>
      </c>
      <c r="F9" t="str">
        <f>HYPERLINK("https://portal.dnb.de/opac.htm?method=simpleSearch&amp;cqlMode=true&amp;query=idn%3D1066972710", "Portal")</f>
        <v>Portal</v>
      </c>
      <c r="G9" t="s">
        <v>133</v>
      </c>
      <c r="H9" t="s">
        <v>157</v>
      </c>
      <c r="I9" t="s">
        <v>158</v>
      </c>
      <c r="J9" t="s">
        <v>159</v>
      </c>
      <c r="K9" t="s">
        <v>159</v>
      </c>
      <c r="L9" t="s">
        <v>159</v>
      </c>
      <c r="N9" t="s">
        <v>160</v>
      </c>
      <c r="O9" t="s">
        <v>121</v>
      </c>
      <c r="P9" t="s">
        <v>138</v>
      </c>
      <c r="R9" t="s">
        <v>161</v>
      </c>
      <c r="S9" t="s">
        <v>162</v>
      </c>
      <c r="T9" t="s">
        <v>163</v>
      </c>
      <c r="U9" t="s">
        <v>164</v>
      </c>
      <c r="V9" t="s">
        <v>143</v>
      </c>
      <c r="Y9">
        <v>0</v>
      </c>
      <c r="AI9" t="s">
        <v>165</v>
      </c>
      <c r="AK9" t="s">
        <v>146</v>
      </c>
      <c r="AM9" t="s">
        <v>147</v>
      </c>
      <c r="AS9" t="s">
        <v>148</v>
      </c>
      <c r="BC9" t="s">
        <v>166</v>
      </c>
      <c r="BD9" t="s">
        <v>146</v>
      </c>
      <c r="BG9">
        <v>110</v>
      </c>
      <c r="BM9" t="s">
        <v>151</v>
      </c>
      <c r="BN9">
        <v>0</v>
      </c>
    </row>
    <row r="10" spans="1:111" x14ac:dyDescent="0.2">
      <c r="A10" t="s">
        <v>111</v>
      </c>
      <c r="B10" t="b">
        <v>1</v>
      </c>
      <c r="E10">
        <v>9</v>
      </c>
      <c r="F10" t="str">
        <f>HYPERLINK("https://portal.dnb.de/opac.htm?method=simpleSearch&amp;cqlMode=true&amp;query=idn%3D1066970955", "Portal")</f>
        <v>Portal</v>
      </c>
      <c r="G10" t="s">
        <v>133</v>
      </c>
      <c r="H10" t="s">
        <v>167</v>
      </c>
      <c r="I10" t="s">
        <v>168</v>
      </c>
      <c r="J10" t="s">
        <v>169</v>
      </c>
      <c r="K10" t="s">
        <v>169</v>
      </c>
      <c r="L10" t="s">
        <v>169</v>
      </c>
      <c r="N10" t="s">
        <v>170</v>
      </c>
      <c r="O10" t="s">
        <v>121</v>
      </c>
      <c r="R10" t="s">
        <v>171</v>
      </c>
      <c r="S10" t="s">
        <v>162</v>
      </c>
      <c r="T10" t="s">
        <v>141</v>
      </c>
      <c r="U10" t="s">
        <v>172</v>
      </c>
      <c r="W10" t="s">
        <v>173</v>
      </c>
      <c r="X10" t="s">
        <v>144</v>
      </c>
      <c r="Y10">
        <v>0</v>
      </c>
      <c r="AI10" t="s">
        <v>174</v>
      </c>
      <c r="AL10" t="s">
        <v>146</v>
      </c>
      <c r="AM10" t="s">
        <v>147</v>
      </c>
      <c r="AS10" t="s">
        <v>174</v>
      </c>
      <c r="BC10" t="s">
        <v>166</v>
      </c>
      <c r="BD10" t="s">
        <v>146</v>
      </c>
      <c r="BG10">
        <v>180</v>
      </c>
      <c r="BN10">
        <v>0</v>
      </c>
      <c r="BS10" t="s">
        <v>146</v>
      </c>
    </row>
    <row r="11" spans="1:111" x14ac:dyDescent="0.2">
      <c r="A11" t="s">
        <v>111</v>
      </c>
      <c r="B11" t="b">
        <v>1</v>
      </c>
      <c r="E11">
        <v>10</v>
      </c>
      <c r="F11" t="str">
        <f>HYPERLINK("https://portal.dnb.de/opac.htm?method=simpleSearch&amp;cqlMode=true&amp;query=idn%3D1066969183", "Portal")</f>
        <v>Portal</v>
      </c>
      <c r="G11" t="s">
        <v>133</v>
      </c>
      <c r="H11" t="s">
        <v>175</v>
      </c>
      <c r="I11" t="s">
        <v>176</v>
      </c>
      <c r="J11" t="s">
        <v>177</v>
      </c>
      <c r="K11" t="s">
        <v>177</v>
      </c>
      <c r="L11" t="s">
        <v>177</v>
      </c>
      <c r="M11" t="s">
        <v>178</v>
      </c>
      <c r="N11" t="s">
        <v>179</v>
      </c>
      <c r="O11" t="s">
        <v>121</v>
      </c>
      <c r="R11" t="s">
        <v>180</v>
      </c>
      <c r="S11" t="s">
        <v>181</v>
      </c>
      <c r="T11" t="s">
        <v>163</v>
      </c>
      <c r="U11" t="s">
        <v>164</v>
      </c>
      <c r="V11" t="s">
        <v>143</v>
      </c>
      <c r="Y11">
        <v>1</v>
      </c>
      <c r="AH11" t="s">
        <v>146</v>
      </c>
      <c r="AI11" t="s">
        <v>182</v>
      </c>
      <c r="AK11" t="s">
        <v>146</v>
      </c>
      <c r="AL11" t="s">
        <v>146</v>
      </c>
      <c r="AM11" t="s">
        <v>147</v>
      </c>
      <c r="AS11" t="s">
        <v>148</v>
      </c>
      <c r="BC11" t="s">
        <v>149</v>
      </c>
      <c r="BD11" t="s">
        <v>146</v>
      </c>
      <c r="BG11">
        <v>110</v>
      </c>
      <c r="BM11" t="s">
        <v>151</v>
      </c>
      <c r="BN11">
        <v>0</v>
      </c>
      <c r="BV11" t="s">
        <v>183</v>
      </c>
    </row>
    <row r="12" spans="1:111" x14ac:dyDescent="0.2">
      <c r="A12" t="s">
        <v>111</v>
      </c>
      <c r="B12" t="b">
        <v>1</v>
      </c>
      <c r="E12">
        <v>11</v>
      </c>
      <c r="F12" t="str">
        <f>HYPERLINK("https://portal.dnb.de/opac.htm?method=simpleSearch&amp;cqlMode=true&amp;query=idn%3D106696680X", "Portal")</f>
        <v>Portal</v>
      </c>
      <c r="G12" t="s">
        <v>133</v>
      </c>
      <c r="H12" t="s">
        <v>184</v>
      </c>
      <c r="I12" t="s">
        <v>185</v>
      </c>
      <c r="J12" t="s">
        <v>186</v>
      </c>
      <c r="K12" t="s">
        <v>186</v>
      </c>
      <c r="L12" t="s">
        <v>186</v>
      </c>
      <c r="N12" t="s">
        <v>187</v>
      </c>
      <c r="O12" t="s">
        <v>121</v>
      </c>
      <c r="P12" t="s">
        <v>138</v>
      </c>
      <c r="R12" t="s">
        <v>188</v>
      </c>
      <c r="S12" t="s">
        <v>189</v>
      </c>
      <c r="T12" t="s">
        <v>141</v>
      </c>
      <c r="U12" t="s">
        <v>142</v>
      </c>
      <c r="V12" t="s">
        <v>143</v>
      </c>
      <c r="W12" t="s">
        <v>67</v>
      </c>
      <c r="X12" t="s">
        <v>144</v>
      </c>
      <c r="Y12">
        <v>0</v>
      </c>
      <c r="AI12" t="s">
        <v>190</v>
      </c>
      <c r="AK12" t="s">
        <v>146</v>
      </c>
      <c r="AM12" t="s">
        <v>147</v>
      </c>
      <c r="AS12" t="s">
        <v>148</v>
      </c>
      <c r="BC12" t="s">
        <v>166</v>
      </c>
      <c r="BD12" t="s">
        <v>146</v>
      </c>
      <c r="BG12">
        <v>180</v>
      </c>
      <c r="BM12" t="s">
        <v>151</v>
      </c>
      <c r="BN12">
        <v>0</v>
      </c>
      <c r="BP12" t="s">
        <v>152</v>
      </c>
    </row>
    <row r="13" spans="1:111" x14ac:dyDescent="0.2">
      <c r="A13" t="s">
        <v>111</v>
      </c>
      <c r="B13" t="b">
        <v>1</v>
      </c>
      <c r="E13">
        <v>12</v>
      </c>
      <c r="F13" t="str">
        <f>HYPERLINK("https://portal.dnb.de/opac.htm?method=simpleSearch&amp;cqlMode=true&amp;query=idn%3D1066969183", "Portal")</f>
        <v>Portal</v>
      </c>
      <c r="G13" t="s">
        <v>133</v>
      </c>
      <c r="H13" t="s">
        <v>191</v>
      </c>
      <c r="I13" t="s">
        <v>176</v>
      </c>
      <c r="J13" t="s">
        <v>192</v>
      </c>
      <c r="K13" t="s">
        <v>192</v>
      </c>
      <c r="L13" t="s">
        <v>192</v>
      </c>
      <c r="N13" t="s">
        <v>179</v>
      </c>
      <c r="O13" t="s">
        <v>121</v>
      </c>
      <c r="BN13">
        <v>0</v>
      </c>
    </row>
    <row r="14" spans="1:111" x14ac:dyDescent="0.2">
      <c r="A14" t="s">
        <v>111</v>
      </c>
      <c r="B14" t="b">
        <v>1</v>
      </c>
      <c r="C14" t="s">
        <v>146</v>
      </c>
      <c r="E14">
        <v>13</v>
      </c>
      <c r="F14" t="str">
        <f>HYPERLINK("https://portal.dnb.de/opac.htm?method=simpleSearch&amp;cqlMode=true&amp;query=idn%3D1066970254", "Portal")</f>
        <v>Portal</v>
      </c>
      <c r="G14" t="s">
        <v>133</v>
      </c>
      <c r="H14" t="s">
        <v>193</v>
      </c>
      <c r="I14" t="s">
        <v>194</v>
      </c>
      <c r="J14" t="s">
        <v>195</v>
      </c>
      <c r="K14" t="s">
        <v>195</v>
      </c>
      <c r="L14" t="s">
        <v>195</v>
      </c>
      <c r="N14" t="s">
        <v>196</v>
      </c>
      <c r="O14" t="s">
        <v>121</v>
      </c>
      <c r="P14" t="s">
        <v>138</v>
      </c>
      <c r="Q14" t="s">
        <v>197</v>
      </c>
      <c r="R14" t="s">
        <v>139</v>
      </c>
      <c r="S14" t="s">
        <v>140</v>
      </c>
      <c r="T14" t="s">
        <v>141</v>
      </c>
      <c r="U14" t="s">
        <v>198</v>
      </c>
      <c r="V14" t="s">
        <v>143</v>
      </c>
      <c r="W14" t="s">
        <v>67</v>
      </c>
      <c r="X14" t="s">
        <v>144</v>
      </c>
      <c r="Y14">
        <v>3</v>
      </c>
      <c r="AA14" t="s">
        <v>199</v>
      </c>
      <c r="AI14" t="s">
        <v>145</v>
      </c>
      <c r="AK14" t="s">
        <v>146</v>
      </c>
      <c r="AM14" t="s">
        <v>147</v>
      </c>
      <c r="AS14" t="s">
        <v>148</v>
      </c>
      <c r="BC14" t="s">
        <v>149</v>
      </c>
      <c r="BD14" t="s">
        <v>146</v>
      </c>
      <c r="BG14" t="s">
        <v>200</v>
      </c>
      <c r="BM14" t="s">
        <v>201</v>
      </c>
      <c r="BN14">
        <v>6</v>
      </c>
      <c r="BP14" t="s">
        <v>152</v>
      </c>
      <c r="CA14" t="s">
        <v>146</v>
      </c>
      <c r="CD14" t="s">
        <v>202</v>
      </c>
      <c r="CM14">
        <v>6</v>
      </c>
    </row>
    <row r="15" spans="1:111" x14ac:dyDescent="0.2">
      <c r="A15" t="s">
        <v>111</v>
      </c>
      <c r="B15" t="b">
        <v>1</v>
      </c>
      <c r="E15">
        <v>14</v>
      </c>
      <c r="F15" t="str">
        <f>HYPERLINK("https://portal.dnb.de/opac.htm?method=simpleSearch&amp;cqlMode=true&amp;query=idn%3D1066965072", "Portal")</f>
        <v>Portal</v>
      </c>
      <c r="G15" t="s">
        <v>133</v>
      </c>
      <c r="H15" t="s">
        <v>203</v>
      </c>
      <c r="I15" t="s">
        <v>204</v>
      </c>
      <c r="J15" t="s">
        <v>205</v>
      </c>
      <c r="K15" t="s">
        <v>205</v>
      </c>
      <c r="L15" t="s">
        <v>205</v>
      </c>
      <c r="N15" t="s">
        <v>206</v>
      </c>
      <c r="O15" t="s">
        <v>121</v>
      </c>
      <c r="P15" t="s">
        <v>138</v>
      </c>
      <c r="R15" t="s">
        <v>207</v>
      </c>
      <c r="S15" t="s">
        <v>162</v>
      </c>
      <c r="T15" t="s">
        <v>163</v>
      </c>
      <c r="U15" t="s">
        <v>164</v>
      </c>
      <c r="V15" t="s">
        <v>143</v>
      </c>
      <c r="Y15">
        <v>0</v>
      </c>
      <c r="AI15" t="s">
        <v>165</v>
      </c>
      <c r="AL15" t="s">
        <v>146</v>
      </c>
      <c r="AM15" t="s">
        <v>147</v>
      </c>
      <c r="AS15" t="s">
        <v>148</v>
      </c>
      <c r="BC15" t="s">
        <v>166</v>
      </c>
      <c r="BD15" t="s">
        <v>146</v>
      </c>
      <c r="BG15">
        <v>110</v>
      </c>
      <c r="BM15" t="s">
        <v>151</v>
      </c>
      <c r="BN15">
        <v>0</v>
      </c>
    </row>
    <row r="16" spans="1:111" x14ac:dyDescent="0.2">
      <c r="A16" t="s">
        <v>111</v>
      </c>
      <c r="B16" t="b">
        <v>1</v>
      </c>
      <c r="C16" t="s">
        <v>146</v>
      </c>
      <c r="E16">
        <v>15</v>
      </c>
      <c r="F16" t="str">
        <f>HYPERLINK("https://portal.dnb.de/opac.htm?method=simpleSearch&amp;cqlMode=true&amp;query=idn%3D1066966141", "Portal")</f>
        <v>Portal</v>
      </c>
      <c r="G16" t="s">
        <v>133</v>
      </c>
      <c r="H16" t="s">
        <v>208</v>
      </c>
      <c r="I16" t="s">
        <v>209</v>
      </c>
      <c r="J16" t="s">
        <v>210</v>
      </c>
      <c r="K16" t="s">
        <v>210</v>
      </c>
      <c r="L16" t="s">
        <v>210</v>
      </c>
      <c r="M16" t="s">
        <v>211</v>
      </c>
      <c r="N16" t="s">
        <v>212</v>
      </c>
      <c r="O16" t="s">
        <v>121</v>
      </c>
      <c r="P16" t="s">
        <v>138</v>
      </c>
      <c r="R16" t="s">
        <v>180</v>
      </c>
      <c r="S16" t="s">
        <v>189</v>
      </c>
      <c r="T16" t="s">
        <v>141</v>
      </c>
      <c r="U16" t="s">
        <v>142</v>
      </c>
      <c r="V16" t="s">
        <v>143</v>
      </c>
      <c r="W16" t="s">
        <v>67</v>
      </c>
      <c r="X16" t="s">
        <v>144</v>
      </c>
      <c r="Y16">
        <v>2</v>
      </c>
      <c r="AI16" t="s">
        <v>145</v>
      </c>
      <c r="AK16" t="s">
        <v>146</v>
      </c>
      <c r="AM16" t="s">
        <v>147</v>
      </c>
      <c r="AS16" t="s">
        <v>148</v>
      </c>
      <c r="AT16" t="s">
        <v>146</v>
      </c>
      <c r="BC16" t="s">
        <v>166</v>
      </c>
      <c r="BD16" t="s">
        <v>146</v>
      </c>
      <c r="BG16">
        <v>110</v>
      </c>
      <c r="BM16" t="s">
        <v>213</v>
      </c>
      <c r="BN16">
        <v>1</v>
      </c>
      <c r="BP16" t="s">
        <v>152</v>
      </c>
      <c r="CV16" t="s">
        <v>146</v>
      </c>
      <c r="DF16">
        <v>1</v>
      </c>
    </row>
    <row r="17" spans="1:92" x14ac:dyDescent="0.2">
      <c r="A17" t="s">
        <v>111</v>
      </c>
      <c r="B17" t="b">
        <v>1</v>
      </c>
      <c r="E17">
        <v>16</v>
      </c>
      <c r="F17" t="str">
        <f>HYPERLINK("https://portal.dnb.de/opac.htm?method=simpleSearch&amp;cqlMode=true&amp;query=idn%3D1066966435", "Portal")</f>
        <v>Portal</v>
      </c>
      <c r="G17" t="s">
        <v>133</v>
      </c>
      <c r="H17" t="s">
        <v>214</v>
      </c>
      <c r="I17" t="s">
        <v>215</v>
      </c>
      <c r="J17" t="s">
        <v>216</v>
      </c>
      <c r="K17" t="s">
        <v>216</v>
      </c>
      <c r="L17" t="s">
        <v>216</v>
      </c>
      <c r="N17" t="s">
        <v>132</v>
      </c>
      <c r="O17" t="s">
        <v>121</v>
      </c>
      <c r="P17" t="s">
        <v>138</v>
      </c>
      <c r="R17" t="s">
        <v>139</v>
      </c>
      <c r="S17" t="s">
        <v>162</v>
      </c>
      <c r="T17" t="s">
        <v>163</v>
      </c>
      <c r="U17" t="s">
        <v>142</v>
      </c>
      <c r="V17" t="s">
        <v>143</v>
      </c>
      <c r="Y17">
        <v>0</v>
      </c>
      <c r="AI17" t="s">
        <v>145</v>
      </c>
      <c r="AK17" t="s">
        <v>146</v>
      </c>
      <c r="AM17" t="s">
        <v>147</v>
      </c>
      <c r="AS17" t="s">
        <v>148</v>
      </c>
      <c r="AX17" t="s">
        <v>146</v>
      </c>
      <c r="BC17" t="s">
        <v>166</v>
      </c>
      <c r="BD17" t="s">
        <v>146</v>
      </c>
      <c r="BG17">
        <v>110</v>
      </c>
      <c r="BI17" t="s">
        <v>217</v>
      </c>
      <c r="BM17" t="s">
        <v>151</v>
      </c>
      <c r="BN17">
        <v>0</v>
      </c>
    </row>
    <row r="18" spans="1:92" x14ac:dyDescent="0.2">
      <c r="A18" t="s">
        <v>111</v>
      </c>
      <c r="B18" t="b">
        <v>1</v>
      </c>
      <c r="E18">
        <v>17</v>
      </c>
      <c r="F18" t="str">
        <f>HYPERLINK("https://portal.dnb.de/opac.htm?method=simpleSearch&amp;cqlMode=true&amp;query=idn%3D1067434755", "Portal")</f>
        <v>Portal</v>
      </c>
      <c r="G18" t="s">
        <v>218</v>
      </c>
      <c r="H18" t="s">
        <v>219</v>
      </c>
      <c r="I18" t="s">
        <v>220</v>
      </c>
      <c r="J18" t="s">
        <v>221</v>
      </c>
      <c r="K18" t="s">
        <v>221</v>
      </c>
      <c r="L18" t="s">
        <v>221</v>
      </c>
      <c r="N18" t="s">
        <v>222</v>
      </c>
      <c r="O18" t="s">
        <v>121</v>
      </c>
      <c r="BN18">
        <v>0</v>
      </c>
    </row>
    <row r="19" spans="1:92" x14ac:dyDescent="0.2">
      <c r="A19" t="s">
        <v>111</v>
      </c>
      <c r="B19" t="b">
        <v>1</v>
      </c>
      <c r="E19">
        <v>18</v>
      </c>
      <c r="F19" t="str">
        <f>HYPERLINK("https://portal.dnb.de/opac.htm?method=simpleSearch&amp;cqlMode=true&amp;query=idn%3D1066968527", "Portal")</f>
        <v>Portal</v>
      </c>
      <c r="G19" t="s">
        <v>133</v>
      </c>
      <c r="H19" t="s">
        <v>223</v>
      </c>
      <c r="I19" t="s">
        <v>224</v>
      </c>
      <c r="J19" t="s">
        <v>225</v>
      </c>
      <c r="K19" t="s">
        <v>225</v>
      </c>
      <c r="L19" t="s">
        <v>225</v>
      </c>
      <c r="M19" t="s">
        <v>226</v>
      </c>
      <c r="N19" t="s">
        <v>227</v>
      </c>
      <c r="O19" t="s">
        <v>121</v>
      </c>
      <c r="R19" t="s">
        <v>161</v>
      </c>
      <c r="S19" t="s">
        <v>181</v>
      </c>
      <c r="T19" t="s">
        <v>163</v>
      </c>
      <c r="U19" t="s">
        <v>142</v>
      </c>
      <c r="V19" t="s">
        <v>143</v>
      </c>
      <c r="Y19">
        <v>1</v>
      </c>
      <c r="AI19" t="s">
        <v>174</v>
      </c>
      <c r="AK19" t="s">
        <v>146</v>
      </c>
      <c r="AM19" t="s">
        <v>228</v>
      </c>
      <c r="AS19" t="s">
        <v>148</v>
      </c>
      <c r="BC19" t="s">
        <v>149</v>
      </c>
      <c r="BD19" t="s">
        <v>146</v>
      </c>
      <c r="BG19">
        <v>110</v>
      </c>
      <c r="BI19" t="s">
        <v>146</v>
      </c>
      <c r="BJ19" t="s">
        <v>229</v>
      </c>
      <c r="BM19" t="s">
        <v>151</v>
      </c>
      <c r="BN19">
        <v>0</v>
      </c>
      <c r="BR19" t="s">
        <v>146</v>
      </c>
      <c r="BV19" t="s">
        <v>230</v>
      </c>
      <c r="BZ19" t="s">
        <v>231</v>
      </c>
    </row>
    <row r="20" spans="1:92" x14ac:dyDescent="0.2">
      <c r="A20" t="s">
        <v>111</v>
      </c>
      <c r="B20" t="b">
        <v>1</v>
      </c>
      <c r="C20" t="s">
        <v>146</v>
      </c>
      <c r="E20">
        <v>19</v>
      </c>
      <c r="F20" t="str">
        <f>HYPERLINK("https://portal.dnb.de/opac.htm?method=simpleSearch&amp;cqlMode=true&amp;query=idn%3D1066968039", "Portal")</f>
        <v>Portal</v>
      </c>
      <c r="G20" t="s">
        <v>133</v>
      </c>
      <c r="H20" t="s">
        <v>232</v>
      </c>
      <c r="I20" t="s">
        <v>233</v>
      </c>
      <c r="J20" t="s">
        <v>234</v>
      </c>
      <c r="K20" t="s">
        <v>234</v>
      </c>
      <c r="L20" t="s">
        <v>234</v>
      </c>
      <c r="N20" t="s">
        <v>235</v>
      </c>
      <c r="O20" t="s">
        <v>121</v>
      </c>
      <c r="P20" t="s">
        <v>138</v>
      </c>
      <c r="R20" t="s">
        <v>161</v>
      </c>
      <c r="S20" t="s">
        <v>189</v>
      </c>
      <c r="T20" t="s">
        <v>141</v>
      </c>
      <c r="U20" t="s">
        <v>142</v>
      </c>
      <c r="V20" t="s">
        <v>143</v>
      </c>
      <c r="W20" t="s">
        <v>67</v>
      </c>
      <c r="X20" t="s">
        <v>144</v>
      </c>
      <c r="Y20">
        <v>1</v>
      </c>
      <c r="AI20" t="s">
        <v>145</v>
      </c>
      <c r="AK20" t="s">
        <v>146</v>
      </c>
      <c r="AM20" t="s">
        <v>147</v>
      </c>
      <c r="AS20" t="s">
        <v>148</v>
      </c>
      <c r="BC20" t="s">
        <v>166</v>
      </c>
      <c r="BD20" t="s">
        <v>146</v>
      </c>
      <c r="BG20" t="s">
        <v>200</v>
      </c>
      <c r="BM20" t="s">
        <v>213</v>
      </c>
      <c r="BN20">
        <v>0.5</v>
      </c>
      <c r="BP20" t="s">
        <v>152</v>
      </c>
      <c r="BV20" t="s">
        <v>236</v>
      </c>
      <c r="BZ20" t="s">
        <v>146</v>
      </c>
      <c r="CA20" t="s">
        <v>146</v>
      </c>
      <c r="CD20" t="s">
        <v>237</v>
      </c>
      <c r="CF20" t="s">
        <v>146</v>
      </c>
      <c r="CM20">
        <v>0.5</v>
      </c>
      <c r="CN20" t="s">
        <v>238</v>
      </c>
    </row>
    <row r="21" spans="1:92" x14ac:dyDescent="0.2">
      <c r="A21" t="s">
        <v>111</v>
      </c>
      <c r="B21" t="b">
        <v>1</v>
      </c>
      <c r="E21">
        <v>20</v>
      </c>
      <c r="F21" t="str">
        <f>HYPERLINK("https://portal.dnb.de/opac.htm?method=simpleSearch&amp;cqlMode=true&amp;query=idn%3D1066967008", "Portal")</f>
        <v>Portal</v>
      </c>
      <c r="G21" t="s">
        <v>133</v>
      </c>
      <c r="H21" t="s">
        <v>239</v>
      </c>
      <c r="I21" t="s">
        <v>240</v>
      </c>
      <c r="J21" t="s">
        <v>241</v>
      </c>
      <c r="K21" t="s">
        <v>241</v>
      </c>
      <c r="L21" t="s">
        <v>241</v>
      </c>
      <c r="N21" t="s">
        <v>242</v>
      </c>
      <c r="O21" t="s">
        <v>121</v>
      </c>
      <c r="R21" t="s">
        <v>139</v>
      </c>
      <c r="S21" t="s">
        <v>162</v>
      </c>
      <c r="T21" t="s">
        <v>163</v>
      </c>
      <c r="U21" t="s">
        <v>243</v>
      </c>
      <c r="V21" t="s">
        <v>143</v>
      </c>
      <c r="Y21">
        <v>1</v>
      </c>
      <c r="AA21" t="s">
        <v>199</v>
      </c>
      <c r="AB21" t="s">
        <v>244</v>
      </c>
      <c r="AI21" t="s">
        <v>145</v>
      </c>
      <c r="AK21" t="s">
        <v>146</v>
      </c>
      <c r="AM21" t="s">
        <v>147</v>
      </c>
      <c r="AS21" t="s">
        <v>174</v>
      </c>
      <c r="BC21" t="s">
        <v>149</v>
      </c>
      <c r="BD21" t="s">
        <v>245</v>
      </c>
      <c r="BG21">
        <v>110</v>
      </c>
      <c r="BM21" t="s">
        <v>151</v>
      </c>
      <c r="BN21">
        <v>0</v>
      </c>
    </row>
    <row r="22" spans="1:92" x14ac:dyDescent="0.2">
      <c r="A22" t="s">
        <v>111</v>
      </c>
      <c r="B22" t="b">
        <v>1</v>
      </c>
      <c r="E22">
        <v>21</v>
      </c>
      <c r="F22" t="str">
        <f>HYPERLINK("https://portal.dnb.de/opac.htm?method=simpleSearch&amp;cqlMode=true&amp;query=idn%3D1066965714", "Portal")</f>
        <v>Portal</v>
      </c>
      <c r="G22" t="s">
        <v>133</v>
      </c>
      <c r="H22" t="s">
        <v>246</v>
      </c>
      <c r="I22" t="s">
        <v>247</v>
      </c>
      <c r="J22" t="s">
        <v>248</v>
      </c>
      <c r="K22" t="s">
        <v>248</v>
      </c>
      <c r="L22" t="s">
        <v>248</v>
      </c>
      <c r="N22" t="s">
        <v>249</v>
      </c>
      <c r="O22" t="s">
        <v>121</v>
      </c>
      <c r="R22" t="s">
        <v>139</v>
      </c>
      <c r="S22" t="s">
        <v>162</v>
      </c>
      <c r="T22" t="s">
        <v>163</v>
      </c>
      <c r="U22" t="s">
        <v>142</v>
      </c>
      <c r="V22" t="s">
        <v>143</v>
      </c>
      <c r="X22" t="s">
        <v>250</v>
      </c>
      <c r="Y22">
        <v>0</v>
      </c>
      <c r="AI22" t="s">
        <v>165</v>
      </c>
      <c r="AK22" t="s">
        <v>146</v>
      </c>
      <c r="AM22" t="s">
        <v>147</v>
      </c>
      <c r="AS22" t="s">
        <v>148</v>
      </c>
      <c r="BC22" t="s">
        <v>166</v>
      </c>
      <c r="BD22" t="s">
        <v>146</v>
      </c>
      <c r="BG22">
        <v>110</v>
      </c>
      <c r="BM22" t="s">
        <v>151</v>
      </c>
      <c r="BN22">
        <v>0</v>
      </c>
    </row>
    <row r="23" spans="1:92" x14ac:dyDescent="0.2">
      <c r="A23" t="s">
        <v>111</v>
      </c>
      <c r="B23" t="b">
        <v>1</v>
      </c>
      <c r="E23">
        <v>22</v>
      </c>
      <c r="F23" t="str">
        <f>HYPERLINK("https://portal.dnb.de/opac.htm?method=simpleSearch&amp;cqlMode=true&amp;query=idn%3D1084605600", "Portal")</f>
        <v>Portal</v>
      </c>
      <c r="G23" t="s">
        <v>115</v>
      </c>
      <c r="H23" t="s">
        <v>251</v>
      </c>
      <c r="I23" t="s">
        <v>252</v>
      </c>
      <c r="J23" t="s">
        <v>253</v>
      </c>
      <c r="K23" t="s">
        <v>253</v>
      </c>
      <c r="L23" t="s">
        <v>253</v>
      </c>
      <c r="N23" t="s">
        <v>254</v>
      </c>
      <c r="O23" t="s">
        <v>121</v>
      </c>
      <c r="P23" t="s">
        <v>138</v>
      </c>
      <c r="R23" t="s">
        <v>255</v>
      </c>
      <c r="S23" t="s">
        <v>140</v>
      </c>
      <c r="T23" t="s">
        <v>141</v>
      </c>
      <c r="U23" t="s">
        <v>172</v>
      </c>
      <c r="W23" t="s">
        <v>67</v>
      </c>
      <c r="X23" t="s">
        <v>144</v>
      </c>
      <c r="Y23">
        <v>1</v>
      </c>
      <c r="AI23" t="s">
        <v>174</v>
      </c>
      <c r="AK23" t="s">
        <v>146</v>
      </c>
      <c r="AM23" t="s">
        <v>228</v>
      </c>
      <c r="AS23" t="s">
        <v>148</v>
      </c>
      <c r="BG23">
        <v>180</v>
      </c>
      <c r="BM23" t="s">
        <v>151</v>
      </c>
      <c r="BN23">
        <v>0</v>
      </c>
      <c r="BP23" t="s">
        <v>152</v>
      </c>
    </row>
    <row r="24" spans="1:92" x14ac:dyDescent="0.2">
      <c r="A24" t="s">
        <v>111</v>
      </c>
      <c r="B24" t="b">
        <v>1</v>
      </c>
      <c r="E24">
        <v>23</v>
      </c>
      <c r="F24" t="str">
        <f>HYPERLINK("https://portal.dnb.de/opac.htm?method=simpleSearch&amp;cqlMode=true&amp;query=idn%3D1066965714", "Portal")</f>
        <v>Portal</v>
      </c>
      <c r="G24" t="s">
        <v>133</v>
      </c>
      <c r="H24" t="s">
        <v>256</v>
      </c>
      <c r="I24" t="s">
        <v>247</v>
      </c>
      <c r="J24" t="s">
        <v>257</v>
      </c>
      <c r="K24" t="s">
        <v>257</v>
      </c>
      <c r="L24" t="s">
        <v>257</v>
      </c>
      <c r="N24" t="s">
        <v>249</v>
      </c>
      <c r="O24" t="s">
        <v>121</v>
      </c>
      <c r="BN24">
        <v>0</v>
      </c>
    </row>
    <row r="25" spans="1:92" x14ac:dyDescent="0.2">
      <c r="A25" t="s">
        <v>111</v>
      </c>
      <c r="B25" t="b">
        <v>1</v>
      </c>
      <c r="E25">
        <v>24</v>
      </c>
      <c r="F25" t="str">
        <f>HYPERLINK("https://portal.dnb.de/opac.htm?method=simpleSearch&amp;cqlMode=true&amp;query=idn%3D1066968764", "Portal")</f>
        <v>Portal</v>
      </c>
      <c r="G25" t="s">
        <v>133</v>
      </c>
      <c r="H25" t="s">
        <v>258</v>
      </c>
      <c r="I25" t="s">
        <v>259</v>
      </c>
      <c r="J25" t="s">
        <v>260</v>
      </c>
      <c r="K25" t="s">
        <v>260</v>
      </c>
      <c r="L25" t="s">
        <v>260</v>
      </c>
      <c r="N25" t="s">
        <v>261</v>
      </c>
      <c r="O25" t="s">
        <v>121</v>
      </c>
      <c r="P25" t="s">
        <v>138</v>
      </c>
      <c r="R25" t="s">
        <v>139</v>
      </c>
      <c r="S25" t="s">
        <v>181</v>
      </c>
      <c r="T25" t="s">
        <v>163</v>
      </c>
      <c r="U25" t="s">
        <v>142</v>
      </c>
      <c r="V25" t="s">
        <v>143</v>
      </c>
      <c r="Y25">
        <v>0</v>
      </c>
      <c r="AI25" t="s">
        <v>145</v>
      </c>
      <c r="AK25" t="s">
        <v>146</v>
      </c>
      <c r="AM25" t="s">
        <v>147</v>
      </c>
      <c r="AS25" t="s">
        <v>148</v>
      </c>
      <c r="AX25" t="s">
        <v>146</v>
      </c>
      <c r="BC25" t="s">
        <v>149</v>
      </c>
      <c r="BD25" t="s">
        <v>146</v>
      </c>
      <c r="BG25">
        <v>110</v>
      </c>
      <c r="BI25" t="s">
        <v>217</v>
      </c>
      <c r="BM25" t="s">
        <v>151</v>
      </c>
      <c r="BN25">
        <v>0</v>
      </c>
    </row>
    <row r="26" spans="1:92" x14ac:dyDescent="0.2">
      <c r="A26" t="s">
        <v>111</v>
      </c>
      <c r="B26" t="b">
        <v>1</v>
      </c>
      <c r="E26">
        <v>25</v>
      </c>
      <c r="F26" t="str">
        <f>HYPERLINK("https://portal.dnb.de/opac.htm?method=simpleSearch&amp;cqlMode=true&amp;query=idn%3D1066971412", "Portal")</f>
        <v>Portal</v>
      </c>
      <c r="G26" t="s">
        <v>133</v>
      </c>
      <c r="H26" t="s">
        <v>262</v>
      </c>
      <c r="I26" t="s">
        <v>263</v>
      </c>
      <c r="J26" t="s">
        <v>264</v>
      </c>
      <c r="K26" t="s">
        <v>264</v>
      </c>
      <c r="L26" t="s">
        <v>264</v>
      </c>
      <c r="M26" t="s">
        <v>211</v>
      </c>
      <c r="N26" t="s">
        <v>265</v>
      </c>
      <c r="O26" t="s">
        <v>121</v>
      </c>
      <c r="P26" t="s">
        <v>138</v>
      </c>
      <c r="R26" t="s">
        <v>180</v>
      </c>
      <c r="S26" t="s">
        <v>189</v>
      </c>
      <c r="T26" t="s">
        <v>141</v>
      </c>
      <c r="U26" t="s">
        <v>164</v>
      </c>
      <c r="V26" t="s">
        <v>143</v>
      </c>
      <c r="W26" t="s">
        <v>67</v>
      </c>
      <c r="X26" t="s">
        <v>144</v>
      </c>
      <c r="Y26">
        <v>0</v>
      </c>
      <c r="AI26" t="s">
        <v>145</v>
      </c>
      <c r="AK26" t="s">
        <v>146</v>
      </c>
      <c r="AM26" t="s">
        <v>266</v>
      </c>
      <c r="AS26" t="s">
        <v>148</v>
      </c>
      <c r="BC26" t="s">
        <v>166</v>
      </c>
      <c r="BD26" t="s">
        <v>146</v>
      </c>
      <c r="BG26">
        <v>110</v>
      </c>
      <c r="BM26" t="s">
        <v>151</v>
      </c>
      <c r="BN26">
        <v>0</v>
      </c>
      <c r="BP26" t="s">
        <v>152</v>
      </c>
    </row>
    <row r="27" spans="1:92" x14ac:dyDescent="0.2">
      <c r="A27" t="s">
        <v>111</v>
      </c>
      <c r="B27" t="b">
        <v>1</v>
      </c>
      <c r="E27">
        <v>26</v>
      </c>
      <c r="F27" t="str">
        <f>HYPERLINK("https://portal.dnb.de/opac.htm?method=simpleSearch&amp;cqlMode=true&amp;query=idn%3D1066968764", "Portal")</f>
        <v>Portal</v>
      </c>
      <c r="G27" t="s">
        <v>133</v>
      </c>
      <c r="H27" t="s">
        <v>267</v>
      </c>
      <c r="I27" t="s">
        <v>259</v>
      </c>
      <c r="J27" t="s">
        <v>268</v>
      </c>
      <c r="K27" t="s">
        <v>268</v>
      </c>
      <c r="L27" t="s">
        <v>268</v>
      </c>
      <c r="N27" t="s">
        <v>261</v>
      </c>
      <c r="O27" t="s">
        <v>121</v>
      </c>
      <c r="BN27">
        <v>0</v>
      </c>
    </row>
    <row r="28" spans="1:92" x14ac:dyDescent="0.2">
      <c r="A28" t="s">
        <v>111</v>
      </c>
      <c r="B28" t="b">
        <v>1</v>
      </c>
      <c r="E28">
        <v>27</v>
      </c>
      <c r="F28" t="str">
        <f>HYPERLINK("https://portal.dnb.de/opac.htm?method=simpleSearch&amp;cqlMode=true&amp;query=idn%3D1066969086", "Portal")</f>
        <v>Portal</v>
      </c>
      <c r="G28" t="s">
        <v>133</v>
      </c>
      <c r="H28" t="s">
        <v>269</v>
      </c>
      <c r="I28" t="s">
        <v>270</v>
      </c>
      <c r="J28" t="s">
        <v>271</v>
      </c>
      <c r="K28" t="s">
        <v>271</v>
      </c>
      <c r="L28" t="s">
        <v>271</v>
      </c>
      <c r="N28" t="s">
        <v>272</v>
      </c>
      <c r="O28" t="s">
        <v>121</v>
      </c>
      <c r="P28" t="s">
        <v>138</v>
      </c>
      <c r="R28" t="s">
        <v>139</v>
      </c>
      <c r="S28" t="s">
        <v>140</v>
      </c>
      <c r="T28" t="s">
        <v>163</v>
      </c>
      <c r="U28" t="s">
        <v>243</v>
      </c>
      <c r="V28" t="s">
        <v>143</v>
      </c>
      <c r="W28" t="s">
        <v>67</v>
      </c>
      <c r="X28" t="s">
        <v>144</v>
      </c>
      <c r="Y28">
        <v>0</v>
      </c>
      <c r="AI28" t="s">
        <v>145</v>
      </c>
      <c r="AK28" t="s">
        <v>146</v>
      </c>
      <c r="AM28" t="s">
        <v>147</v>
      </c>
      <c r="AS28" t="s">
        <v>148</v>
      </c>
      <c r="AX28" t="s">
        <v>146</v>
      </c>
      <c r="BC28" t="s">
        <v>166</v>
      </c>
      <c r="BD28" t="s">
        <v>146</v>
      </c>
      <c r="BG28">
        <v>110</v>
      </c>
      <c r="BM28" t="s">
        <v>151</v>
      </c>
      <c r="BN28">
        <v>0</v>
      </c>
      <c r="BP28" t="s">
        <v>152</v>
      </c>
    </row>
    <row r="29" spans="1:92" x14ac:dyDescent="0.2">
      <c r="A29" t="s">
        <v>111</v>
      </c>
      <c r="B29" t="b">
        <v>1</v>
      </c>
      <c r="E29">
        <v>28</v>
      </c>
      <c r="F29" t="str">
        <f>HYPERLINK("https://portal.dnb.de/opac.htm?method=simpleSearch&amp;cqlMode=true&amp;query=idn%3D106697005X", "Portal")</f>
        <v>Portal</v>
      </c>
      <c r="G29" t="s">
        <v>133</v>
      </c>
      <c r="H29" t="s">
        <v>273</v>
      </c>
      <c r="I29" t="s">
        <v>274</v>
      </c>
      <c r="J29" t="s">
        <v>275</v>
      </c>
      <c r="K29" t="s">
        <v>275</v>
      </c>
      <c r="L29" t="s">
        <v>275</v>
      </c>
      <c r="N29" t="s">
        <v>276</v>
      </c>
      <c r="O29" t="s">
        <v>121</v>
      </c>
      <c r="P29" t="s">
        <v>138</v>
      </c>
      <c r="R29" t="s">
        <v>180</v>
      </c>
      <c r="S29" t="s">
        <v>140</v>
      </c>
      <c r="T29" t="s">
        <v>163</v>
      </c>
      <c r="U29" t="s">
        <v>164</v>
      </c>
      <c r="V29" t="s">
        <v>143</v>
      </c>
      <c r="W29" t="s">
        <v>67</v>
      </c>
      <c r="X29" t="s">
        <v>144</v>
      </c>
      <c r="Y29">
        <v>0</v>
      </c>
      <c r="AA29" t="s">
        <v>277</v>
      </c>
      <c r="AI29" t="s">
        <v>145</v>
      </c>
      <c r="AL29" t="s">
        <v>146</v>
      </c>
      <c r="AM29" t="s">
        <v>266</v>
      </c>
      <c r="AS29" t="s">
        <v>148</v>
      </c>
      <c r="BC29" t="s">
        <v>166</v>
      </c>
      <c r="BD29" t="s">
        <v>146</v>
      </c>
      <c r="BG29">
        <v>110</v>
      </c>
      <c r="BM29" t="s">
        <v>151</v>
      </c>
      <c r="BN29">
        <v>0</v>
      </c>
      <c r="BP29" t="s">
        <v>278</v>
      </c>
      <c r="BV29" t="s">
        <v>279</v>
      </c>
    </row>
    <row r="30" spans="1:92" x14ac:dyDescent="0.2">
      <c r="A30" t="s">
        <v>111</v>
      </c>
      <c r="B30" t="b">
        <v>1</v>
      </c>
      <c r="E30">
        <v>29</v>
      </c>
      <c r="F30" t="str">
        <f>HYPERLINK("https://portal.dnb.de/opac.htm?method=simpleSearch&amp;cqlMode=true&amp;query=idn%3D1066967652", "Portal")</f>
        <v>Portal</v>
      </c>
      <c r="G30" t="s">
        <v>133</v>
      </c>
      <c r="H30" t="s">
        <v>280</v>
      </c>
      <c r="I30" t="s">
        <v>281</v>
      </c>
      <c r="J30" t="s">
        <v>282</v>
      </c>
      <c r="K30" t="s">
        <v>283</v>
      </c>
      <c r="L30" t="s">
        <v>283</v>
      </c>
      <c r="M30" t="s">
        <v>226</v>
      </c>
      <c r="N30" t="s">
        <v>284</v>
      </c>
      <c r="O30" t="s">
        <v>121</v>
      </c>
      <c r="R30" t="s">
        <v>161</v>
      </c>
      <c r="S30" t="s">
        <v>181</v>
      </c>
      <c r="T30" t="s">
        <v>163</v>
      </c>
      <c r="U30" t="s">
        <v>142</v>
      </c>
      <c r="V30" t="s">
        <v>143</v>
      </c>
      <c r="Y30">
        <v>3</v>
      </c>
      <c r="Z30" t="s">
        <v>285</v>
      </c>
      <c r="AB30" t="s">
        <v>286</v>
      </c>
      <c r="AI30" t="s">
        <v>182</v>
      </c>
      <c r="AK30" t="s">
        <v>146</v>
      </c>
      <c r="AM30" t="s">
        <v>147</v>
      </c>
      <c r="AS30" t="s">
        <v>148</v>
      </c>
      <c r="BC30" t="s">
        <v>287</v>
      </c>
      <c r="BD30" t="s">
        <v>146</v>
      </c>
      <c r="BG30">
        <v>0</v>
      </c>
      <c r="BH30" t="s">
        <v>288</v>
      </c>
      <c r="BM30" t="s">
        <v>289</v>
      </c>
      <c r="BN30">
        <v>0</v>
      </c>
      <c r="BV30" t="s">
        <v>290</v>
      </c>
      <c r="BZ30" t="s">
        <v>291</v>
      </c>
    </row>
    <row r="31" spans="1:92" x14ac:dyDescent="0.2">
      <c r="A31" t="s">
        <v>111</v>
      </c>
      <c r="B31" t="b">
        <v>1</v>
      </c>
      <c r="E31">
        <v>30</v>
      </c>
      <c r="F31" t="str">
        <f>HYPERLINK("https://portal.dnb.de/opac.htm?method=simpleSearch&amp;cqlMode=true&amp;query=idn%3D1066966281", "Portal")</f>
        <v>Portal</v>
      </c>
      <c r="G31" t="s">
        <v>133</v>
      </c>
      <c r="H31" t="s">
        <v>292</v>
      </c>
      <c r="I31" t="s">
        <v>293</v>
      </c>
      <c r="J31" t="s">
        <v>294</v>
      </c>
      <c r="K31" t="s">
        <v>294</v>
      </c>
      <c r="L31" t="s">
        <v>294</v>
      </c>
      <c r="N31" t="s">
        <v>295</v>
      </c>
      <c r="O31" t="s">
        <v>121</v>
      </c>
      <c r="P31" t="s">
        <v>138</v>
      </c>
      <c r="R31" t="s">
        <v>139</v>
      </c>
      <c r="S31" t="s">
        <v>162</v>
      </c>
      <c r="T31" t="s">
        <v>163</v>
      </c>
      <c r="U31" t="s">
        <v>164</v>
      </c>
      <c r="V31" t="s">
        <v>143</v>
      </c>
      <c r="Y31">
        <v>0</v>
      </c>
      <c r="AI31" t="s">
        <v>145</v>
      </c>
      <c r="AK31" t="s">
        <v>146</v>
      </c>
      <c r="AM31" t="s">
        <v>147</v>
      </c>
      <c r="AS31" t="s">
        <v>148</v>
      </c>
      <c r="BC31" t="s">
        <v>166</v>
      </c>
      <c r="BD31" t="s">
        <v>146</v>
      </c>
      <c r="BG31">
        <v>110</v>
      </c>
      <c r="BM31" t="s">
        <v>151</v>
      </c>
      <c r="BN31">
        <v>0</v>
      </c>
    </row>
    <row r="32" spans="1:92" x14ac:dyDescent="0.2">
      <c r="A32" t="s">
        <v>111</v>
      </c>
      <c r="B32" t="b">
        <v>1</v>
      </c>
      <c r="E32">
        <v>32</v>
      </c>
      <c r="F32" t="str">
        <f>HYPERLINK("https://portal.dnb.de/opac.htm?method=simpleSearch&amp;cqlMode=true&amp;query=idn%3D1066969566", "Portal")</f>
        <v>Portal</v>
      </c>
      <c r="G32" t="s">
        <v>133</v>
      </c>
      <c r="H32" t="s">
        <v>296</v>
      </c>
      <c r="I32" t="s">
        <v>297</v>
      </c>
      <c r="J32" t="s">
        <v>298</v>
      </c>
      <c r="K32" t="s">
        <v>298</v>
      </c>
      <c r="L32" t="s">
        <v>298</v>
      </c>
      <c r="N32" t="s">
        <v>299</v>
      </c>
      <c r="O32" t="s">
        <v>121</v>
      </c>
      <c r="R32" t="s">
        <v>161</v>
      </c>
      <c r="S32" t="s">
        <v>162</v>
      </c>
      <c r="T32" t="s">
        <v>163</v>
      </c>
      <c r="U32" t="s">
        <v>164</v>
      </c>
      <c r="V32" t="s">
        <v>143</v>
      </c>
      <c r="Y32">
        <v>0</v>
      </c>
      <c r="AB32" t="s">
        <v>244</v>
      </c>
      <c r="AI32" t="s">
        <v>182</v>
      </c>
      <c r="AK32" t="s">
        <v>146</v>
      </c>
      <c r="AM32" t="s">
        <v>147</v>
      </c>
      <c r="AS32" t="s">
        <v>148</v>
      </c>
      <c r="AW32" t="s">
        <v>146</v>
      </c>
      <c r="BC32" t="s">
        <v>166</v>
      </c>
      <c r="BD32" t="s">
        <v>146</v>
      </c>
      <c r="BG32">
        <v>110</v>
      </c>
      <c r="BM32" t="s">
        <v>151</v>
      </c>
      <c r="BN32">
        <v>0</v>
      </c>
    </row>
    <row r="33" spans="1:110" x14ac:dyDescent="0.2">
      <c r="A33" t="s">
        <v>111</v>
      </c>
      <c r="B33" t="b">
        <v>1</v>
      </c>
      <c r="C33" t="s">
        <v>146</v>
      </c>
      <c r="F33" t="str">
        <f>HYPERLINK("https://portal.dnb.de/opac.htm?method=simpleSearch&amp;cqlMode=true&amp;query=idn%3D1269230115", "Portal")</f>
        <v>Portal</v>
      </c>
      <c r="G33" t="s">
        <v>300</v>
      </c>
      <c r="H33" t="s">
        <v>301</v>
      </c>
      <c r="I33" t="s">
        <v>302</v>
      </c>
      <c r="J33" t="s">
        <v>303</v>
      </c>
      <c r="K33" t="s">
        <v>304</v>
      </c>
      <c r="L33" t="s">
        <v>304</v>
      </c>
      <c r="N33" t="s">
        <v>305</v>
      </c>
      <c r="O33" t="s">
        <v>121</v>
      </c>
      <c r="P33" t="s">
        <v>138</v>
      </c>
      <c r="R33" t="s">
        <v>180</v>
      </c>
      <c r="S33" t="s">
        <v>162</v>
      </c>
      <c r="T33" t="s">
        <v>163</v>
      </c>
      <c r="U33" t="s">
        <v>164</v>
      </c>
      <c r="V33" t="s">
        <v>143</v>
      </c>
      <c r="Y33">
        <v>0</v>
      </c>
      <c r="AI33" t="s">
        <v>145</v>
      </c>
      <c r="AK33" t="s">
        <v>146</v>
      </c>
      <c r="AM33" t="s">
        <v>147</v>
      </c>
      <c r="AS33" t="s">
        <v>148</v>
      </c>
      <c r="AX33" t="s">
        <v>146</v>
      </c>
      <c r="BC33" t="s">
        <v>166</v>
      </c>
      <c r="BD33" t="s">
        <v>245</v>
      </c>
      <c r="BE33">
        <v>0</v>
      </c>
      <c r="BG33">
        <v>110</v>
      </c>
      <c r="BM33" t="s">
        <v>213</v>
      </c>
      <c r="BN33">
        <v>43</v>
      </c>
      <c r="BV33" t="s">
        <v>306</v>
      </c>
      <c r="CA33" t="s">
        <v>146</v>
      </c>
      <c r="CD33" t="s">
        <v>202</v>
      </c>
      <c r="CM33">
        <v>3</v>
      </c>
      <c r="CQ33" t="s">
        <v>146</v>
      </c>
      <c r="DF33">
        <v>40</v>
      </c>
    </row>
    <row r="34" spans="1:110" x14ac:dyDescent="0.2">
      <c r="A34" t="s">
        <v>111</v>
      </c>
      <c r="B34" t="b">
        <v>1</v>
      </c>
      <c r="C34" t="s">
        <v>146</v>
      </c>
      <c r="E34">
        <v>34</v>
      </c>
      <c r="F34" t="str">
        <f>HYPERLINK("https://portal.dnb.de/opac.htm?method=simpleSearch&amp;cqlMode=true&amp;query=idn%3D1066969574", "Portal")</f>
        <v>Portal</v>
      </c>
      <c r="G34" t="s">
        <v>133</v>
      </c>
      <c r="H34" t="s">
        <v>307</v>
      </c>
      <c r="I34" t="s">
        <v>308</v>
      </c>
      <c r="J34" t="s">
        <v>309</v>
      </c>
      <c r="K34" t="s">
        <v>309</v>
      </c>
      <c r="L34" t="s">
        <v>309</v>
      </c>
      <c r="N34" t="s">
        <v>310</v>
      </c>
      <c r="O34" t="s">
        <v>121</v>
      </c>
      <c r="P34" t="s">
        <v>138</v>
      </c>
      <c r="Q34" t="s">
        <v>311</v>
      </c>
      <c r="R34" t="s">
        <v>180</v>
      </c>
      <c r="S34" t="s">
        <v>162</v>
      </c>
      <c r="T34" t="s">
        <v>163</v>
      </c>
      <c r="U34" t="s">
        <v>312</v>
      </c>
      <c r="V34" t="s">
        <v>143</v>
      </c>
      <c r="Y34">
        <v>3</v>
      </c>
      <c r="AI34" t="s">
        <v>145</v>
      </c>
      <c r="AK34" t="s">
        <v>146</v>
      </c>
      <c r="AM34" t="s">
        <v>313</v>
      </c>
      <c r="AO34" t="s">
        <v>245</v>
      </c>
      <c r="AS34" t="s">
        <v>148</v>
      </c>
      <c r="BC34" t="s">
        <v>149</v>
      </c>
      <c r="BD34" t="s">
        <v>146</v>
      </c>
      <c r="BG34">
        <v>60</v>
      </c>
      <c r="BM34" t="s">
        <v>213</v>
      </c>
      <c r="BN34">
        <v>3</v>
      </c>
      <c r="BR34" t="s">
        <v>146</v>
      </c>
      <c r="BY34" t="s">
        <v>314</v>
      </c>
      <c r="CA34" t="s">
        <v>146</v>
      </c>
      <c r="CB34" t="s">
        <v>146</v>
      </c>
      <c r="CC34" t="s">
        <v>146</v>
      </c>
      <c r="CM34">
        <v>3</v>
      </c>
    </row>
    <row r="35" spans="1:110" x14ac:dyDescent="0.2">
      <c r="A35" t="s">
        <v>111</v>
      </c>
      <c r="B35" t="b">
        <v>1</v>
      </c>
      <c r="C35" t="s">
        <v>146</v>
      </c>
      <c r="E35">
        <v>35</v>
      </c>
      <c r="F35" t="str">
        <f>HYPERLINK("https://portal.dnb.de/opac.htm?method=simpleSearch&amp;cqlMode=true&amp;query=idn%3D1066966109", "Portal")</f>
        <v>Portal</v>
      </c>
      <c r="G35" t="s">
        <v>133</v>
      </c>
      <c r="H35" t="s">
        <v>315</v>
      </c>
      <c r="I35" t="s">
        <v>316</v>
      </c>
      <c r="J35" t="s">
        <v>317</v>
      </c>
      <c r="K35" t="s">
        <v>317</v>
      </c>
      <c r="L35" t="s">
        <v>317</v>
      </c>
      <c r="N35" t="s">
        <v>318</v>
      </c>
      <c r="O35" t="s">
        <v>121</v>
      </c>
      <c r="P35" t="s">
        <v>138</v>
      </c>
      <c r="R35" t="s">
        <v>180</v>
      </c>
      <c r="S35" t="s">
        <v>189</v>
      </c>
      <c r="T35" t="s">
        <v>163</v>
      </c>
      <c r="U35" t="s">
        <v>142</v>
      </c>
      <c r="V35" t="s">
        <v>143</v>
      </c>
      <c r="W35" t="s">
        <v>67</v>
      </c>
      <c r="X35" t="s">
        <v>144</v>
      </c>
      <c r="Y35">
        <v>1</v>
      </c>
      <c r="AI35" t="s">
        <v>145</v>
      </c>
      <c r="AK35" t="s">
        <v>146</v>
      </c>
      <c r="AM35" t="s">
        <v>313</v>
      </c>
      <c r="AS35" t="s">
        <v>148</v>
      </c>
      <c r="BC35" t="s">
        <v>166</v>
      </c>
      <c r="BD35" t="s">
        <v>146</v>
      </c>
      <c r="BG35">
        <v>110</v>
      </c>
      <c r="BM35" t="s">
        <v>151</v>
      </c>
      <c r="BN35">
        <v>0.5</v>
      </c>
      <c r="BP35" t="s">
        <v>152</v>
      </c>
      <c r="CT35" t="s">
        <v>146</v>
      </c>
      <c r="DF35">
        <v>0.5</v>
      </c>
    </row>
    <row r="36" spans="1:110" x14ac:dyDescent="0.2">
      <c r="A36" t="s">
        <v>111</v>
      </c>
      <c r="B36" t="b">
        <v>1</v>
      </c>
      <c r="E36">
        <v>36</v>
      </c>
      <c r="F36" t="str">
        <f>HYPERLINK("https://portal.dnb.de/opac.htm?method=simpleSearch&amp;cqlMode=true&amp;query=idn%3D1066968810", "Portal")</f>
        <v>Portal</v>
      </c>
      <c r="G36" t="s">
        <v>133</v>
      </c>
      <c r="H36" t="s">
        <v>319</v>
      </c>
      <c r="I36" t="s">
        <v>320</v>
      </c>
      <c r="J36" t="s">
        <v>321</v>
      </c>
      <c r="K36" t="s">
        <v>321</v>
      </c>
      <c r="L36" t="s">
        <v>321</v>
      </c>
      <c r="N36" t="s">
        <v>261</v>
      </c>
      <c r="O36" t="s">
        <v>121</v>
      </c>
      <c r="R36" t="s">
        <v>161</v>
      </c>
      <c r="S36" t="s">
        <v>181</v>
      </c>
      <c r="T36" t="s">
        <v>163</v>
      </c>
      <c r="U36" t="s">
        <v>322</v>
      </c>
      <c r="V36" t="s">
        <v>143</v>
      </c>
      <c r="Y36">
        <v>0</v>
      </c>
      <c r="AB36" t="s">
        <v>244</v>
      </c>
      <c r="AI36" t="s">
        <v>182</v>
      </c>
      <c r="AK36" t="s">
        <v>146</v>
      </c>
      <c r="AM36" t="s">
        <v>228</v>
      </c>
      <c r="AS36" t="s">
        <v>148</v>
      </c>
      <c r="AX36" t="s">
        <v>146</v>
      </c>
      <c r="BC36" t="s">
        <v>166</v>
      </c>
      <c r="BD36" t="s">
        <v>146</v>
      </c>
      <c r="BG36">
        <v>110</v>
      </c>
      <c r="BM36" t="s">
        <v>151</v>
      </c>
      <c r="BN36">
        <v>0</v>
      </c>
    </row>
    <row r="37" spans="1:110" x14ac:dyDescent="0.2">
      <c r="A37" t="s">
        <v>111</v>
      </c>
      <c r="B37" t="b">
        <v>1</v>
      </c>
      <c r="E37">
        <v>37</v>
      </c>
      <c r="F37" t="str">
        <f>HYPERLINK("https://portal.dnb.de/opac.htm?method=simpleSearch&amp;cqlMode=true&amp;query=idn%3D1066970181", "Portal")</f>
        <v>Portal</v>
      </c>
      <c r="G37" t="s">
        <v>115</v>
      </c>
      <c r="H37" t="s">
        <v>323</v>
      </c>
      <c r="I37" t="s">
        <v>324</v>
      </c>
      <c r="J37" t="s">
        <v>325</v>
      </c>
      <c r="K37" t="s">
        <v>325</v>
      </c>
      <c r="L37" t="s">
        <v>325</v>
      </c>
      <c r="N37" t="s">
        <v>326</v>
      </c>
      <c r="O37" t="s">
        <v>121</v>
      </c>
      <c r="BN37">
        <v>0</v>
      </c>
    </row>
    <row r="38" spans="1:110" x14ac:dyDescent="0.2">
      <c r="A38" t="s">
        <v>111</v>
      </c>
      <c r="B38" t="b">
        <v>1</v>
      </c>
      <c r="E38">
        <v>38</v>
      </c>
      <c r="F38" t="str">
        <f>HYPERLINK("https://portal.dnb.de/opac.htm?method=simpleSearch&amp;cqlMode=true&amp;query=idn%3D1066972443", "Portal")</f>
        <v>Portal</v>
      </c>
      <c r="G38" t="s">
        <v>133</v>
      </c>
      <c r="H38" t="s">
        <v>327</v>
      </c>
      <c r="I38" t="s">
        <v>328</v>
      </c>
      <c r="J38" t="s">
        <v>329</v>
      </c>
      <c r="K38" t="s">
        <v>329</v>
      </c>
      <c r="L38" t="s">
        <v>329</v>
      </c>
      <c r="N38" t="s">
        <v>330</v>
      </c>
      <c r="O38" t="s">
        <v>121</v>
      </c>
      <c r="P38" t="s">
        <v>138</v>
      </c>
      <c r="R38" t="s">
        <v>180</v>
      </c>
      <c r="S38" t="s">
        <v>189</v>
      </c>
      <c r="T38" t="s">
        <v>141</v>
      </c>
      <c r="U38" t="s">
        <v>164</v>
      </c>
      <c r="V38" t="s">
        <v>143</v>
      </c>
      <c r="W38" t="s">
        <v>67</v>
      </c>
      <c r="X38" t="s">
        <v>144</v>
      </c>
      <c r="Y38">
        <v>0</v>
      </c>
      <c r="AI38" t="s">
        <v>145</v>
      </c>
      <c r="AK38" t="s">
        <v>146</v>
      </c>
      <c r="AM38" t="s">
        <v>266</v>
      </c>
      <c r="AS38" t="s">
        <v>148</v>
      </c>
      <c r="BC38" t="s">
        <v>166</v>
      </c>
      <c r="BD38" t="s">
        <v>146</v>
      </c>
      <c r="BG38">
        <v>110</v>
      </c>
      <c r="BM38" t="s">
        <v>151</v>
      </c>
      <c r="BN38">
        <v>0</v>
      </c>
      <c r="BP38" t="s">
        <v>152</v>
      </c>
    </row>
    <row r="39" spans="1:110" x14ac:dyDescent="0.2">
      <c r="A39" t="s">
        <v>111</v>
      </c>
      <c r="B39" t="b">
        <v>1</v>
      </c>
      <c r="C39" t="s">
        <v>146</v>
      </c>
      <c r="E39">
        <v>39</v>
      </c>
      <c r="F39" t="str">
        <f>HYPERLINK("https://portal.dnb.de/opac.htm?method=simpleSearch&amp;cqlMode=true&amp;query=idn%3D1066970378", "Portal")</f>
        <v>Portal</v>
      </c>
      <c r="G39" t="s">
        <v>133</v>
      </c>
      <c r="H39" t="s">
        <v>331</v>
      </c>
      <c r="I39" t="s">
        <v>332</v>
      </c>
      <c r="J39" t="s">
        <v>333</v>
      </c>
      <c r="K39" t="s">
        <v>333</v>
      </c>
      <c r="L39" t="s">
        <v>333</v>
      </c>
      <c r="N39" t="s">
        <v>334</v>
      </c>
      <c r="O39" t="s">
        <v>121</v>
      </c>
      <c r="P39" t="s">
        <v>138</v>
      </c>
      <c r="R39" t="s">
        <v>180</v>
      </c>
      <c r="S39" t="s">
        <v>140</v>
      </c>
      <c r="T39" t="s">
        <v>163</v>
      </c>
      <c r="U39" t="s">
        <v>243</v>
      </c>
      <c r="V39" t="s">
        <v>143</v>
      </c>
      <c r="W39" t="s">
        <v>67</v>
      </c>
      <c r="X39" t="s">
        <v>144</v>
      </c>
      <c r="Y39">
        <v>2</v>
      </c>
      <c r="AI39" t="s">
        <v>145</v>
      </c>
      <c r="AK39" t="s">
        <v>146</v>
      </c>
      <c r="AM39" t="s">
        <v>147</v>
      </c>
      <c r="AS39" t="s">
        <v>148</v>
      </c>
      <c r="BC39" t="s">
        <v>166</v>
      </c>
      <c r="BD39" t="s">
        <v>146</v>
      </c>
      <c r="BG39" t="s">
        <v>200</v>
      </c>
      <c r="BM39" t="s">
        <v>213</v>
      </c>
      <c r="BN39">
        <v>2</v>
      </c>
      <c r="BP39" t="s">
        <v>152</v>
      </c>
      <c r="CA39" t="s">
        <v>146</v>
      </c>
      <c r="CD39" t="s">
        <v>202</v>
      </c>
      <c r="CM39">
        <v>2</v>
      </c>
    </row>
    <row r="40" spans="1:110" x14ac:dyDescent="0.2">
      <c r="A40" t="s">
        <v>111</v>
      </c>
      <c r="B40" t="b">
        <v>1</v>
      </c>
      <c r="E40">
        <v>40</v>
      </c>
      <c r="F40" t="str">
        <f>HYPERLINK("https://portal.dnb.de/opac.htm?method=simpleSearch&amp;cqlMode=true&amp;query=idn%3D106696923X", "Portal")</f>
        <v>Portal</v>
      </c>
      <c r="G40" t="s">
        <v>133</v>
      </c>
      <c r="H40" t="s">
        <v>335</v>
      </c>
      <c r="I40" t="s">
        <v>336</v>
      </c>
      <c r="J40" t="s">
        <v>337</v>
      </c>
      <c r="K40" t="s">
        <v>337</v>
      </c>
      <c r="L40" t="s">
        <v>337</v>
      </c>
      <c r="N40" t="s">
        <v>338</v>
      </c>
      <c r="O40" t="s">
        <v>121</v>
      </c>
      <c r="BN40">
        <v>0</v>
      </c>
    </row>
    <row r="41" spans="1:110" x14ac:dyDescent="0.2">
      <c r="A41" t="s">
        <v>111</v>
      </c>
      <c r="B41" t="b">
        <v>1</v>
      </c>
      <c r="C41" t="s">
        <v>146</v>
      </c>
      <c r="E41">
        <v>41</v>
      </c>
      <c r="F41" t="str">
        <f>HYPERLINK("https://portal.dnb.de/opac.htm?method=simpleSearch&amp;cqlMode=true&amp;query=idn%3D1066972877", "Portal")</f>
        <v>Portal</v>
      </c>
      <c r="G41" t="s">
        <v>133</v>
      </c>
      <c r="H41" t="s">
        <v>339</v>
      </c>
      <c r="I41" t="s">
        <v>340</v>
      </c>
      <c r="J41" t="s">
        <v>341</v>
      </c>
      <c r="K41" t="s">
        <v>341</v>
      </c>
      <c r="L41" t="s">
        <v>341</v>
      </c>
      <c r="N41" t="s">
        <v>342</v>
      </c>
      <c r="O41" t="s">
        <v>121</v>
      </c>
      <c r="P41" t="s">
        <v>138</v>
      </c>
      <c r="Q41" t="s">
        <v>343</v>
      </c>
      <c r="R41" t="s">
        <v>161</v>
      </c>
      <c r="S41" t="s">
        <v>189</v>
      </c>
      <c r="T41" t="s">
        <v>141</v>
      </c>
      <c r="U41" t="s">
        <v>172</v>
      </c>
      <c r="W41" t="s">
        <v>67</v>
      </c>
      <c r="X41" t="s">
        <v>144</v>
      </c>
      <c r="Y41">
        <v>2</v>
      </c>
      <c r="AI41" t="s">
        <v>165</v>
      </c>
      <c r="AK41" t="s">
        <v>146</v>
      </c>
      <c r="AM41" t="s">
        <v>228</v>
      </c>
      <c r="AS41" t="s">
        <v>148</v>
      </c>
      <c r="BG41">
        <v>110</v>
      </c>
      <c r="BM41" t="s">
        <v>201</v>
      </c>
      <c r="BN41">
        <v>1</v>
      </c>
      <c r="BP41" t="s">
        <v>152</v>
      </c>
      <c r="CA41" t="s">
        <v>146</v>
      </c>
      <c r="CD41" t="s">
        <v>202</v>
      </c>
      <c r="CM41">
        <v>1</v>
      </c>
    </row>
    <row r="42" spans="1:110" x14ac:dyDescent="0.2">
      <c r="A42" t="s">
        <v>111</v>
      </c>
      <c r="B42" t="b">
        <v>1</v>
      </c>
      <c r="E42">
        <v>42</v>
      </c>
      <c r="F42" t="str">
        <f>HYPERLINK("https://portal.dnb.de/opac.htm?method=simpleSearch&amp;cqlMode=true&amp;query=idn%3D1069138924", "Portal")</f>
        <v>Portal</v>
      </c>
      <c r="G42" t="s">
        <v>133</v>
      </c>
      <c r="H42" t="s">
        <v>344</v>
      </c>
      <c r="I42" t="s">
        <v>345</v>
      </c>
      <c r="J42" t="s">
        <v>346</v>
      </c>
      <c r="K42" t="s">
        <v>346</v>
      </c>
      <c r="L42" t="s">
        <v>346</v>
      </c>
      <c r="N42" t="s">
        <v>342</v>
      </c>
      <c r="O42" t="s">
        <v>121</v>
      </c>
      <c r="P42" t="s">
        <v>138</v>
      </c>
      <c r="R42" t="s">
        <v>347</v>
      </c>
      <c r="S42" t="s">
        <v>189</v>
      </c>
      <c r="T42" t="s">
        <v>141</v>
      </c>
      <c r="U42" t="s">
        <v>142</v>
      </c>
      <c r="V42" t="s">
        <v>143</v>
      </c>
      <c r="W42" t="s">
        <v>67</v>
      </c>
      <c r="X42" t="s">
        <v>144</v>
      </c>
      <c r="Y42">
        <v>0</v>
      </c>
      <c r="AI42" t="s">
        <v>174</v>
      </c>
      <c r="AK42" t="s">
        <v>146</v>
      </c>
      <c r="AM42" t="s">
        <v>228</v>
      </c>
      <c r="AS42" t="s">
        <v>148</v>
      </c>
      <c r="BC42" t="s">
        <v>166</v>
      </c>
      <c r="BD42" t="s">
        <v>146</v>
      </c>
      <c r="BG42">
        <v>180</v>
      </c>
      <c r="BM42" t="s">
        <v>151</v>
      </c>
      <c r="BN42">
        <v>0</v>
      </c>
      <c r="BP42" t="s">
        <v>152</v>
      </c>
    </row>
    <row r="43" spans="1:110" x14ac:dyDescent="0.2">
      <c r="A43" t="s">
        <v>111</v>
      </c>
      <c r="B43" t="b">
        <v>1</v>
      </c>
      <c r="E43">
        <v>43</v>
      </c>
      <c r="F43" t="str">
        <f>HYPERLINK("https://portal.dnb.de/opac.htm?method=simpleSearch&amp;cqlMode=true&amp;query=idn%3D1066968829", "Portal")</f>
        <v>Portal</v>
      </c>
      <c r="G43" t="s">
        <v>133</v>
      </c>
      <c r="H43" t="s">
        <v>348</v>
      </c>
      <c r="I43" t="s">
        <v>349</v>
      </c>
      <c r="J43" t="s">
        <v>350</v>
      </c>
      <c r="K43" t="s">
        <v>350</v>
      </c>
      <c r="L43" t="s">
        <v>350</v>
      </c>
      <c r="N43" t="s">
        <v>351</v>
      </c>
      <c r="O43" t="s">
        <v>121</v>
      </c>
      <c r="P43" t="s">
        <v>138</v>
      </c>
      <c r="R43" t="s">
        <v>161</v>
      </c>
      <c r="S43" t="s">
        <v>189</v>
      </c>
      <c r="T43" t="s">
        <v>163</v>
      </c>
      <c r="U43" t="s">
        <v>243</v>
      </c>
      <c r="V43" t="s">
        <v>143</v>
      </c>
      <c r="W43" t="s">
        <v>67</v>
      </c>
      <c r="X43" t="s">
        <v>144</v>
      </c>
      <c r="Y43">
        <v>0</v>
      </c>
      <c r="AI43" t="s">
        <v>165</v>
      </c>
      <c r="AK43" t="s">
        <v>146</v>
      </c>
      <c r="AM43" t="s">
        <v>147</v>
      </c>
      <c r="AS43" t="s">
        <v>148</v>
      </c>
      <c r="AT43" t="s">
        <v>146</v>
      </c>
      <c r="BG43">
        <v>110</v>
      </c>
      <c r="BM43" t="s">
        <v>151</v>
      </c>
      <c r="BN43">
        <v>0</v>
      </c>
      <c r="BP43" t="s">
        <v>152</v>
      </c>
    </row>
    <row r="44" spans="1:110" x14ac:dyDescent="0.2">
      <c r="A44" t="s">
        <v>111</v>
      </c>
      <c r="B44" t="b">
        <v>1</v>
      </c>
      <c r="C44" t="s">
        <v>146</v>
      </c>
      <c r="E44">
        <v>44</v>
      </c>
      <c r="F44" t="str">
        <f>HYPERLINK("https://portal.dnb.de/opac.htm?method=simpleSearch&amp;cqlMode=true&amp;query=idn%3D1066971781", "Portal")</f>
        <v>Portal</v>
      </c>
      <c r="G44" t="s">
        <v>133</v>
      </c>
      <c r="H44" t="s">
        <v>352</v>
      </c>
      <c r="I44" t="s">
        <v>353</v>
      </c>
      <c r="J44" t="s">
        <v>354</v>
      </c>
      <c r="K44" t="s">
        <v>354</v>
      </c>
      <c r="L44" t="s">
        <v>354</v>
      </c>
      <c r="N44" t="s">
        <v>355</v>
      </c>
      <c r="O44" t="s">
        <v>121</v>
      </c>
      <c r="P44" t="s">
        <v>138</v>
      </c>
      <c r="Q44" t="s">
        <v>356</v>
      </c>
      <c r="R44" t="s">
        <v>161</v>
      </c>
      <c r="S44" t="s">
        <v>189</v>
      </c>
      <c r="T44" t="s">
        <v>141</v>
      </c>
      <c r="U44" t="s">
        <v>243</v>
      </c>
      <c r="V44" t="s">
        <v>143</v>
      </c>
      <c r="W44" t="s">
        <v>67</v>
      </c>
      <c r="X44" t="s">
        <v>144</v>
      </c>
      <c r="Y44">
        <v>0</v>
      </c>
      <c r="AI44" t="s">
        <v>165</v>
      </c>
      <c r="AK44" t="s">
        <v>146</v>
      </c>
      <c r="AM44" t="s">
        <v>147</v>
      </c>
      <c r="AS44" t="s">
        <v>148</v>
      </c>
      <c r="BC44" t="s">
        <v>166</v>
      </c>
      <c r="BD44" t="s">
        <v>146</v>
      </c>
      <c r="BG44">
        <v>110</v>
      </c>
      <c r="BM44" t="s">
        <v>201</v>
      </c>
      <c r="BN44">
        <v>2</v>
      </c>
      <c r="BP44" t="s">
        <v>152</v>
      </c>
      <c r="CA44" t="s">
        <v>146</v>
      </c>
      <c r="CD44" t="s">
        <v>202</v>
      </c>
      <c r="CM44">
        <v>2</v>
      </c>
    </row>
    <row r="45" spans="1:110" x14ac:dyDescent="0.2">
      <c r="A45" t="s">
        <v>111</v>
      </c>
      <c r="B45" t="b">
        <v>1</v>
      </c>
      <c r="E45">
        <v>45</v>
      </c>
      <c r="F45" t="str">
        <f>HYPERLINK("https://portal.dnb.de/opac.htm?method=simpleSearch&amp;cqlMode=true&amp;query=idn%3D1066972869", "Portal")</f>
        <v>Portal</v>
      </c>
      <c r="G45" t="s">
        <v>133</v>
      </c>
      <c r="H45" t="s">
        <v>357</v>
      </c>
      <c r="I45" t="s">
        <v>358</v>
      </c>
      <c r="J45" t="s">
        <v>359</v>
      </c>
      <c r="K45" t="s">
        <v>359</v>
      </c>
      <c r="L45" t="s">
        <v>359</v>
      </c>
      <c r="N45" t="s">
        <v>360</v>
      </c>
      <c r="O45" t="s">
        <v>121</v>
      </c>
      <c r="P45" t="s">
        <v>138</v>
      </c>
      <c r="R45" t="s">
        <v>161</v>
      </c>
      <c r="S45" t="s">
        <v>189</v>
      </c>
      <c r="U45" t="s">
        <v>142</v>
      </c>
      <c r="V45" t="s">
        <v>143</v>
      </c>
      <c r="W45" t="s">
        <v>67</v>
      </c>
      <c r="X45" t="s">
        <v>144</v>
      </c>
      <c r="Y45">
        <v>0</v>
      </c>
      <c r="AI45" t="s">
        <v>165</v>
      </c>
      <c r="AK45" t="s">
        <v>146</v>
      </c>
      <c r="AM45" t="s">
        <v>147</v>
      </c>
      <c r="AS45" t="s">
        <v>148</v>
      </c>
      <c r="AT45" t="s">
        <v>146</v>
      </c>
      <c r="BC45" t="s">
        <v>166</v>
      </c>
      <c r="BD45" t="s">
        <v>146</v>
      </c>
      <c r="BG45">
        <v>110</v>
      </c>
      <c r="BM45" t="s">
        <v>151</v>
      </c>
      <c r="BN45">
        <v>0</v>
      </c>
      <c r="BP45" t="s">
        <v>152</v>
      </c>
    </row>
    <row r="46" spans="1:110" x14ac:dyDescent="0.2">
      <c r="A46" t="s">
        <v>111</v>
      </c>
      <c r="B46" t="b">
        <v>1</v>
      </c>
      <c r="E46">
        <v>46</v>
      </c>
      <c r="F46" t="str">
        <f>HYPERLINK("https://portal.dnb.de/opac.htm?method=simpleSearch&amp;cqlMode=true&amp;query=idn%3D1066970505", "Portal")</f>
        <v>Portal</v>
      </c>
      <c r="G46" t="s">
        <v>133</v>
      </c>
      <c r="H46" t="s">
        <v>361</v>
      </c>
      <c r="I46" t="s">
        <v>362</v>
      </c>
      <c r="J46" t="s">
        <v>363</v>
      </c>
      <c r="K46" t="s">
        <v>363</v>
      </c>
      <c r="L46" t="s">
        <v>363</v>
      </c>
      <c r="N46" t="s">
        <v>364</v>
      </c>
      <c r="O46" t="s">
        <v>121</v>
      </c>
      <c r="P46" t="s">
        <v>138</v>
      </c>
      <c r="R46" t="s">
        <v>161</v>
      </c>
      <c r="S46" t="s">
        <v>189</v>
      </c>
      <c r="U46" t="s">
        <v>142</v>
      </c>
      <c r="V46" t="s">
        <v>143</v>
      </c>
      <c r="W46" t="s">
        <v>67</v>
      </c>
      <c r="X46" t="s">
        <v>144</v>
      </c>
      <c r="Y46">
        <v>0</v>
      </c>
      <c r="AI46" t="s">
        <v>165</v>
      </c>
      <c r="AK46" t="s">
        <v>146</v>
      </c>
      <c r="AM46" t="s">
        <v>147</v>
      </c>
      <c r="AS46" t="s">
        <v>148</v>
      </c>
      <c r="AT46" t="s">
        <v>146</v>
      </c>
      <c r="BG46">
        <v>110</v>
      </c>
      <c r="BM46" t="s">
        <v>151</v>
      </c>
      <c r="BN46">
        <v>0</v>
      </c>
      <c r="BP46" t="s">
        <v>278</v>
      </c>
    </row>
    <row r="47" spans="1:110" x14ac:dyDescent="0.2">
      <c r="A47" t="s">
        <v>111</v>
      </c>
      <c r="B47" t="b">
        <v>1</v>
      </c>
      <c r="E47">
        <v>47</v>
      </c>
      <c r="F47" t="str">
        <f>HYPERLINK("https://portal.dnb.de/opac.htm?method=simpleSearch&amp;cqlMode=true&amp;query=idn%3D1066972893", "Portal")</f>
        <v>Portal</v>
      </c>
      <c r="G47" t="s">
        <v>133</v>
      </c>
      <c r="H47" t="s">
        <v>365</v>
      </c>
      <c r="I47" t="s">
        <v>366</v>
      </c>
      <c r="J47" t="s">
        <v>367</v>
      </c>
      <c r="K47" t="s">
        <v>367</v>
      </c>
      <c r="L47" t="s">
        <v>367</v>
      </c>
      <c r="N47" t="s">
        <v>368</v>
      </c>
      <c r="O47" t="s">
        <v>121</v>
      </c>
      <c r="P47" t="s">
        <v>138</v>
      </c>
      <c r="R47" t="s">
        <v>347</v>
      </c>
      <c r="S47" t="s">
        <v>189</v>
      </c>
      <c r="T47" t="s">
        <v>141</v>
      </c>
      <c r="U47" t="s">
        <v>142</v>
      </c>
      <c r="V47" t="s">
        <v>143</v>
      </c>
      <c r="W47" t="s">
        <v>67</v>
      </c>
      <c r="X47" t="s">
        <v>144</v>
      </c>
      <c r="Y47">
        <v>1</v>
      </c>
      <c r="AI47" t="s">
        <v>174</v>
      </c>
      <c r="AK47" t="s">
        <v>146</v>
      </c>
      <c r="AM47" t="s">
        <v>228</v>
      </c>
      <c r="AS47" t="s">
        <v>148</v>
      </c>
      <c r="BC47" t="s">
        <v>166</v>
      </c>
      <c r="BD47" t="s">
        <v>146</v>
      </c>
      <c r="BG47">
        <v>110</v>
      </c>
      <c r="BM47" t="s">
        <v>151</v>
      </c>
      <c r="BN47">
        <v>0</v>
      </c>
      <c r="BP47" t="s">
        <v>152</v>
      </c>
    </row>
    <row r="48" spans="1:110" x14ac:dyDescent="0.2">
      <c r="A48" t="s">
        <v>111</v>
      </c>
      <c r="B48" t="b">
        <v>1</v>
      </c>
      <c r="E48">
        <v>48</v>
      </c>
      <c r="F48" t="str">
        <f>HYPERLINK("https://portal.dnb.de/opac.htm?method=simpleSearch&amp;cqlMode=true&amp;query=idn%3D1066972958", "Portal")</f>
        <v>Portal</v>
      </c>
      <c r="G48" t="s">
        <v>133</v>
      </c>
      <c r="H48" t="s">
        <v>369</v>
      </c>
      <c r="I48" t="s">
        <v>370</v>
      </c>
      <c r="J48" t="s">
        <v>371</v>
      </c>
      <c r="K48" t="s">
        <v>371</v>
      </c>
      <c r="L48" t="s">
        <v>371</v>
      </c>
      <c r="N48" t="s">
        <v>372</v>
      </c>
      <c r="O48" t="s">
        <v>121</v>
      </c>
      <c r="P48" t="s">
        <v>138</v>
      </c>
      <c r="R48" t="s">
        <v>347</v>
      </c>
      <c r="S48" t="s">
        <v>189</v>
      </c>
      <c r="T48" t="s">
        <v>141</v>
      </c>
      <c r="U48" t="s">
        <v>142</v>
      </c>
      <c r="V48" t="s">
        <v>143</v>
      </c>
      <c r="W48" t="s">
        <v>67</v>
      </c>
      <c r="X48" t="s">
        <v>144</v>
      </c>
      <c r="Y48">
        <v>0</v>
      </c>
      <c r="AI48" t="s">
        <v>174</v>
      </c>
      <c r="AK48" t="s">
        <v>146</v>
      </c>
      <c r="AM48" t="s">
        <v>228</v>
      </c>
      <c r="AS48" t="s">
        <v>148</v>
      </c>
      <c r="BC48" t="s">
        <v>166</v>
      </c>
      <c r="BD48" t="s">
        <v>146</v>
      </c>
      <c r="BG48">
        <v>180</v>
      </c>
      <c r="BM48" t="s">
        <v>151</v>
      </c>
      <c r="BN48">
        <v>0</v>
      </c>
      <c r="BP48" t="s">
        <v>152</v>
      </c>
    </row>
    <row r="49" spans="1:91" x14ac:dyDescent="0.2">
      <c r="A49" t="s">
        <v>111</v>
      </c>
      <c r="B49" t="b">
        <v>1</v>
      </c>
      <c r="F49" t="str">
        <f>HYPERLINK("https://portal.dnb.de/opac.htm?method=simpleSearch&amp;cqlMode=true&amp;query=idn%3D126894694X", "Portal")</f>
        <v>Portal</v>
      </c>
      <c r="G49" t="s">
        <v>300</v>
      </c>
      <c r="H49" t="s">
        <v>373</v>
      </c>
      <c r="I49" t="s">
        <v>374</v>
      </c>
      <c r="J49" t="s">
        <v>375</v>
      </c>
      <c r="K49" t="s">
        <v>375</v>
      </c>
      <c r="L49" t="s">
        <v>375</v>
      </c>
      <c r="N49" t="s">
        <v>376</v>
      </c>
      <c r="O49" t="s">
        <v>121</v>
      </c>
      <c r="P49" t="s">
        <v>138</v>
      </c>
      <c r="R49" t="s">
        <v>139</v>
      </c>
      <c r="S49" t="s">
        <v>189</v>
      </c>
      <c r="T49" t="s">
        <v>163</v>
      </c>
      <c r="U49" t="s">
        <v>142</v>
      </c>
      <c r="V49" t="s">
        <v>143</v>
      </c>
      <c r="W49" t="s">
        <v>67</v>
      </c>
      <c r="X49" t="s">
        <v>144</v>
      </c>
      <c r="Y49">
        <v>0</v>
      </c>
      <c r="AI49" t="s">
        <v>145</v>
      </c>
      <c r="AK49" t="s">
        <v>146</v>
      </c>
      <c r="AM49" t="s">
        <v>147</v>
      </c>
      <c r="AS49" t="s">
        <v>148</v>
      </c>
      <c r="BC49" t="s">
        <v>166</v>
      </c>
      <c r="BD49" t="s">
        <v>146</v>
      </c>
      <c r="BG49">
        <v>110</v>
      </c>
      <c r="BM49" t="s">
        <v>151</v>
      </c>
      <c r="BN49">
        <v>0</v>
      </c>
      <c r="BP49" t="s">
        <v>152</v>
      </c>
    </row>
    <row r="50" spans="1:91" x14ac:dyDescent="0.2">
      <c r="A50" t="s">
        <v>111</v>
      </c>
      <c r="B50" t="b">
        <v>1</v>
      </c>
      <c r="E50">
        <v>51</v>
      </c>
      <c r="F50" t="str">
        <f>HYPERLINK("https://portal.dnb.de/opac.htm?method=simpleSearch&amp;cqlMode=true&amp;query=idn%3D1066972907", "Portal")</f>
        <v>Portal</v>
      </c>
      <c r="G50" t="s">
        <v>133</v>
      </c>
      <c r="H50" t="s">
        <v>377</v>
      </c>
      <c r="I50" t="s">
        <v>378</v>
      </c>
      <c r="J50" t="s">
        <v>379</v>
      </c>
      <c r="K50" t="s">
        <v>379</v>
      </c>
      <c r="L50" t="s">
        <v>379</v>
      </c>
      <c r="N50" t="s">
        <v>380</v>
      </c>
      <c r="O50" t="s">
        <v>121</v>
      </c>
      <c r="P50" t="s">
        <v>138</v>
      </c>
      <c r="R50" t="s">
        <v>171</v>
      </c>
      <c r="S50" t="s">
        <v>189</v>
      </c>
      <c r="T50" t="s">
        <v>163</v>
      </c>
      <c r="U50" t="s">
        <v>381</v>
      </c>
      <c r="V50" t="s">
        <v>143</v>
      </c>
      <c r="W50" t="s">
        <v>67</v>
      </c>
      <c r="X50" t="s">
        <v>144</v>
      </c>
      <c r="Y50">
        <v>0</v>
      </c>
      <c r="BN50">
        <v>0</v>
      </c>
    </row>
    <row r="51" spans="1:91" x14ac:dyDescent="0.2">
      <c r="A51" t="s">
        <v>111</v>
      </c>
      <c r="B51" t="b">
        <v>1</v>
      </c>
      <c r="E51">
        <v>52</v>
      </c>
      <c r="F51" t="str">
        <f>HYPERLINK("https://portal.dnb.de/opac.htm?method=simpleSearch&amp;cqlMode=true&amp;query=idn%3D1072051036", "Portal")</f>
        <v>Portal</v>
      </c>
      <c r="G51" t="s">
        <v>115</v>
      </c>
      <c r="H51" t="s">
        <v>382</v>
      </c>
      <c r="I51" t="s">
        <v>383</v>
      </c>
      <c r="J51" t="s">
        <v>384</v>
      </c>
      <c r="K51" t="s">
        <v>384</v>
      </c>
      <c r="L51" t="s">
        <v>384</v>
      </c>
      <c r="N51" t="s">
        <v>385</v>
      </c>
      <c r="O51" t="s">
        <v>121</v>
      </c>
      <c r="P51" t="s">
        <v>138</v>
      </c>
      <c r="R51" t="s">
        <v>161</v>
      </c>
      <c r="S51" t="s">
        <v>189</v>
      </c>
      <c r="T51" t="s">
        <v>163</v>
      </c>
      <c r="U51" t="s">
        <v>386</v>
      </c>
      <c r="W51" t="s">
        <v>67</v>
      </c>
      <c r="X51" t="s">
        <v>144</v>
      </c>
      <c r="Y51">
        <v>1</v>
      </c>
      <c r="BN51">
        <v>0</v>
      </c>
    </row>
    <row r="52" spans="1:91" x14ac:dyDescent="0.2">
      <c r="A52" t="s">
        <v>111</v>
      </c>
      <c r="B52" t="b">
        <v>1</v>
      </c>
      <c r="E52">
        <v>53</v>
      </c>
      <c r="F52" t="str">
        <f>HYPERLINK("https://portal.dnb.de/opac.htm?method=simpleSearch&amp;cqlMode=true&amp;query=idn%3D1066972923", "Portal")</f>
        <v>Portal</v>
      </c>
      <c r="G52" t="s">
        <v>133</v>
      </c>
      <c r="H52" t="s">
        <v>387</v>
      </c>
      <c r="I52" t="s">
        <v>388</v>
      </c>
      <c r="J52" t="s">
        <v>389</v>
      </c>
      <c r="K52" t="s">
        <v>389</v>
      </c>
      <c r="L52" t="s">
        <v>389</v>
      </c>
      <c r="N52" t="s">
        <v>390</v>
      </c>
      <c r="O52" t="s">
        <v>121</v>
      </c>
      <c r="P52" t="s">
        <v>138</v>
      </c>
      <c r="R52" t="s">
        <v>161</v>
      </c>
      <c r="S52" t="s">
        <v>189</v>
      </c>
      <c r="T52" t="s">
        <v>163</v>
      </c>
      <c r="U52" t="s">
        <v>386</v>
      </c>
      <c r="W52" t="s">
        <v>67</v>
      </c>
      <c r="X52" t="s">
        <v>144</v>
      </c>
      <c r="Y52">
        <v>1</v>
      </c>
      <c r="BN52">
        <v>0</v>
      </c>
    </row>
    <row r="53" spans="1:91" x14ac:dyDescent="0.2">
      <c r="A53" t="s">
        <v>111</v>
      </c>
      <c r="B53" t="b">
        <v>1</v>
      </c>
      <c r="E53">
        <v>54</v>
      </c>
      <c r="F53" t="str">
        <f>HYPERLINK("https://portal.dnb.de/opac.htm?method=simpleSearch&amp;cqlMode=true&amp;query=idn%3D1066972923", "Portal")</f>
        <v>Portal</v>
      </c>
      <c r="G53" t="s">
        <v>133</v>
      </c>
      <c r="H53" t="s">
        <v>391</v>
      </c>
      <c r="I53" t="s">
        <v>388</v>
      </c>
      <c r="J53" t="s">
        <v>392</v>
      </c>
      <c r="K53" t="s">
        <v>392</v>
      </c>
      <c r="L53" t="s">
        <v>392</v>
      </c>
      <c r="N53" t="s">
        <v>390</v>
      </c>
      <c r="O53" t="s">
        <v>121</v>
      </c>
      <c r="P53" t="s">
        <v>138</v>
      </c>
      <c r="R53" t="s">
        <v>347</v>
      </c>
      <c r="S53" t="s">
        <v>189</v>
      </c>
      <c r="T53" t="s">
        <v>163</v>
      </c>
      <c r="U53" t="s">
        <v>172</v>
      </c>
      <c r="W53" t="s">
        <v>67</v>
      </c>
      <c r="X53" t="s">
        <v>144</v>
      </c>
      <c r="Y53">
        <v>0</v>
      </c>
      <c r="BN53">
        <v>0</v>
      </c>
    </row>
    <row r="54" spans="1:91" x14ac:dyDescent="0.2">
      <c r="A54" t="s">
        <v>111</v>
      </c>
      <c r="B54" t="b">
        <v>1</v>
      </c>
      <c r="E54">
        <v>56</v>
      </c>
      <c r="F54" t="str">
        <f>HYPERLINK("https://portal.dnb.de/opac.htm?method=simpleSearch&amp;cqlMode=true&amp;query=idn%3D1066966923", "Portal")</f>
        <v>Portal</v>
      </c>
      <c r="G54" t="s">
        <v>133</v>
      </c>
      <c r="H54" t="s">
        <v>393</v>
      </c>
      <c r="I54" t="s">
        <v>394</v>
      </c>
      <c r="J54" t="s">
        <v>395</v>
      </c>
      <c r="K54" t="s">
        <v>395</v>
      </c>
      <c r="L54" t="s">
        <v>395</v>
      </c>
      <c r="N54" t="s">
        <v>396</v>
      </c>
      <c r="O54" t="s">
        <v>121</v>
      </c>
      <c r="P54" t="s">
        <v>138</v>
      </c>
      <c r="R54" t="s">
        <v>180</v>
      </c>
      <c r="S54" t="s">
        <v>140</v>
      </c>
      <c r="T54" t="s">
        <v>163</v>
      </c>
      <c r="U54" t="s">
        <v>397</v>
      </c>
      <c r="V54" t="s">
        <v>143</v>
      </c>
      <c r="W54" t="s">
        <v>67</v>
      </c>
      <c r="X54" t="s">
        <v>144</v>
      </c>
      <c r="Y54">
        <v>3</v>
      </c>
      <c r="BN54">
        <v>0</v>
      </c>
    </row>
    <row r="55" spans="1:91" x14ac:dyDescent="0.2">
      <c r="A55" t="s">
        <v>111</v>
      </c>
      <c r="B55" t="b">
        <v>1</v>
      </c>
      <c r="E55">
        <v>57</v>
      </c>
      <c r="F55" t="str">
        <f>HYPERLINK("https://portal.dnb.de/opac.htm?method=simpleSearch&amp;cqlMode=true&amp;query=idn%3D1067435948", "Portal")</f>
        <v>Portal</v>
      </c>
      <c r="G55" t="s">
        <v>218</v>
      </c>
      <c r="H55" t="s">
        <v>398</v>
      </c>
      <c r="I55" t="s">
        <v>399</v>
      </c>
      <c r="J55" t="s">
        <v>400</v>
      </c>
      <c r="K55" t="s">
        <v>400</v>
      </c>
      <c r="L55" t="s">
        <v>400</v>
      </c>
      <c r="N55" t="s">
        <v>326</v>
      </c>
      <c r="O55" t="s">
        <v>121</v>
      </c>
      <c r="BN55">
        <v>0</v>
      </c>
    </row>
    <row r="56" spans="1:91" x14ac:dyDescent="0.2">
      <c r="A56" t="s">
        <v>111</v>
      </c>
      <c r="B56" t="b">
        <v>1</v>
      </c>
      <c r="E56">
        <v>58</v>
      </c>
      <c r="F56" t="str">
        <f>HYPERLINK("https://portal.dnb.de/opac.htm?method=simpleSearch&amp;cqlMode=true&amp;query=idn%3D1067435948", "Portal")</f>
        <v>Portal</v>
      </c>
      <c r="G56" t="s">
        <v>218</v>
      </c>
      <c r="H56" t="s">
        <v>401</v>
      </c>
      <c r="I56" t="s">
        <v>399</v>
      </c>
      <c r="J56" t="s">
        <v>402</v>
      </c>
      <c r="K56" t="s">
        <v>402</v>
      </c>
      <c r="L56" t="s">
        <v>402</v>
      </c>
      <c r="N56" t="s">
        <v>326</v>
      </c>
      <c r="O56" t="s">
        <v>121</v>
      </c>
      <c r="BN56">
        <v>0</v>
      </c>
    </row>
    <row r="57" spans="1:91" x14ac:dyDescent="0.2">
      <c r="A57" t="s">
        <v>111</v>
      </c>
      <c r="B57" t="b">
        <v>1</v>
      </c>
      <c r="E57">
        <v>59</v>
      </c>
      <c r="F57" t="str">
        <f>HYPERLINK("https://portal.dnb.de/opac.htm?method=simpleSearch&amp;cqlMode=true&amp;query=idn%3D1066969930", "Portal")</f>
        <v>Portal</v>
      </c>
      <c r="G57" t="s">
        <v>133</v>
      </c>
      <c r="H57" t="s">
        <v>403</v>
      </c>
      <c r="I57" t="s">
        <v>404</v>
      </c>
      <c r="J57" t="s">
        <v>405</v>
      </c>
      <c r="K57" t="s">
        <v>405</v>
      </c>
      <c r="L57" t="s">
        <v>405</v>
      </c>
      <c r="N57" t="s">
        <v>406</v>
      </c>
      <c r="O57" t="s">
        <v>121</v>
      </c>
      <c r="P57" t="s">
        <v>138</v>
      </c>
      <c r="R57" t="s">
        <v>171</v>
      </c>
      <c r="S57" t="s">
        <v>140</v>
      </c>
      <c r="T57" t="s">
        <v>163</v>
      </c>
      <c r="U57" t="s">
        <v>142</v>
      </c>
      <c r="V57" t="s">
        <v>143</v>
      </c>
      <c r="W57" t="s">
        <v>67</v>
      </c>
      <c r="X57" t="s">
        <v>144</v>
      </c>
      <c r="Y57">
        <v>0</v>
      </c>
      <c r="BN57">
        <v>0</v>
      </c>
    </row>
    <row r="58" spans="1:91" x14ac:dyDescent="0.2">
      <c r="A58" t="s">
        <v>111</v>
      </c>
      <c r="B58" t="b">
        <v>1</v>
      </c>
      <c r="C58" t="s">
        <v>146</v>
      </c>
      <c r="E58">
        <v>60</v>
      </c>
      <c r="F58" t="str">
        <f>HYPERLINK("https://portal.dnb.de/opac.htm?method=simpleSearch&amp;cqlMode=true&amp;query=idn%3D1066967903", "Portal")</f>
        <v>Portal</v>
      </c>
      <c r="G58" t="s">
        <v>133</v>
      </c>
      <c r="H58" t="s">
        <v>407</v>
      </c>
      <c r="I58" t="s">
        <v>408</v>
      </c>
      <c r="J58" t="s">
        <v>409</v>
      </c>
      <c r="K58" t="s">
        <v>409</v>
      </c>
      <c r="L58" t="s">
        <v>409</v>
      </c>
      <c r="N58" t="s">
        <v>128</v>
      </c>
      <c r="O58" t="s">
        <v>121</v>
      </c>
      <c r="P58" t="s">
        <v>138</v>
      </c>
      <c r="Q58" t="s">
        <v>410</v>
      </c>
      <c r="R58" t="s">
        <v>180</v>
      </c>
      <c r="S58" t="s">
        <v>162</v>
      </c>
      <c r="T58" t="s">
        <v>163</v>
      </c>
      <c r="U58" t="s">
        <v>198</v>
      </c>
      <c r="V58" t="s">
        <v>143</v>
      </c>
      <c r="X58" t="s">
        <v>250</v>
      </c>
      <c r="Y58">
        <v>2</v>
      </c>
      <c r="AI58" t="s">
        <v>145</v>
      </c>
      <c r="AK58" t="s">
        <v>146</v>
      </c>
      <c r="AM58" t="s">
        <v>147</v>
      </c>
      <c r="AO58" t="s">
        <v>146</v>
      </c>
      <c r="AS58" t="s">
        <v>148</v>
      </c>
      <c r="BC58" t="s">
        <v>166</v>
      </c>
      <c r="BD58" t="s">
        <v>146</v>
      </c>
      <c r="BG58">
        <v>110</v>
      </c>
      <c r="BM58" t="s">
        <v>213</v>
      </c>
      <c r="BN58">
        <v>3</v>
      </c>
      <c r="BR58" t="s">
        <v>146</v>
      </c>
      <c r="BY58" t="s">
        <v>314</v>
      </c>
      <c r="CA58" t="s">
        <v>146</v>
      </c>
      <c r="CC58" t="s">
        <v>146</v>
      </c>
      <c r="CD58" t="s">
        <v>237</v>
      </c>
      <c r="CM58">
        <v>3</v>
      </c>
    </row>
    <row r="59" spans="1:91" x14ac:dyDescent="0.2">
      <c r="A59" t="s">
        <v>111</v>
      </c>
      <c r="B59" t="b">
        <v>1</v>
      </c>
      <c r="E59">
        <v>61</v>
      </c>
      <c r="F59" t="str">
        <f>HYPERLINK("https://portal.dnb.de/opac.htm?method=simpleSearch&amp;cqlMode=true&amp;query=idn%3D106697201X", "Portal")</f>
        <v>Portal</v>
      </c>
      <c r="G59" t="s">
        <v>133</v>
      </c>
      <c r="H59" t="s">
        <v>411</v>
      </c>
      <c r="I59" t="s">
        <v>412</v>
      </c>
      <c r="J59" t="s">
        <v>413</v>
      </c>
      <c r="K59" t="s">
        <v>413</v>
      </c>
      <c r="L59" t="s">
        <v>413</v>
      </c>
      <c r="N59" t="s">
        <v>414</v>
      </c>
      <c r="O59" t="s">
        <v>121</v>
      </c>
      <c r="P59" t="s">
        <v>138</v>
      </c>
      <c r="R59" t="s">
        <v>171</v>
      </c>
      <c r="S59" t="s">
        <v>140</v>
      </c>
      <c r="T59" t="s">
        <v>163</v>
      </c>
      <c r="U59" t="s">
        <v>415</v>
      </c>
      <c r="V59" t="s">
        <v>143</v>
      </c>
      <c r="W59" t="s">
        <v>67</v>
      </c>
      <c r="X59" t="s">
        <v>144</v>
      </c>
      <c r="Y59">
        <v>0</v>
      </c>
      <c r="AA59" t="s">
        <v>416</v>
      </c>
      <c r="BN59">
        <v>0</v>
      </c>
    </row>
    <row r="60" spans="1:91" x14ac:dyDescent="0.2">
      <c r="A60" t="s">
        <v>111</v>
      </c>
      <c r="B60" t="b">
        <v>1</v>
      </c>
      <c r="E60">
        <v>62</v>
      </c>
      <c r="F60" t="str">
        <f>HYPERLINK("https://portal.dnb.de/opac.htm?method=simpleSearch&amp;cqlMode=true&amp;query=idn%3D1066969477", "Portal")</f>
        <v>Portal</v>
      </c>
      <c r="G60" t="s">
        <v>133</v>
      </c>
      <c r="H60" t="s">
        <v>417</v>
      </c>
      <c r="I60" t="s">
        <v>418</v>
      </c>
      <c r="J60" t="s">
        <v>419</v>
      </c>
      <c r="K60" t="s">
        <v>419</v>
      </c>
      <c r="L60" t="s">
        <v>419</v>
      </c>
      <c r="N60" t="s">
        <v>420</v>
      </c>
      <c r="O60" t="s">
        <v>121</v>
      </c>
      <c r="P60" t="s">
        <v>138</v>
      </c>
      <c r="R60" t="s">
        <v>180</v>
      </c>
      <c r="S60" t="s">
        <v>140</v>
      </c>
      <c r="T60" t="s">
        <v>163</v>
      </c>
      <c r="U60" t="s">
        <v>381</v>
      </c>
      <c r="V60" t="s">
        <v>143</v>
      </c>
      <c r="W60" t="s">
        <v>67</v>
      </c>
      <c r="X60" t="s">
        <v>144</v>
      </c>
      <c r="Y60">
        <v>0</v>
      </c>
      <c r="AA60" t="s">
        <v>416</v>
      </c>
      <c r="BN60">
        <v>0</v>
      </c>
    </row>
    <row r="61" spans="1:91" x14ac:dyDescent="0.2">
      <c r="A61" t="s">
        <v>111</v>
      </c>
      <c r="B61" t="b">
        <v>1</v>
      </c>
      <c r="E61">
        <v>63</v>
      </c>
      <c r="F61" t="str">
        <f>HYPERLINK("https://portal.dnb.de/opac.htm?method=simpleSearch&amp;cqlMode=true&amp;query=idn%3D1066969469", "Portal")</f>
        <v>Portal</v>
      </c>
      <c r="G61" t="s">
        <v>133</v>
      </c>
      <c r="H61" t="s">
        <v>421</v>
      </c>
      <c r="I61" t="s">
        <v>422</v>
      </c>
      <c r="J61" t="s">
        <v>423</v>
      </c>
      <c r="K61" t="s">
        <v>423</v>
      </c>
      <c r="L61" t="s">
        <v>423</v>
      </c>
      <c r="N61" t="s">
        <v>424</v>
      </c>
      <c r="O61" t="s">
        <v>121</v>
      </c>
      <c r="P61" t="s">
        <v>138</v>
      </c>
      <c r="R61" t="s">
        <v>180</v>
      </c>
      <c r="S61" t="s">
        <v>140</v>
      </c>
      <c r="T61" t="s">
        <v>163</v>
      </c>
      <c r="U61" t="s">
        <v>142</v>
      </c>
      <c r="V61" t="s">
        <v>143</v>
      </c>
      <c r="W61" t="s">
        <v>67</v>
      </c>
      <c r="X61" t="s">
        <v>144</v>
      </c>
      <c r="Y61">
        <v>2</v>
      </c>
      <c r="BN61">
        <v>0</v>
      </c>
    </row>
    <row r="62" spans="1:91" x14ac:dyDescent="0.2">
      <c r="A62" t="s">
        <v>111</v>
      </c>
      <c r="B62" t="b">
        <v>1</v>
      </c>
      <c r="E62">
        <v>64</v>
      </c>
      <c r="F62" t="str">
        <f>HYPERLINK("https://portal.dnb.de/opac.htm?method=simpleSearch&amp;cqlMode=true&amp;query=idn%3D106696887X", "Portal")</f>
        <v>Portal</v>
      </c>
      <c r="G62" t="s">
        <v>133</v>
      </c>
      <c r="H62" t="s">
        <v>425</v>
      </c>
      <c r="I62" t="s">
        <v>426</v>
      </c>
      <c r="J62" t="s">
        <v>427</v>
      </c>
      <c r="K62" t="s">
        <v>427</v>
      </c>
      <c r="L62" t="s">
        <v>427</v>
      </c>
      <c r="N62" t="s">
        <v>428</v>
      </c>
      <c r="O62" t="s">
        <v>121</v>
      </c>
      <c r="P62" t="s">
        <v>138</v>
      </c>
      <c r="R62" t="s">
        <v>161</v>
      </c>
      <c r="S62" t="s">
        <v>140</v>
      </c>
      <c r="T62" t="s">
        <v>163</v>
      </c>
      <c r="U62" t="s">
        <v>172</v>
      </c>
      <c r="W62" t="s">
        <v>67</v>
      </c>
      <c r="X62" t="s">
        <v>144</v>
      </c>
      <c r="Y62">
        <v>1</v>
      </c>
      <c r="BN62">
        <v>0</v>
      </c>
    </row>
    <row r="63" spans="1:91" x14ac:dyDescent="0.2">
      <c r="A63" t="s">
        <v>111</v>
      </c>
      <c r="B63" t="b">
        <v>1</v>
      </c>
      <c r="F63" t="str">
        <f>HYPERLINK("https://portal.dnb.de/opac.htm?method=simpleSearch&amp;cqlMode=true&amp;query=idn%3D1268947989", "Portal")</f>
        <v>Portal</v>
      </c>
      <c r="G63" t="s">
        <v>300</v>
      </c>
      <c r="H63" t="s">
        <v>429</v>
      </c>
      <c r="I63" t="s">
        <v>430</v>
      </c>
      <c r="J63" t="s">
        <v>431</v>
      </c>
      <c r="K63" t="s">
        <v>431</v>
      </c>
      <c r="L63" t="s">
        <v>431</v>
      </c>
      <c r="N63" t="s">
        <v>432</v>
      </c>
      <c r="O63" t="s">
        <v>121</v>
      </c>
      <c r="P63" t="s">
        <v>138</v>
      </c>
      <c r="R63" t="s">
        <v>180</v>
      </c>
      <c r="S63" t="s">
        <v>140</v>
      </c>
      <c r="T63" t="s">
        <v>141</v>
      </c>
      <c r="U63" t="s">
        <v>397</v>
      </c>
      <c r="V63" t="s">
        <v>143</v>
      </c>
      <c r="W63" t="s">
        <v>67</v>
      </c>
      <c r="X63" t="s">
        <v>144</v>
      </c>
      <c r="Y63">
        <v>3</v>
      </c>
      <c r="BN63">
        <v>0</v>
      </c>
    </row>
    <row r="64" spans="1:91" x14ac:dyDescent="0.2">
      <c r="A64" t="s">
        <v>111</v>
      </c>
      <c r="B64" t="b">
        <v>1</v>
      </c>
      <c r="E64">
        <v>74</v>
      </c>
      <c r="F64" t="str">
        <f>HYPERLINK("https://portal.dnb.de/opac.htm?method=simpleSearch&amp;cqlMode=true&amp;query=idn%3D1066972435", "Portal")</f>
        <v>Portal</v>
      </c>
      <c r="G64" t="s">
        <v>133</v>
      </c>
      <c r="H64" t="s">
        <v>433</v>
      </c>
      <c r="I64" t="s">
        <v>434</v>
      </c>
      <c r="J64" t="s">
        <v>435</v>
      </c>
      <c r="K64" t="s">
        <v>435</v>
      </c>
      <c r="L64" t="s">
        <v>435</v>
      </c>
      <c r="N64" t="s">
        <v>436</v>
      </c>
      <c r="O64" t="s">
        <v>121</v>
      </c>
      <c r="P64" t="s">
        <v>138</v>
      </c>
      <c r="R64" t="s">
        <v>161</v>
      </c>
      <c r="S64" t="s">
        <v>162</v>
      </c>
      <c r="T64" t="s">
        <v>163</v>
      </c>
      <c r="U64" t="s">
        <v>381</v>
      </c>
      <c r="V64" t="s">
        <v>143</v>
      </c>
      <c r="Y64">
        <v>2</v>
      </c>
      <c r="AB64" t="s">
        <v>244</v>
      </c>
      <c r="AG64">
        <v>15</v>
      </c>
      <c r="AI64" t="s">
        <v>165</v>
      </c>
      <c r="AK64" t="s">
        <v>146</v>
      </c>
      <c r="AM64" t="s">
        <v>147</v>
      </c>
      <c r="AS64" t="s">
        <v>148</v>
      </c>
      <c r="AX64" t="s">
        <v>245</v>
      </c>
      <c r="BC64" t="s">
        <v>149</v>
      </c>
      <c r="BD64" t="s">
        <v>245</v>
      </c>
      <c r="BE64" t="s">
        <v>437</v>
      </c>
      <c r="BG64">
        <v>110</v>
      </c>
      <c r="BI64" t="s">
        <v>438</v>
      </c>
      <c r="BM64" t="s">
        <v>151</v>
      </c>
      <c r="BN64">
        <v>0</v>
      </c>
      <c r="BR64" t="s">
        <v>146</v>
      </c>
      <c r="BV64" t="s">
        <v>439</v>
      </c>
    </row>
    <row r="65" spans="1:110" x14ac:dyDescent="0.2">
      <c r="A65" t="s">
        <v>111</v>
      </c>
      <c r="B65" t="b">
        <v>1</v>
      </c>
      <c r="C65" t="s">
        <v>146</v>
      </c>
      <c r="E65">
        <v>75</v>
      </c>
      <c r="F65" t="str">
        <f>HYPERLINK("https://portal.dnb.de/opac.htm?method=simpleSearch&amp;cqlMode=true&amp;query=idn%3D1066969779", "Portal")</f>
        <v>Portal</v>
      </c>
      <c r="G65" t="s">
        <v>133</v>
      </c>
      <c r="H65" t="s">
        <v>440</v>
      </c>
      <c r="I65" t="s">
        <v>441</v>
      </c>
      <c r="J65" t="s">
        <v>442</v>
      </c>
      <c r="K65" t="s">
        <v>442</v>
      </c>
      <c r="L65" t="s">
        <v>442</v>
      </c>
      <c r="N65" t="s">
        <v>443</v>
      </c>
      <c r="O65" t="s">
        <v>121</v>
      </c>
      <c r="P65" t="s">
        <v>138</v>
      </c>
      <c r="Q65" t="s">
        <v>444</v>
      </c>
      <c r="R65" t="s">
        <v>180</v>
      </c>
      <c r="S65" t="s">
        <v>162</v>
      </c>
      <c r="T65" t="s">
        <v>163</v>
      </c>
      <c r="U65" t="s">
        <v>445</v>
      </c>
      <c r="V65" t="s">
        <v>143</v>
      </c>
      <c r="W65" t="s">
        <v>67</v>
      </c>
      <c r="X65" t="s">
        <v>144</v>
      </c>
      <c r="Y65">
        <v>3</v>
      </c>
      <c r="AI65" t="s">
        <v>145</v>
      </c>
      <c r="AK65" t="s">
        <v>146</v>
      </c>
      <c r="AM65" t="s">
        <v>147</v>
      </c>
      <c r="AO65" t="s">
        <v>146</v>
      </c>
      <c r="AS65" t="s">
        <v>148</v>
      </c>
      <c r="BC65" t="s">
        <v>166</v>
      </c>
      <c r="BD65" t="s">
        <v>146</v>
      </c>
      <c r="BG65">
        <v>110</v>
      </c>
      <c r="BM65" t="s">
        <v>213</v>
      </c>
      <c r="BN65">
        <v>3</v>
      </c>
      <c r="BP65" t="s">
        <v>278</v>
      </c>
      <c r="BY65" t="s">
        <v>314</v>
      </c>
      <c r="CA65" t="s">
        <v>146</v>
      </c>
      <c r="CB65" t="s">
        <v>146</v>
      </c>
      <c r="CD65" t="s">
        <v>237</v>
      </c>
      <c r="CM65">
        <v>3</v>
      </c>
    </row>
    <row r="66" spans="1:110" x14ac:dyDescent="0.2">
      <c r="A66" t="s">
        <v>111</v>
      </c>
      <c r="B66" t="b">
        <v>1</v>
      </c>
      <c r="C66" t="s">
        <v>146</v>
      </c>
      <c r="E66">
        <v>79</v>
      </c>
      <c r="F66" t="str">
        <f>HYPERLINK("https://portal.dnb.de/opac.htm?method=simpleSearch&amp;cqlMode=true&amp;query=idn%3D1066970335", "Portal")</f>
        <v>Portal</v>
      </c>
      <c r="G66" t="s">
        <v>133</v>
      </c>
      <c r="H66" t="s">
        <v>446</v>
      </c>
      <c r="I66" t="s">
        <v>447</v>
      </c>
      <c r="J66" t="s">
        <v>448</v>
      </c>
      <c r="K66" t="s">
        <v>448</v>
      </c>
      <c r="L66" t="s">
        <v>448</v>
      </c>
      <c r="N66" t="s">
        <v>449</v>
      </c>
      <c r="O66" t="s">
        <v>121</v>
      </c>
      <c r="P66" t="s">
        <v>138</v>
      </c>
      <c r="Q66" t="s">
        <v>450</v>
      </c>
      <c r="R66" t="s">
        <v>139</v>
      </c>
      <c r="S66" t="s">
        <v>162</v>
      </c>
      <c r="T66" t="s">
        <v>163</v>
      </c>
      <c r="U66" t="s">
        <v>142</v>
      </c>
      <c r="V66" t="s">
        <v>143</v>
      </c>
      <c r="Y66">
        <v>1</v>
      </c>
      <c r="AI66" t="s">
        <v>145</v>
      </c>
      <c r="AK66" t="s">
        <v>146</v>
      </c>
      <c r="AM66" t="s">
        <v>147</v>
      </c>
      <c r="AS66" t="s">
        <v>148</v>
      </c>
      <c r="BC66" t="s">
        <v>149</v>
      </c>
      <c r="BD66" t="s">
        <v>245</v>
      </c>
      <c r="BG66">
        <v>60</v>
      </c>
      <c r="BM66" t="s">
        <v>213</v>
      </c>
      <c r="BN66">
        <v>2</v>
      </c>
      <c r="BR66" t="s">
        <v>146</v>
      </c>
      <c r="CC66" t="s">
        <v>146</v>
      </c>
      <c r="CM66">
        <v>2</v>
      </c>
    </row>
    <row r="67" spans="1:110" x14ac:dyDescent="0.2">
      <c r="A67" t="s">
        <v>111</v>
      </c>
      <c r="B67" t="b">
        <v>1</v>
      </c>
      <c r="E67">
        <v>80</v>
      </c>
      <c r="F67" t="str">
        <f>HYPERLINK("https://portal.dnb.de/opac.htm?method=simpleSearch&amp;cqlMode=true&amp;query=idn%3D1066964998", "Portal")</f>
        <v>Portal</v>
      </c>
      <c r="G67" t="s">
        <v>133</v>
      </c>
      <c r="H67" t="s">
        <v>451</v>
      </c>
      <c r="I67" t="s">
        <v>452</v>
      </c>
      <c r="J67" t="s">
        <v>453</v>
      </c>
      <c r="K67" t="s">
        <v>453</v>
      </c>
      <c r="L67" t="s">
        <v>453</v>
      </c>
      <c r="N67" t="s">
        <v>454</v>
      </c>
      <c r="O67" t="s">
        <v>121</v>
      </c>
      <c r="BN67">
        <v>0</v>
      </c>
    </row>
    <row r="68" spans="1:110" x14ac:dyDescent="0.2">
      <c r="A68" t="s">
        <v>111</v>
      </c>
      <c r="B68" t="b">
        <v>1</v>
      </c>
      <c r="E68">
        <v>81</v>
      </c>
      <c r="F68" t="str">
        <f>HYPERLINK("https://portal.dnb.de/opac.htm?method=simpleSearch&amp;cqlMode=true&amp;query=idn%3D1066967415", "Portal")</f>
        <v>Portal</v>
      </c>
      <c r="G68" t="s">
        <v>133</v>
      </c>
      <c r="H68" t="s">
        <v>455</v>
      </c>
      <c r="I68" t="s">
        <v>456</v>
      </c>
      <c r="J68" t="s">
        <v>457</v>
      </c>
      <c r="K68" t="s">
        <v>457</v>
      </c>
      <c r="L68" t="s">
        <v>457</v>
      </c>
      <c r="N68" t="s">
        <v>458</v>
      </c>
      <c r="O68" t="s">
        <v>121</v>
      </c>
      <c r="P68" t="s">
        <v>138</v>
      </c>
      <c r="R68" t="s">
        <v>180</v>
      </c>
      <c r="S68" t="s">
        <v>140</v>
      </c>
      <c r="T68" t="s">
        <v>163</v>
      </c>
      <c r="U68" t="s">
        <v>142</v>
      </c>
      <c r="V68" t="s">
        <v>143</v>
      </c>
      <c r="W68" t="s">
        <v>67</v>
      </c>
      <c r="X68" t="s">
        <v>144</v>
      </c>
      <c r="Y68">
        <v>2</v>
      </c>
      <c r="BN68">
        <v>0</v>
      </c>
    </row>
    <row r="69" spans="1:110" x14ac:dyDescent="0.2">
      <c r="A69" t="s">
        <v>111</v>
      </c>
      <c r="B69" t="b">
        <v>1</v>
      </c>
      <c r="E69">
        <v>82</v>
      </c>
      <c r="F69" t="str">
        <f>HYPERLINK("https://portal.dnb.de/opac.htm?method=simpleSearch&amp;cqlMode=true&amp;query=idn%3D1066969701", "Portal")</f>
        <v>Portal</v>
      </c>
      <c r="G69" t="s">
        <v>133</v>
      </c>
      <c r="H69" t="s">
        <v>459</v>
      </c>
      <c r="I69" t="s">
        <v>460</v>
      </c>
      <c r="J69" t="s">
        <v>461</v>
      </c>
      <c r="K69" t="s">
        <v>461</v>
      </c>
      <c r="L69" t="s">
        <v>461</v>
      </c>
      <c r="N69" t="s">
        <v>462</v>
      </c>
      <c r="O69" t="s">
        <v>121</v>
      </c>
      <c r="P69" t="s">
        <v>138</v>
      </c>
      <c r="R69" t="s">
        <v>207</v>
      </c>
      <c r="S69" t="s">
        <v>140</v>
      </c>
      <c r="T69" t="s">
        <v>163</v>
      </c>
      <c r="U69" t="s">
        <v>142</v>
      </c>
      <c r="V69" t="s">
        <v>143</v>
      </c>
      <c r="W69" t="s">
        <v>67</v>
      </c>
      <c r="X69" t="s">
        <v>144</v>
      </c>
      <c r="Y69">
        <v>2</v>
      </c>
      <c r="BN69">
        <v>0</v>
      </c>
    </row>
    <row r="70" spans="1:110" x14ac:dyDescent="0.2">
      <c r="A70" t="s">
        <v>111</v>
      </c>
      <c r="B70" t="b">
        <v>1</v>
      </c>
      <c r="E70">
        <v>83</v>
      </c>
      <c r="F70" t="str">
        <f>HYPERLINK("https://portal.dnb.de/opac.htm?method=simpleSearch&amp;cqlMode=true&amp;query=idn%3D1066969876", "Portal")</f>
        <v>Portal</v>
      </c>
      <c r="G70" t="s">
        <v>133</v>
      </c>
      <c r="H70" t="s">
        <v>463</v>
      </c>
      <c r="I70" t="s">
        <v>464</v>
      </c>
      <c r="J70" t="s">
        <v>465</v>
      </c>
      <c r="K70" t="s">
        <v>465</v>
      </c>
      <c r="L70" t="s">
        <v>465</v>
      </c>
      <c r="N70" t="s">
        <v>466</v>
      </c>
      <c r="O70" t="s">
        <v>121</v>
      </c>
      <c r="P70" t="s">
        <v>138</v>
      </c>
      <c r="R70" t="s">
        <v>139</v>
      </c>
      <c r="S70" t="s">
        <v>140</v>
      </c>
      <c r="T70" t="s">
        <v>141</v>
      </c>
      <c r="W70" t="s">
        <v>67</v>
      </c>
      <c r="X70" t="s">
        <v>144</v>
      </c>
      <c r="Y70">
        <v>0</v>
      </c>
      <c r="BN70">
        <v>0</v>
      </c>
    </row>
    <row r="71" spans="1:110" x14ac:dyDescent="0.2">
      <c r="A71" t="s">
        <v>111</v>
      </c>
      <c r="B71" t="b">
        <v>1</v>
      </c>
      <c r="E71">
        <v>84</v>
      </c>
      <c r="F71" t="str">
        <f>HYPERLINK("https://portal.dnb.de/opac.htm?method=simpleSearch&amp;cqlMode=true&amp;query=idn%3D1066970599", "Portal")</f>
        <v>Portal</v>
      </c>
      <c r="G71" t="s">
        <v>133</v>
      </c>
      <c r="H71" t="s">
        <v>467</v>
      </c>
      <c r="I71" t="s">
        <v>468</v>
      </c>
      <c r="J71" t="s">
        <v>469</v>
      </c>
      <c r="K71" t="s">
        <v>469</v>
      </c>
      <c r="L71" t="s">
        <v>469</v>
      </c>
      <c r="N71" t="s">
        <v>470</v>
      </c>
      <c r="O71" t="s">
        <v>121</v>
      </c>
      <c r="P71" t="s">
        <v>138</v>
      </c>
      <c r="R71" t="s">
        <v>207</v>
      </c>
      <c r="S71" t="s">
        <v>140</v>
      </c>
      <c r="T71" t="s">
        <v>471</v>
      </c>
      <c r="U71" t="s">
        <v>472</v>
      </c>
      <c r="W71" t="s">
        <v>67</v>
      </c>
      <c r="X71" t="s">
        <v>144</v>
      </c>
      <c r="Y71">
        <v>1</v>
      </c>
      <c r="BN71">
        <v>0</v>
      </c>
    </row>
    <row r="72" spans="1:110" x14ac:dyDescent="0.2">
      <c r="A72" t="s">
        <v>111</v>
      </c>
      <c r="B72" t="b">
        <v>1</v>
      </c>
      <c r="C72" t="s">
        <v>146</v>
      </c>
      <c r="E72">
        <v>85</v>
      </c>
      <c r="F72" t="str">
        <f>HYPERLINK("https://portal.dnb.de/opac.htm?method=simpleSearch&amp;cqlMode=true&amp;query=idn%3D1066972087", "Portal")</f>
        <v>Portal</v>
      </c>
      <c r="G72" t="s">
        <v>133</v>
      </c>
      <c r="H72" t="s">
        <v>473</v>
      </c>
      <c r="I72" t="s">
        <v>474</v>
      </c>
      <c r="J72" t="s">
        <v>475</v>
      </c>
      <c r="K72" t="s">
        <v>475</v>
      </c>
      <c r="L72" t="s">
        <v>475</v>
      </c>
      <c r="N72" t="s">
        <v>476</v>
      </c>
      <c r="O72" t="s">
        <v>121</v>
      </c>
      <c r="P72" t="s">
        <v>138</v>
      </c>
      <c r="Q72" t="s">
        <v>477</v>
      </c>
      <c r="R72" t="s">
        <v>161</v>
      </c>
      <c r="S72" t="s">
        <v>162</v>
      </c>
      <c r="T72" t="s">
        <v>163</v>
      </c>
      <c r="U72" t="s">
        <v>142</v>
      </c>
      <c r="V72" t="s">
        <v>143</v>
      </c>
      <c r="Y72">
        <v>1</v>
      </c>
      <c r="AI72" t="s">
        <v>145</v>
      </c>
      <c r="AK72" t="s">
        <v>146</v>
      </c>
      <c r="AM72" t="s">
        <v>147</v>
      </c>
      <c r="AS72" t="s">
        <v>148</v>
      </c>
      <c r="BC72" t="s">
        <v>149</v>
      </c>
      <c r="BD72" t="s">
        <v>245</v>
      </c>
      <c r="BG72" t="s">
        <v>150</v>
      </c>
      <c r="BM72" t="s">
        <v>213</v>
      </c>
      <c r="BN72">
        <v>0.5</v>
      </c>
      <c r="BR72" t="s">
        <v>146</v>
      </c>
      <c r="CC72" t="s">
        <v>146</v>
      </c>
      <c r="CM72">
        <v>0.5</v>
      </c>
    </row>
    <row r="73" spans="1:110" x14ac:dyDescent="0.2">
      <c r="A73" t="s">
        <v>111</v>
      </c>
      <c r="B73" t="b">
        <v>1</v>
      </c>
      <c r="E73">
        <v>86</v>
      </c>
      <c r="F73" t="str">
        <f>HYPERLINK("https://portal.dnb.de/opac.htm?method=simpleSearch&amp;cqlMode=true&amp;query=idn%3D1066965870", "Portal")</f>
        <v>Portal</v>
      </c>
      <c r="G73" t="s">
        <v>133</v>
      </c>
      <c r="H73" t="s">
        <v>478</v>
      </c>
      <c r="I73" t="s">
        <v>479</v>
      </c>
      <c r="J73" t="s">
        <v>480</v>
      </c>
      <c r="K73" t="s">
        <v>480</v>
      </c>
      <c r="L73" t="s">
        <v>480</v>
      </c>
      <c r="N73" t="s">
        <v>481</v>
      </c>
      <c r="O73" t="s">
        <v>121</v>
      </c>
      <c r="P73" t="s">
        <v>138</v>
      </c>
      <c r="R73" t="s">
        <v>171</v>
      </c>
      <c r="S73" t="s">
        <v>140</v>
      </c>
      <c r="T73" t="s">
        <v>163</v>
      </c>
      <c r="U73" t="s">
        <v>172</v>
      </c>
      <c r="W73" t="s">
        <v>67</v>
      </c>
      <c r="X73" t="s">
        <v>144</v>
      </c>
      <c r="Y73">
        <v>0</v>
      </c>
      <c r="AI73" t="s">
        <v>174</v>
      </c>
      <c r="AL73" t="s">
        <v>146</v>
      </c>
      <c r="AM73" t="s">
        <v>228</v>
      </c>
      <c r="AS73" t="s">
        <v>148</v>
      </c>
      <c r="BG73">
        <v>110</v>
      </c>
      <c r="BM73" t="s">
        <v>151</v>
      </c>
      <c r="BN73">
        <v>0</v>
      </c>
      <c r="BP73" t="s">
        <v>278</v>
      </c>
    </row>
    <row r="74" spans="1:110" x14ac:dyDescent="0.2">
      <c r="A74" t="s">
        <v>111</v>
      </c>
      <c r="B74" t="b">
        <v>1</v>
      </c>
      <c r="C74" t="s">
        <v>146</v>
      </c>
      <c r="E74">
        <v>87</v>
      </c>
      <c r="F74" t="str">
        <f>HYPERLINK("https://portal.dnb.de/opac.htm?method=simpleSearch&amp;cqlMode=true&amp;query=idn%3D106696758X", "Portal")</f>
        <v>Portal</v>
      </c>
      <c r="G74" t="s">
        <v>115</v>
      </c>
      <c r="H74" t="s">
        <v>482</v>
      </c>
      <c r="I74" t="s">
        <v>483</v>
      </c>
      <c r="J74" t="s">
        <v>484</v>
      </c>
      <c r="K74" t="s">
        <v>484</v>
      </c>
      <c r="L74" t="s">
        <v>484</v>
      </c>
      <c r="N74" t="s">
        <v>485</v>
      </c>
      <c r="O74" t="s">
        <v>121</v>
      </c>
      <c r="P74" t="s">
        <v>138</v>
      </c>
      <c r="Q74" t="s">
        <v>486</v>
      </c>
      <c r="R74" t="s">
        <v>161</v>
      </c>
      <c r="S74" t="s">
        <v>162</v>
      </c>
      <c r="T74" t="s">
        <v>471</v>
      </c>
      <c r="U74" t="s">
        <v>164</v>
      </c>
      <c r="V74" t="s">
        <v>143</v>
      </c>
      <c r="X74" t="s">
        <v>250</v>
      </c>
      <c r="Y74">
        <v>0</v>
      </c>
      <c r="AI74" t="s">
        <v>165</v>
      </c>
      <c r="AK74" t="s">
        <v>146</v>
      </c>
      <c r="AM74" t="s">
        <v>147</v>
      </c>
      <c r="AS74" t="s">
        <v>148</v>
      </c>
      <c r="AW74" t="s">
        <v>146</v>
      </c>
      <c r="BC74" t="s">
        <v>166</v>
      </c>
      <c r="BD74" t="s">
        <v>245</v>
      </c>
      <c r="BG74">
        <v>60</v>
      </c>
      <c r="BM74" t="s">
        <v>213</v>
      </c>
      <c r="BN74">
        <v>40</v>
      </c>
      <c r="CQ74" t="s">
        <v>146</v>
      </c>
      <c r="DF74">
        <v>40</v>
      </c>
    </row>
    <row r="75" spans="1:110" x14ac:dyDescent="0.2">
      <c r="A75" t="s">
        <v>111</v>
      </c>
      <c r="B75" t="b">
        <v>1</v>
      </c>
      <c r="C75" t="s">
        <v>146</v>
      </c>
      <c r="E75">
        <v>88</v>
      </c>
      <c r="F75" t="str">
        <f>HYPERLINK("https://portal.dnb.de/opac.htm?method=simpleSearch&amp;cqlMode=true&amp;query=idn%3D1066965250", "Portal")</f>
        <v>Portal</v>
      </c>
      <c r="G75" t="s">
        <v>133</v>
      </c>
      <c r="H75" t="s">
        <v>487</v>
      </c>
      <c r="I75" t="s">
        <v>488</v>
      </c>
      <c r="J75" t="s">
        <v>489</v>
      </c>
      <c r="K75" t="s">
        <v>489</v>
      </c>
      <c r="L75" t="s">
        <v>489</v>
      </c>
      <c r="N75" t="s">
        <v>490</v>
      </c>
      <c r="O75" t="s">
        <v>121</v>
      </c>
      <c r="P75" t="s">
        <v>138</v>
      </c>
      <c r="Q75" t="s">
        <v>491</v>
      </c>
      <c r="R75" t="s">
        <v>139</v>
      </c>
      <c r="S75" t="s">
        <v>140</v>
      </c>
      <c r="T75" t="s">
        <v>163</v>
      </c>
      <c r="U75" t="s">
        <v>492</v>
      </c>
      <c r="W75" t="s">
        <v>67</v>
      </c>
      <c r="X75" t="s">
        <v>144</v>
      </c>
      <c r="Y75">
        <v>3</v>
      </c>
      <c r="AI75" t="s">
        <v>145</v>
      </c>
      <c r="AK75" t="s">
        <v>146</v>
      </c>
      <c r="AM75" t="s">
        <v>313</v>
      </c>
      <c r="AS75" t="s">
        <v>148</v>
      </c>
      <c r="BG75">
        <v>60</v>
      </c>
      <c r="BM75" t="s">
        <v>213</v>
      </c>
      <c r="BN75">
        <v>6</v>
      </c>
      <c r="BP75" t="s">
        <v>152</v>
      </c>
      <c r="CA75" t="s">
        <v>146</v>
      </c>
      <c r="CB75" t="s">
        <v>146</v>
      </c>
      <c r="CC75" t="s">
        <v>146</v>
      </c>
      <c r="CD75" t="s">
        <v>202</v>
      </c>
      <c r="CE75">
        <v>1</v>
      </c>
      <c r="CM75">
        <v>6</v>
      </c>
      <c r="CN75" t="s">
        <v>493</v>
      </c>
    </row>
    <row r="76" spans="1:110" x14ac:dyDescent="0.2">
      <c r="A76" t="s">
        <v>111</v>
      </c>
      <c r="B76" t="b">
        <v>1</v>
      </c>
      <c r="E76">
        <v>89</v>
      </c>
      <c r="F76" t="str">
        <f>HYPERLINK("https://portal.dnb.de/opac.htm?method=simpleSearch&amp;cqlMode=true&amp;query=idn%3D1066972400", "Portal")</f>
        <v>Portal</v>
      </c>
      <c r="G76" t="s">
        <v>133</v>
      </c>
      <c r="H76" t="s">
        <v>494</v>
      </c>
      <c r="I76" t="s">
        <v>495</v>
      </c>
      <c r="J76" t="s">
        <v>496</v>
      </c>
      <c r="K76" t="s">
        <v>496</v>
      </c>
      <c r="L76" t="s">
        <v>496</v>
      </c>
      <c r="N76" t="s">
        <v>497</v>
      </c>
      <c r="O76" t="s">
        <v>121</v>
      </c>
      <c r="P76" t="s">
        <v>138</v>
      </c>
      <c r="R76" t="s">
        <v>161</v>
      </c>
      <c r="S76" t="s">
        <v>189</v>
      </c>
      <c r="T76" t="s">
        <v>471</v>
      </c>
      <c r="U76" t="s">
        <v>381</v>
      </c>
      <c r="V76" t="s">
        <v>143</v>
      </c>
      <c r="W76" t="s">
        <v>67</v>
      </c>
      <c r="X76" t="s">
        <v>144</v>
      </c>
      <c r="Y76">
        <v>0</v>
      </c>
      <c r="AI76" t="s">
        <v>182</v>
      </c>
      <c r="AL76" t="s">
        <v>146</v>
      </c>
      <c r="AM76" t="s">
        <v>266</v>
      </c>
      <c r="AS76" t="s">
        <v>148</v>
      </c>
      <c r="AX76" t="s">
        <v>146</v>
      </c>
      <c r="BC76" t="s">
        <v>166</v>
      </c>
      <c r="BD76" t="s">
        <v>146</v>
      </c>
      <c r="BG76">
        <v>110</v>
      </c>
      <c r="BM76" t="s">
        <v>151</v>
      </c>
      <c r="BN76">
        <v>0</v>
      </c>
      <c r="BP76" t="s">
        <v>152</v>
      </c>
    </row>
    <row r="77" spans="1:110" x14ac:dyDescent="0.2">
      <c r="A77" t="s">
        <v>111</v>
      </c>
      <c r="B77" t="b">
        <v>1</v>
      </c>
      <c r="E77">
        <v>90</v>
      </c>
      <c r="F77" t="str">
        <f>HYPERLINK("https://portal.dnb.de/opac.htm?method=simpleSearch&amp;cqlMode=true&amp;query=idn%3D1066967210", "Portal")</f>
        <v>Portal</v>
      </c>
      <c r="G77" t="s">
        <v>133</v>
      </c>
      <c r="H77" t="s">
        <v>498</v>
      </c>
      <c r="I77" t="s">
        <v>499</v>
      </c>
      <c r="J77" t="s">
        <v>500</v>
      </c>
      <c r="K77" t="s">
        <v>500</v>
      </c>
      <c r="L77" t="s">
        <v>500</v>
      </c>
      <c r="N77" t="s">
        <v>501</v>
      </c>
      <c r="O77" t="s">
        <v>121</v>
      </c>
      <c r="P77" t="s">
        <v>138</v>
      </c>
      <c r="R77" t="s">
        <v>139</v>
      </c>
      <c r="S77" t="s">
        <v>140</v>
      </c>
      <c r="T77" t="s">
        <v>163</v>
      </c>
      <c r="U77" t="s">
        <v>381</v>
      </c>
      <c r="V77" t="s">
        <v>143</v>
      </c>
      <c r="W77" t="s">
        <v>67</v>
      </c>
      <c r="X77" t="s">
        <v>144</v>
      </c>
      <c r="Y77">
        <v>0</v>
      </c>
      <c r="AI77" t="s">
        <v>145</v>
      </c>
      <c r="AL77" t="s">
        <v>146</v>
      </c>
      <c r="AM77" t="s">
        <v>266</v>
      </c>
      <c r="AS77" t="s">
        <v>148</v>
      </c>
      <c r="AX77" t="s">
        <v>146</v>
      </c>
      <c r="BG77" t="s">
        <v>502</v>
      </c>
      <c r="BM77" t="s">
        <v>151</v>
      </c>
      <c r="BN77">
        <v>0</v>
      </c>
      <c r="BP77" t="s">
        <v>278</v>
      </c>
      <c r="BV77" t="s">
        <v>503</v>
      </c>
    </row>
    <row r="78" spans="1:110" x14ac:dyDescent="0.2">
      <c r="A78" t="s">
        <v>111</v>
      </c>
      <c r="B78" t="b">
        <v>1</v>
      </c>
      <c r="E78">
        <v>91</v>
      </c>
      <c r="F78" t="str">
        <f>HYPERLINK("https://portal.dnb.de/opac.htm?method=simpleSearch&amp;cqlMode=true&amp;query=idn%3D1072051486", "Portal")</f>
        <v>Portal</v>
      </c>
      <c r="G78" t="s">
        <v>115</v>
      </c>
      <c r="H78" t="s">
        <v>504</v>
      </c>
      <c r="I78" t="s">
        <v>505</v>
      </c>
      <c r="J78" t="s">
        <v>506</v>
      </c>
      <c r="K78" t="s">
        <v>506</v>
      </c>
      <c r="L78" t="s">
        <v>506</v>
      </c>
      <c r="N78" t="s">
        <v>507</v>
      </c>
      <c r="O78" t="s">
        <v>121</v>
      </c>
      <c r="P78" t="s">
        <v>138</v>
      </c>
      <c r="R78" t="s">
        <v>139</v>
      </c>
      <c r="S78" t="s">
        <v>189</v>
      </c>
      <c r="T78" t="s">
        <v>471</v>
      </c>
      <c r="U78" t="s">
        <v>508</v>
      </c>
      <c r="V78" t="s">
        <v>143</v>
      </c>
      <c r="W78" t="s">
        <v>67</v>
      </c>
      <c r="X78" t="s">
        <v>144</v>
      </c>
      <c r="Y78">
        <v>0</v>
      </c>
      <c r="AI78" t="s">
        <v>145</v>
      </c>
      <c r="AL78" t="s">
        <v>146</v>
      </c>
      <c r="AM78" t="s">
        <v>266</v>
      </c>
      <c r="AS78" t="s">
        <v>148</v>
      </c>
      <c r="AX78" t="s">
        <v>146</v>
      </c>
      <c r="BC78" t="s">
        <v>166</v>
      </c>
      <c r="BD78" t="s">
        <v>146</v>
      </c>
      <c r="BE78">
        <v>2</v>
      </c>
      <c r="BG78" t="s">
        <v>502</v>
      </c>
      <c r="BM78" t="s">
        <v>151</v>
      </c>
      <c r="BN78">
        <v>0</v>
      </c>
      <c r="BP78" t="s">
        <v>278</v>
      </c>
      <c r="BV78" t="s">
        <v>503</v>
      </c>
    </row>
    <row r="79" spans="1:110" x14ac:dyDescent="0.2">
      <c r="A79" t="s">
        <v>111</v>
      </c>
      <c r="B79" t="b">
        <v>1</v>
      </c>
      <c r="E79">
        <v>92</v>
      </c>
      <c r="F79" t="str">
        <f>HYPERLINK("https://portal.dnb.de/opac.htm?method=simpleSearch&amp;cqlMode=true&amp;query=idn%3D1066967288", "Portal")</f>
        <v>Portal</v>
      </c>
      <c r="G79" t="s">
        <v>133</v>
      </c>
      <c r="H79" t="s">
        <v>509</v>
      </c>
      <c r="I79" t="s">
        <v>510</v>
      </c>
      <c r="J79" t="s">
        <v>511</v>
      </c>
      <c r="K79" t="s">
        <v>511</v>
      </c>
      <c r="L79" t="s">
        <v>511</v>
      </c>
      <c r="N79" t="s">
        <v>512</v>
      </c>
      <c r="O79" t="s">
        <v>121</v>
      </c>
      <c r="P79" t="s">
        <v>138</v>
      </c>
      <c r="R79" t="s">
        <v>180</v>
      </c>
      <c r="S79" t="s">
        <v>189</v>
      </c>
      <c r="T79" t="s">
        <v>471</v>
      </c>
      <c r="W79" t="s">
        <v>67</v>
      </c>
      <c r="X79" t="s">
        <v>144</v>
      </c>
      <c r="Y79">
        <v>0</v>
      </c>
      <c r="AA79" t="s">
        <v>416</v>
      </c>
      <c r="AI79" t="s">
        <v>182</v>
      </c>
      <c r="AL79" t="s">
        <v>146</v>
      </c>
      <c r="AM79" t="s">
        <v>266</v>
      </c>
      <c r="AS79" t="s">
        <v>148</v>
      </c>
      <c r="AX79" t="s">
        <v>146</v>
      </c>
      <c r="BE79">
        <v>2</v>
      </c>
      <c r="BG79">
        <v>110</v>
      </c>
      <c r="BM79" t="s">
        <v>151</v>
      </c>
      <c r="BN79">
        <v>0</v>
      </c>
      <c r="BP79" t="s">
        <v>278</v>
      </c>
    </row>
    <row r="80" spans="1:110" x14ac:dyDescent="0.2">
      <c r="A80" t="s">
        <v>111</v>
      </c>
      <c r="B80" t="b">
        <v>1</v>
      </c>
      <c r="E80">
        <v>93</v>
      </c>
      <c r="F80" t="str">
        <f>HYPERLINK("https://portal.dnb.de/opac.htm?method=simpleSearch&amp;cqlMode=true&amp;query=idn%3D1066971455", "Portal")</f>
        <v>Portal</v>
      </c>
      <c r="G80" t="s">
        <v>133</v>
      </c>
      <c r="H80" t="s">
        <v>513</v>
      </c>
      <c r="I80" t="s">
        <v>514</v>
      </c>
      <c r="J80" t="s">
        <v>515</v>
      </c>
      <c r="K80" t="s">
        <v>515</v>
      </c>
      <c r="L80" t="s">
        <v>515</v>
      </c>
      <c r="N80" t="s">
        <v>516</v>
      </c>
      <c r="O80" t="s">
        <v>121</v>
      </c>
      <c r="P80" t="s">
        <v>138</v>
      </c>
      <c r="R80" t="s">
        <v>517</v>
      </c>
      <c r="S80" t="s">
        <v>140</v>
      </c>
      <c r="T80" t="s">
        <v>163</v>
      </c>
      <c r="U80" t="s">
        <v>243</v>
      </c>
      <c r="V80" t="s">
        <v>143</v>
      </c>
      <c r="W80" t="s">
        <v>67</v>
      </c>
      <c r="X80" t="s">
        <v>144</v>
      </c>
      <c r="Y80">
        <v>1</v>
      </c>
      <c r="AI80" t="s">
        <v>518</v>
      </c>
      <c r="AK80" t="s">
        <v>146</v>
      </c>
      <c r="AM80" t="s">
        <v>228</v>
      </c>
      <c r="AS80" t="s">
        <v>148</v>
      </c>
      <c r="BC80" t="s">
        <v>166</v>
      </c>
      <c r="BD80" t="s">
        <v>146</v>
      </c>
      <c r="BG80">
        <v>180</v>
      </c>
      <c r="BM80" t="s">
        <v>151</v>
      </c>
      <c r="BN80">
        <v>0</v>
      </c>
      <c r="BP80" t="s">
        <v>152</v>
      </c>
    </row>
    <row r="81" spans="1:91" x14ac:dyDescent="0.2">
      <c r="A81" t="s">
        <v>111</v>
      </c>
      <c r="B81" t="b">
        <v>1</v>
      </c>
      <c r="E81">
        <v>94</v>
      </c>
      <c r="F81" t="str">
        <f>HYPERLINK("https://portal.dnb.de/opac.htm?method=simpleSearch&amp;cqlMode=true&amp;query=idn%3D1067436936", "Portal")</f>
        <v>Portal</v>
      </c>
      <c r="G81" t="s">
        <v>218</v>
      </c>
      <c r="H81" t="s">
        <v>519</v>
      </c>
      <c r="I81" t="s">
        <v>520</v>
      </c>
      <c r="J81" t="s">
        <v>521</v>
      </c>
      <c r="K81" t="s">
        <v>521</v>
      </c>
      <c r="L81" t="s">
        <v>522</v>
      </c>
      <c r="N81" t="s">
        <v>523</v>
      </c>
      <c r="O81" t="s">
        <v>121</v>
      </c>
      <c r="BN81">
        <v>0</v>
      </c>
    </row>
    <row r="82" spans="1:91" x14ac:dyDescent="0.2">
      <c r="A82" t="s">
        <v>111</v>
      </c>
      <c r="B82" t="b">
        <v>1</v>
      </c>
      <c r="E82">
        <v>95</v>
      </c>
      <c r="F82" t="str">
        <f>HYPERLINK("https://portal.dnb.de/opac.htm?method=simpleSearch&amp;cqlMode=true&amp;query=idn%3D1066966966", "Portal")</f>
        <v>Portal</v>
      </c>
      <c r="G82" t="s">
        <v>133</v>
      </c>
      <c r="H82" t="s">
        <v>524</v>
      </c>
      <c r="I82" t="s">
        <v>525</v>
      </c>
      <c r="J82" t="s">
        <v>526</v>
      </c>
      <c r="K82" t="s">
        <v>526</v>
      </c>
      <c r="L82" t="s">
        <v>526</v>
      </c>
      <c r="N82" t="s">
        <v>527</v>
      </c>
      <c r="O82" t="s">
        <v>121</v>
      </c>
      <c r="R82" t="s">
        <v>188</v>
      </c>
      <c r="S82" t="s">
        <v>140</v>
      </c>
      <c r="T82" t="s">
        <v>141</v>
      </c>
      <c r="U82" t="s">
        <v>142</v>
      </c>
      <c r="V82" t="s">
        <v>143</v>
      </c>
      <c r="W82" t="s">
        <v>67</v>
      </c>
      <c r="X82" t="s">
        <v>144</v>
      </c>
      <c r="Y82">
        <v>1</v>
      </c>
      <c r="BN82">
        <v>0</v>
      </c>
    </row>
    <row r="83" spans="1:91" x14ac:dyDescent="0.2">
      <c r="A83" t="s">
        <v>111</v>
      </c>
      <c r="B83" t="b">
        <v>1</v>
      </c>
      <c r="E83">
        <v>96</v>
      </c>
      <c r="F83" t="str">
        <f>HYPERLINK("https://portal.dnb.de/opac.htm?method=simpleSearch&amp;cqlMode=true&amp;query=idn%3D106696842X", "Portal")</f>
        <v>Portal</v>
      </c>
      <c r="G83" t="s">
        <v>115</v>
      </c>
      <c r="H83" t="s">
        <v>528</v>
      </c>
      <c r="I83" t="s">
        <v>529</v>
      </c>
      <c r="J83" t="s">
        <v>530</v>
      </c>
      <c r="K83" t="s">
        <v>530</v>
      </c>
      <c r="L83" t="s">
        <v>530</v>
      </c>
      <c r="N83" t="s">
        <v>531</v>
      </c>
      <c r="O83" t="s">
        <v>121</v>
      </c>
      <c r="P83" t="s">
        <v>138</v>
      </c>
      <c r="R83" t="s">
        <v>517</v>
      </c>
      <c r="S83" t="s">
        <v>140</v>
      </c>
      <c r="T83" t="s">
        <v>163</v>
      </c>
      <c r="U83" t="s">
        <v>172</v>
      </c>
      <c r="W83" t="s">
        <v>67</v>
      </c>
      <c r="X83" t="s">
        <v>144</v>
      </c>
      <c r="Y83">
        <v>1</v>
      </c>
      <c r="BN83">
        <v>0</v>
      </c>
    </row>
    <row r="84" spans="1:91" x14ac:dyDescent="0.2">
      <c r="A84" t="s">
        <v>111</v>
      </c>
      <c r="B84" t="b">
        <v>1</v>
      </c>
      <c r="E84">
        <v>97</v>
      </c>
      <c r="F84" t="str">
        <f>HYPERLINK("https://portal.dnb.de/opac.htm?method=simpleSearch&amp;cqlMode=true&amp;query=idn%3D1066969051", "Portal")</f>
        <v>Portal</v>
      </c>
      <c r="G84" t="s">
        <v>532</v>
      </c>
      <c r="H84" t="s">
        <v>533</v>
      </c>
      <c r="I84" t="s">
        <v>534</v>
      </c>
      <c r="J84" t="s">
        <v>535</v>
      </c>
      <c r="K84" t="s">
        <v>535</v>
      </c>
      <c r="L84" t="s">
        <v>535</v>
      </c>
      <c r="N84" t="s">
        <v>536</v>
      </c>
      <c r="O84" t="s">
        <v>121</v>
      </c>
      <c r="P84" t="s">
        <v>138</v>
      </c>
      <c r="Q84" t="s">
        <v>537</v>
      </c>
      <c r="R84" t="s">
        <v>180</v>
      </c>
      <c r="S84" t="s">
        <v>140</v>
      </c>
      <c r="T84" t="s">
        <v>471</v>
      </c>
      <c r="U84" t="s">
        <v>538</v>
      </c>
      <c r="V84" t="s">
        <v>143</v>
      </c>
      <c r="W84" t="s">
        <v>67</v>
      </c>
      <c r="X84" t="s">
        <v>144</v>
      </c>
      <c r="Y84">
        <v>0</v>
      </c>
      <c r="BN84">
        <v>0</v>
      </c>
    </row>
    <row r="85" spans="1:91" x14ac:dyDescent="0.2">
      <c r="A85" t="s">
        <v>111</v>
      </c>
      <c r="B85" t="b">
        <v>1</v>
      </c>
      <c r="F85" t="str">
        <f>HYPERLINK("https://portal.dnb.de/opac.htm?method=simpleSearch&amp;cqlMode=true&amp;query=idn%3D1272206009", "Portal")</f>
        <v>Portal</v>
      </c>
      <c r="G85" t="s">
        <v>539</v>
      </c>
      <c r="H85" t="s">
        <v>540</v>
      </c>
      <c r="I85" t="s">
        <v>541</v>
      </c>
      <c r="J85" t="s">
        <v>542</v>
      </c>
      <c r="K85" t="s">
        <v>542</v>
      </c>
      <c r="L85" t="s">
        <v>542</v>
      </c>
      <c r="N85" t="s">
        <v>543</v>
      </c>
      <c r="O85" t="s">
        <v>544</v>
      </c>
      <c r="P85" t="s">
        <v>138</v>
      </c>
      <c r="R85" t="s">
        <v>180</v>
      </c>
      <c r="S85" t="s">
        <v>140</v>
      </c>
      <c r="T85" t="s">
        <v>471</v>
      </c>
      <c r="U85" t="s">
        <v>538</v>
      </c>
      <c r="V85" t="s">
        <v>143</v>
      </c>
      <c r="W85" t="s">
        <v>67</v>
      </c>
      <c r="X85" t="s">
        <v>144</v>
      </c>
      <c r="Y85">
        <v>2</v>
      </c>
      <c r="BN85">
        <v>0</v>
      </c>
    </row>
    <row r="86" spans="1:91" x14ac:dyDescent="0.2">
      <c r="A86" t="s">
        <v>111</v>
      </c>
      <c r="B86" t="b">
        <v>1</v>
      </c>
      <c r="F86" t="str">
        <f>HYPERLINK("https://portal.dnb.de/opac.htm?method=simpleSearch&amp;cqlMode=true&amp;query=idn%3D1272206068", "Portal")</f>
        <v>Portal</v>
      </c>
      <c r="G86" t="s">
        <v>539</v>
      </c>
      <c r="H86" t="s">
        <v>545</v>
      </c>
      <c r="I86" t="s">
        <v>546</v>
      </c>
      <c r="J86" t="s">
        <v>547</v>
      </c>
      <c r="K86" t="s">
        <v>547</v>
      </c>
      <c r="L86" t="s">
        <v>547</v>
      </c>
      <c r="N86" t="s">
        <v>543</v>
      </c>
      <c r="O86" t="s">
        <v>548</v>
      </c>
      <c r="P86" t="s">
        <v>138</v>
      </c>
      <c r="R86" t="s">
        <v>139</v>
      </c>
      <c r="S86" t="s">
        <v>140</v>
      </c>
      <c r="T86" t="s">
        <v>471</v>
      </c>
      <c r="U86" t="s">
        <v>538</v>
      </c>
      <c r="V86" t="s">
        <v>143</v>
      </c>
      <c r="W86" t="s">
        <v>67</v>
      </c>
      <c r="X86" t="s">
        <v>144</v>
      </c>
      <c r="Y86">
        <v>1</v>
      </c>
      <c r="AI86" t="s">
        <v>182</v>
      </c>
      <c r="AM86" t="s">
        <v>266</v>
      </c>
      <c r="AS86" t="s">
        <v>148</v>
      </c>
      <c r="BC86" t="s">
        <v>166</v>
      </c>
      <c r="BD86" t="s">
        <v>146</v>
      </c>
      <c r="BG86">
        <v>60</v>
      </c>
      <c r="BM86" t="s">
        <v>151</v>
      </c>
      <c r="BN86">
        <v>0</v>
      </c>
      <c r="BP86" t="s">
        <v>152</v>
      </c>
      <c r="BV86" t="s">
        <v>549</v>
      </c>
    </row>
    <row r="87" spans="1:91" x14ac:dyDescent="0.2">
      <c r="A87" t="s">
        <v>111</v>
      </c>
      <c r="B87" t="b">
        <v>1</v>
      </c>
      <c r="F87" t="str">
        <f>HYPERLINK("https://portal.dnb.de/opac.htm?method=simpleSearch&amp;cqlMode=true&amp;query=idn%3D1272206114", "Portal")</f>
        <v>Portal</v>
      </c>
      <c r="G87" t="s">
        <v>539</v>
      </c>
      <c r="H87" t="s">
        <v>550</v>
      </c>
      <c r="I87" t="s">
        <v>551</v>
      </c>
      <c r="J87" t="s">
        <v>552</v>
      </c>
      <c r="K87" t="s">
        <v>552</v>
      </c>
      <c r="L87" t="s">
        <v>552</v>
      </c>
      <c r="N87" t="s">
        <v>543</v>
      </c>
      <c r="O87" t="s">
        <v>553</v>
      </c>
    </row>
    <row r="88" spans="1:91" x14ac:dyDescent="0.2">
      <c r="A88" t="s">
        <v>111</v>
      </c>
      <c r="B88" t="b">
        <v>1</v>
      </c>
      <c r="C88" t="s">
        <v>146</v>
      </c>
      <c r="F88" t="str">
        <f>HYPERLINK("https://portal.dnb.de/opac.htm?method=simpleSearch&amp;cqlMode=true&amp;query=idn%3D1272206149", "Portal")</f>
        <v>Portal</v>
      </c>
      <c r="G88" t="s">
        <v>539</v>
      </c>
      <c r="H88" t="s">
        <v>554</v>
      </c>
      <c r="I88" t="s">
        <v>555</v>
      </c>
      <c r="J88" t="s">
        <v>556</v>
      </c>
      <c r="K88" t="s">
        <v>556</v>
      </c>
      <c r="L88" t="s">
        <v>556</v>
      </c>
      <c r="N88" t="s">
        <v>543</v>
      </c>
      <c r="O88" t="s">
        <v>557</v>
      </c>
      <c r="P88" t="s">
        <v>138</v>
      </c>
      <c r="Q88" t="s">
        <v>537</v>
      </c>
      <c r="R88" t="s">
        <v>161</v>
      </c>
      <c r="S88" t="s">
        <v>140</v>
      </c>
      <c r="T88" t="s">
        <v>163</v>
      </c>
      <c r="U88" t="s">
        <v>538</v>
      </c>
      <c r="V88" t="s">
        <v>143</v>
      </c>
      <c r="W88" t="s">
        <v>67</v>
      </c>
      <c r="X88" t="s">
        <v>144</v>
      </c>
      <c r="Y88">
        <v>3</v>
      </c>
      <c r="AI88" t="s">
        <v>182</v>
      </c>
      <c r="AM88" t="s">
        <v>266</v>
      </c>
      <c r="AS88" t="s">
        <v>148</v>
      </c>
      <c r="BC88" t="s">
        <v>166</v>
      </c>
      <c r="BD88" t="s">
        <v>146</v>
      </c>
      <c r="BG88">
        <v>60</v>
      </c>
      <c r="BI88" t="s">
        <v>558</v>
      </c>
      <c r="BM88" t="s">
        <v>213</v>
      </c>
      <c r="BN88">
        <v>1</v>
      </c>
      <c r="BP88" t="s">
        <v>152</v>
      </c>
      <c r="BV88" t="s">
        <v>559</v>
      </c>
      <c r="CH88" t="s">
        <v>560</v>
      </c>
      <c r="CM88">
        <v>1</v>
      </c>
    </row>
    <row r="89" spans="1:91" x14ac:dyDescent="0.2">
      <c r="A89" t="s">
        <v>111</v>
      </c>
      <c r="B89" t="b">
        <v>1</v>
      </c>
      <c r="F89" t="str">
        <f>HYPERLINK("https://portal.dnb.de/opac.htm?method=simpleSearch&amp;cqlMode=true&amp;query=idn%3D1272206149", "Portal")</f>
        <v>Portal</v>
      </c>
      <c r="G89" t="s">
        <v>539</v>
      </c>
      <c r="H89" t="s">
        <v>561</v>
      </c>
      <c r="I89" t="s">
        <v>555</v>
      </c>
      <c r="J89" t="s">
        <v>562</v>
      </c>
      <c r="K89" t="s">
        <v>562</v>
      </c>
      <c r="L89" t="s">
        <v>562</v>
      </c>
      <c r="N89" t="s">
        <v>543</v>
      </c>
      <c r="O89" t="s">
        <v>557</v>
      </c>
      <c r="P89" t="s">
        <v>138</v>
      </c>
      <c r="Q89" t="s">
        <v>537</v>
      </c>
      <c r="R89" t="s">
        <v>180</v>
      </c>
      <c r="S89" t="s">
        <v>140</v>
      </c>
      <c r="T89" t="s">
        <v>471</v>
      </c>
      <c r="U89" t="s">
        <v>538</v>
      </c>
      <c r="V89" t="s">
        <v>143</v>
      </c>
      <c r="W89" t="s">
        <v>67</v>
      </c>
      <c r="X89" t="s">
        <v>144</v>
      </c>
      <c r="Y89">
        <v>2</v>
      </c>
      <c r="AI89" t="s">
        <v>182</v>
      </c>
      <c r="AM89" t="s">
        <v>266</v>
      </c>
      <c r="AS89" t="s">
        <v>148</v>
      </c>
      <c r="AW89" t="s">
        <v>146</v>
      </c>
      <c r="BC89" t="s">
        <v>166</v>
      </c>
      <c r="BD89" t="s">
        <v>146</v>
      </c>
      <c r="BG89">
        <v>45</v>
      </c>
      <c r="BM89" t="s">
        <v>151</v>
      </c>
      <c r="BN89">
        <v>0</v>
      </c>
      <c r="BP89" t="s">
        <v>152</v>
      </c>
      <c r="BV89" t="s">
        <v>559</v>
      </c>
    </row>
    <row r="90" spans="1:91" x14ac:dyDescent="0.2">
      <c r="A90" t="s">
        <v>111</v>
      </c>
      <c r="B90" t="b">
        <v>1</v>
      </c>
      <c r="C90" t="s">
        <v>146</v>
      </c>
      <c r="E90">
        <v>98</v>
      </c>
      <c r="F90" t="str">
        <f>HYPERLINK("https://portal.dnb.de/opac.htm?method=simpleSearch&amp;cqlMode=true&amp;query=idn%3D1066966761", "Portal")</f>
        <v>Portal</v>
      </c>
      <c r="G90" t="s">
        <v>115</v>
      </c>
      <c r="H90" t="s">
        <v>563</v>
      </c>
      <c r="I90" t="s">
        <v>564</v>
      </c>
      <c r="J90" t="s">
        <v>565</v>
      </c>
      <c r="K90" t="s">
        <v>565</v>
      </c>
      <c r="L90" t="s">
        <v>565</v>
      </c>
      <c r="N90" t="s">
        <v>566</v>
      </c>
      <c r="O90" t="s">
        <v>121</v>
      </c>
      <c r="P90" t="s">
        <v>138</v>
      </c>
      <c r="Q90" t="s">
        <v>567</v>
      </c>
      <c r="R90" t="s">
        <v>139</v>
      </c>
      <c r="S90" t="s">
        <v>140</v>
      </c>
      <c r="T90" t="s">
        <v>141</v>
      </c>
      <c r="U90" t="s">
        <v>142</v>
      </c>
      <c r="V90" t="s">
        <v>143</v>
      </c>
      <c r="W90" t="s">
        <v>67</v>
      </c>
      <c r="X90" t="s">
        <v>144</v>
      </c>
      <c r="Y90">
        <v>2</v>
      </c>
      <c r="AI90" t="s">
        <v>145</v>
      </c>
      <c r="AK90" t="s">
        <v>146</v>
      </c>
      <c r="AM90" t="s">
        <v>147</v>
      </c>
      <c r="AS90" t="s">
        <v>148</v>
      </c>
      <c r="BC90" t="s">
        <v>568</v>
      </c>
      <c r="BD90" t="s">
        <v>245</v>
      </c>
      <c r="BG90">
        <v>110</v>
      </c>
      <c r="BM90" t="s">
        <v>213</v>
      </c>
      <c r="BN90">
        <v>0.5</v>
      </c>
      <c r="BP90" t="s">
        <v>152</v>
      </c>
      <c r="CC90" t="s">
        <v>146</v>
      </c>
      <c r="CM90">
        <v>0.5</v>
      </c>
    </row>
    <row r="91" spans="1:91" x14ac:dyDescent="0.2">
      <c r="A91" t="s">
        <v>111</v>
      </c>
      <c r="B91" t="b">
        <v>1</v>
      </c>
      <c r="E91">
        <v>99</v>
      </c>
      <c r="F91" t="str">
        <f>HYPERLINK("https://portal.dnb.de/opac.htm?method=simpleSearch&amp;cqlMode=true&amp;query=idn%3D1066973148", "Portal")</f>
        <v>Portal</v>
      </c>
      <c r="G91" t="s">
        <v>133</v>
      </c>
      <c r="H91" t="s">
        <v>569</v>
      </c>
      <c r="I91" t="s">
        <v>570</v>
      </c>
      <c r="J91" t="s">
        <v>571</v>
      </c>
      <c r="K91" t="s">
        <v>571</v>
      </c>
      <c r="L91" t="s">
        <v>571</v>
      </c>
      <c r="N91" t="s">
        <v>572</v>
      </c>
      <c r="O91" t="s">
        <v>121</v>
      </c>
      <c r="P91" t="s">
        <v>138</v>
      </c>
      <c r="R91" t="s">
        <v>171</v>
      </c>
      <c r="S91" t="s">
        <v>140</v>
      </c>
      <c r="T91" t="s">
        <v>471</v>
      </c>
      <c r="U91" t="s">
        <v>573</v>
      </c>
      <c r="W91" t="s">
        <v>67</v>
      </c>
      <c r="X91" t="s">
        <v>144</v>
      </c>
      <c r="Y91">
        <v>0</v>
      </c>
      <c r="AI91" t="s">
        <v>174</v>
      </c>
      <c r="AL91" t="s">
        <v>146</v>
      </c>
      <c r="AM91" t="s">
        <v>228</v>
      </c>
      <c r="AN91" t="s">
        <v>146</v>
      </c>
      <c r="AS91" t="s">
        <v>148</v>
      </c>
      <c r="BG91">
        <v>110</v>
      </c>
      <c r="BM91" t="s">
        <v>151</v>
      </c>
      <c r="BN91">
        <v>0</v>
      </c>
      <c r="BP91" t="s">
        <v>278</v>
      </c>
    </row>
    <row r="92" spans="1:91" x14ac:dyDescent="0.2">
      <c r="A92" t="s">
        <v>111</v>
      </c>
      <c r="B92" t="b">
        <v>1</v>
      </c>
      <c r="E92">
        <v>100</v>
      </c>
      <c r="F92" t="str">
        <f>HYPERLINK("https://portal.dnb.de/opac.htm?method=simpleSearch&amp;cqlMode=true&amp;query=idn%3D1066969787", "Portal")</f>
        <v>Portal</v>
      </c>
      <c r="G92" t="s">
        <v>115</v>
      </c>
      <c r="H92" t="s">
        <v>574</v>
      </c>
      <c r="I92" t="s">
        <v>575</v>
      </c>
      <c r="J92" t="s">
        <v>576</v>
      </c>
      <c r="K92" t="s">
        <v>576</v>
      </c>
      <c r="L92" t="s">
        <v>576</v>
      </c>
      <c r="N92" t="s">
        <v>577</v>
      </c>
      <c r="O92" t="s">
        <v>121</v>
      </c>
      <c r="P92" t="s">
        <v>138</v>
      </c>
      <c r="R92" t="s">
        <v>180</v>
      </c>
      <c r="S92" t="s">
        <v>140</v>
      </c>
      <c r="T92" t="s">
        <v>163</v>
      </c>
      <c r="W92" t="s">
        <v>67</v>
      </c>
      <c r="X92" t="s">
        <v>144</v>
      </c>
      <c r="Y92">
        <v>1</v>
      </c>
      <c r="AI92" t="s">
        <v>182</v>
      </c>
      <c r="AL92" t="s">
        <v>146</v>
      </c>
      <c r="AM92" t="s">
        <v>266</v>
      </c>
      <c r="AQ92" t="s">
        <v>146</v>
      </c>
      <c r="AS92" t="s">
        <v>148</v>
      </c>
      <c r="BG92">
        <v>110</v>
      </c>
      <c r="BM92" t="s">
        <v>151</v>
      </c>
      <c r="BN92">
        <v>0</v>
      </c>
      <c r="BP92" t="s">
        <v>278</v>
      </c>
    </row>
    <row r="93" spans="1:91" x14ac:dyDescent="0.2">
      <c r="A93" t="s">
        <v>111</v>
      </c>
      <c r="B93" t="b">
        <v>1</v>
      </c>
      <c r="E93">
        <v>101</v>
      </c>
      <c r="F93" t="str">
        <f>HYPERLINK("https://portal.dnb.de/opac.htm?method=simpleSearch&amp;cqlMode=true&amp;query=idn%3D1066967156", "Portal")</f>
        <v>Portal</v>
      </c>
      <c r="G93" t="s">
        <v>133</v>
      </c>
      <c r="H93" t="s">
        <v>578</v>
      </c>
      <c r="I93" t="s">
        <v>579</v>
      </c>
      <c r="J93" t="s">
        <v>580</v>
      </c>
      <c r="K93" t="s">
        <v>580</v>
      </c>
      <c r="L93" t="s">
        <v>580</v>
      </c>
      <c r="N93" t="s">
        <v>581</v>
      </c>
      <c r="O93" t="s">
        <v>121</v>
      </c>
      <c r="P93" t="s">
        <v>138</v>
      </c>
      <c r="R93" t="s">
        <v>139</v>
      </c>
      <c r="S93" t="s">
        <v>189</v>
      </c>
      <c r="T93" t="s">
        <v>163</v>
      </c>
      <c r="U93" t="s">
        <v>142</v>
      </c>
      <c r="V93" t="s">
        <v>143</v>
      </c>
      <c r="W93" t="s">
        <v>67</v>
      </c>
      <c r="X93" t="s">
        <v>144</v>
      </c>
      <c r="Y93">
        <v>2</v>
      </c>
      <c r="AI93" t="s">
        <v>145</v>
      </c>
      <c r="AK93" t="s">
        <v>146</v>
      </c>
      <c r="AL93" t="s">
        <v>146</v>
      </c>
      <c r="AM93" t="s">
        <v>228</v>
      </c>
      <c r="AS93" t="s">
        <v>148</v>
      </c>
      <c r="BG93">
        <v>110</v>
      </c>
      <c r="BM93" t="s">
        <v>151</v>
      </c>
      <c r="BN93">
        <v>0</v>
      </c>
      <c r="BP93" t="s">
        <v>152</v>
      </c>
    </row>
    <row r="94" spans="1:91" x14ac:dyDescent="0.2">
      <c r="A94" t="s">
        <v>111</v>
      </c>
      <c r="B94" t="b">
        <v>1</v>
      </c>
      <c r="E94">
        <v>102</v>
      </c>
      <c r="F94" t="str">
        <f>HYPERLINK("https://portal.dnb.de/opac.htm?method=simpleSearch&amp;cqlMode=true&amp;query=idn%3D1066972109", "Portal")</f>
        <v>Portal</v>
      </c>
      <c r="G94" t="s">
        <v>115</v>
      </c>
      <c r="H94" t="s">
        <v>582</v>
      </c>
      <c r="I94" t="s">
        <v>583</v>
      </c>
      <c r="J94" t="s">
        <v>584</v>
      </c>
      <c r="K94" t="s">
        <v>584</v>
      </c>
      <c r="L94" t="s">
        <v>584</v>
      </c>
      <c r="N94" t="s">
        <v>585</v>
      </c>
      <c r="O94" t="s">
        <v>121</v>
      </c>
      <c r="P94" t="s">
        <v>138</v>
      </c>
      <c r="R94" t="s">
        <v>180</v>
      </c>
      <c r="S94" t="s">
        <v>140</v>
      </c>
      <c r="T94" t="s">
        <v>163</v>
      </c>
      <c r="U94" t="s">
        <v>142</v>
      </c>
      <c r="V94" t="s">
        <v>143</v>
      </c>
      <c r="W94" t="s">
        <v>67</v>
      </c>
      <c r="X94" t="s">
        <v>144</v>
      </c>
      <c r="Y94">
        <v>1</v>
      </c>
      <c r="AI94" t="s">
        <v>165</v>
      </c>
      <c r="AK94" t="s">
        <v>146</v>
      </c>
      <c r="AM94" t="s">
        <v>147</v>
      </c>
      <c r="AS94" t="s">
        <v>148</v>
      </c>
      <c r="AX94" t="s">
        <v>146</v>
      </c>
      <c r="BC94" t="s">
        <v>586</v>
      </c>
      <c r="BD94" t="s">
        <v>146</v>
      </c>
      <c r="BG94">
        <v>110</v>
      </c>
      <c r="BM94" t="s">
        <v>151</v>
      </c>
      <c r="BN94">
        <v>0</v>
      </c>
      <c r="BP94" t="s">
        <v>152</v>
      </c>
    </row>
    <row r="95" spans="1:91" x14ac:dyDescent="0.2">
      <c r="A95" t="s">
        <v>111</v>
      </c>
      <c r="B95" t="b">
        <v>1</v>
      </c>
      <c r="E95">
        <v>104</v>
      </c>
      <c r="F95" t="str">
        <f>HYPERLINK("https://portal.dnb.de/opac.htm?method=simpleSearch&amp;cqlMode=true&amp;query=idn%3D1066971803", "Portal")</f>
        <v>Portal</v>
      </c>
      <c r="G95" t="s">
        <v>115</v>
      </c>
      <c r="H95" t="s">
        <v>587</v>
      </c>
      <c r="I95" t="s">
        <v>588</v>
      </c>
      <c r="J95" t="s">
        <v>589</v>
      </c>
      <c r="K95" t="s">
        <v>589</v>
      </c>
      <c r="L95" t="s">
        <v>589</v>
      </c>
      <c r="N95" t="s">
        <v>590</v>
      </c>
      <c r="O95" t="s">
        <v>121</v>
      </c>
      <c r="P95" t="s">
        <v>138</v>
      </c>
      <c r="R95" t="s">
        <v>180</v>
      </c>
      <c r="S95" t="s">
        <v>189</v>
      </c>
      <c r="T95" t="s">
        <v>141</v>
      </c>
      <c r="U95" t="s">
        <v>142</v>
      </c>
      <c r="V95" t="s">
        <v>143</v>
      </c>
      <c r="W95" t="s">
        <v>67</v>
      </c>
      <c r="X95" t="s">
        <v>144</v>
      </c>
      <c r="Y95">
        <v>1</v>
      </c>
      <c r="AI95" t="s">
        <v>182</v>
      </c>
      <c r="AK95" t="s">
        <v>146</v>
      </c>
      <c r="AM95" t="s">
        <v>266</v>
      </c>
      <c r="AS95" t="s">
        <v>148</v>
      </c>
      <c r="AU95" t="s">
        <v>146</v>
      </c>
      <c r="BC95" t="s">
        <v>166</v>
      </c>
      <c r="BD95" t="s">
        <v>146</v>
      </c>
      <c r="BG95">
        <v>110</v>
      </c>
      <c r="BM95" t="s">
        <v>151</v>
      </c>
      <c r="BN95">
        <v>0</v>
      </c>
      <c r="BP95" t="s">
        <v>152</v>
      </c>
    </row>
    <row r="96" spans="1:91" x14ac:dyDescent="0.2">
      <c r="A96" t="s">
        <v>111</v>
      </c>
      <c r="B96" t="b">
        <v>1</v>
      </c>
      <c r="E96">
        <v>105</v>
      </c>
      <c r="F96" t="str">
        <f>HYPERLINK("https://portal.dnb.de/opac.htm?method=simpleSearch&amp;cqlMode=true&amp;query=idn%3D1066970394", "Portal")</f>
        <v>Portal</v>
      </c>
      <c r="G96" t="s">
        <v>133</v>
      </c>
      <c r="H96" t="s">
        <v>591</v>
      </c>
      <c r="I96" t="s">
        <v>592</v>
      </c>
      <c r="J96" t="s">
        <v>593</v>
      </c>
      <c r="K96" t="s">
        <v>593</v>
      </c>
      <c r="L96" t="s">
        <v>593</v>
      </c>
      <c r="N96" t="s">
        <v>594</v>
      </c>
      <c r="O96" t="s">
        <v>121</v>
      </c>
      <c r="P96" t="s">
        <v>138</v>
      </c>
      <c r="R96" t="s">
        <v>139</v>
      </c>
      <c r="S96" t="s">
        <v>189</v>
      </c>
      <c r="T96" t="s">
        <v>141</v>
      </c>
      <c r="U96" t="s">
        <v>142</v>
      </c>
      <c r="V96" t="s">
        <v>143</v>
      </c>
      <c r="W96" t="s">
        <v>67</v>
      </c>
      <c r="X96" t="s">
        <v>144</v>
      </c>
      <c r="Y96">
        <v>0</v>
      </c>
      <c r="AI96" t="s">
        <v>145</v>
      </c>
      <c r="AK96" t="s">
        <v>146</v>
      </c>
      <c r="AM96" t="s">
        <v>147</v>
      </c>
      <c r="AS96" t="s">
        <v>148</v>
      </c>
      <c r="BC96" t="s">
        <v>166</v>
      </c>
      <c r="BD96" t="s">
        <v>146</v>
      </c>
      <c r="BG96">
        <v>110</v>
      </c>
      <c r="BM96" t="s">
        <v>151</v>
      </c>
      <c r="BN96">
        <v>0</v>
      </c>
      <c r="BP96" t="s">
        <v>152</v>
      </c>
    </row>
    <row r="97" spans="1:111" x14ac:dyDescent="0.2">
      <c r="A97" t="s">
        <v>111</v>
      </c>
      <c r="B97" t="b">
        <v>1</v>
      </c>
      <c r="E97">
        <v>106</v>
      </c>
      <c r="F97" t="str">
        <f>HYPERLINK("https://portal.dnb.de/opac.htm?method=simpleSearch&amp;cqlMode=true&amp;query=idn%3D1066970394", "Portal")</f>
        <v>Portal</v>
      </c>
      <c r="G97" t="s">
        <v>133</v>
      </c>
      <c r="H97" t="s">
        <v>595</v>
      </c>
      <c r="I97" t="s">
        <v>592</v>
      </c>
      <c r="K97" t="s">
        <v>596</v>
      </c>
      <c r="L97" t="s">
        <v>596</v>
      </c>
      <c r="N97" t="s">
        <v>594</v>
      </c>
      <c r="O97" t="s">
        <v>121</v>
      </c>
      <c r="P97" t="s">
        <v>138</v>
      </c>
      <c r="R97" t="s">
        <v>180</v>
      </c>
      <c r="S97" t="s">
        <v>140</v>
      </c>
      <c r="T97" t="s">
        <v>163</v>
      </c>
      <c r="U97" t="s">
        <v>386</v>
      </c>
      <c r="W97" t="s">
        <v>67</v>
      </c>
      <c r="X97" t="s">
        <v>144</v>
      </c>
      <c r="Y97">
        <v>0</v>
      </c>
      <c r="AI97" t="s">
        <v>182</v>
      </c>
      <c r="AL97" t="s">
        <v>146</v>
      </c>
      <c r="AM97" t="s">
        <v>266</v>
      </c>
      <c r="AS97" t="s">
        <v>148</v>
      </c>
      <c r="AX97" t="s">
        <v>146</v>
      </c>
      <c r="BG97">
        <v>110</v>
      </c>
      <c r="BM97" t="s">
        <v>151</v>
      </c>
      <c r="BN97">
        <v>0</v>
      </c>
      <c r="BP97" t="s">
        <v>278</v>
      </c>
      <c r="BV97" t="s">
        <v>597</v>
      </c>
    </row>
    <row r="98" spans="1:111" x14ac:dyDescent="0.2">
      <c r="A98" t="s">
        <v>111</v>
      </c>
      <c r="B98" t="b">
        <v>1</v>
      </c>
      <c r="E98">
        <v>107</v>
      </c>
      <c r="F98" t="str">
        <f>HYPERLINK("https://portal.dnb.de/opac.htm?method=simpleSearch&amp;cqlMode=true&amp;query=idn%3D1072052393", "Portal")</f>
        <v>Portal</v>
      </c>
      <c r="G98" t="s">
        <v>218</v>
      </c>
      <c r="H98" t="s">
        <v>598</v>
      </c>
      <c r="I98" t="s">
        <v>599</v>
      </c>
      <c r="J98" t="s">
        <v>600</v>
      </c>
      <c r="K98" t="s">
        <v>600</v>
      </c>
      <c r="L98" t="s">
        <v>600</v>
      </c>
      <c r="N98" t="s">
        <v>601</v>
      </c>
      <c r="O98" t="s">
        <v>121</v>
      </c>
      <c r="P98" t="s">
        <v>138</v>
      </c>
      <c r="R98" t="s">
        <v>161</v>
      </c>
      <c r="S98" t="s">
        <v>189</v>
      </c>
      <c r="T98" t="s">
        <v>163</v>
      </c>
      <c r="U98" t="s">
        <v>164</v>
      </c>
      <c r="V98" t="s">
        <v>143</v>
      </c>
      <c r="W98" t="s">
        <v>67</v>
      </c>
      <c r="X98" t="s">
        <v>144</v>
      </c>
      <c r="Y98">
        <v>0</v>
      </c>
      <c r="AI98" t="s">
        <v>182</v>
      </c>
      <c r="AL98" t="s">
        <v>146</v>
      </c>
      <c r="AM98" t="s">
        <v>266</v>
      </c>
      <c r="AS98" t="s">
        <v>148</v>
      </c>
      <c r="BG98">
        <v>110</v>
      </c>
      <c r="BM98" t="s">
        <v>151</v>
      </c>
      <c r="BN98">
        <v>0</v>
      </c>
      <c r="BP98" t="s">
        <v>278</v>
      </c>
    </row>
    <row r="99" spans="1:111" x14ac:dyDescent="0.2">
      <c r="A99" t="s">
        <v>111</v>
      </c>
      <c r="B99" t="b">
        <v>1</v>
      </c>
      <c r="E99">
        <v>108</v>
      </c>
      <c r="F99" t="str">
        <f>HYPERLINK("https://portal.dnb.de/opac.htm?method=simpleSearch&amp;cqlMode=true&amp;query=idn%3D1066970890", "Portal")</f>
        <v>Portal</v>
      </c>
      <c r="G99" t="s">
        <v>133</v>
      </c>
      <c r="H99" t="s">
        <v>602</v>
      </c>
      <c r="I99" t="s">
        <v>603</v>
      </c>
      <c r="J99" t="s">
        <v>604</v>
      </c>
      <c r="K99" t="s">
        <v>604</v>
      </c>
      <c r="L99" t="s">
        <v>604</v>
      </c>
      <c r="N99" t="s">
        <v>605</v>
      </c>
      <c r="O99" t="s">
        <v>121</v>
      </c>
      <c r="P99" t="s">
        <v>138</v>
      </c>
      <c r="R99" t="s">
        <v>161</v>
      </c>
      <c r="S99" t="s">
        <v>189</v>
      </c>
      <c r="T99" t="s">
        <v>141</v>
      </c>
      <c r="U99" t="s">
        <v>243</v>
      </c>
      <c r="V99" t="s">
        <v>143</v>
      </c>
      <c r="W99" t="s">
        <v>67</v>
      </c>
      <c r="X99" t="s">
        <v>144</v>
      </c>
      <c r="Y99">
        <v>0</v>
      </c>
      <c r="AI99" t="s">
        <v>518</v>
      </c>
      <c r="AK99" t="s">
        <v>146</v>
      </c>
      <c r="AM99" t="s">
        <v>228</v>
      </c>
      <c r="AS99" t="s">
        <v>148</v>
      </c>
      <c r="AT99" t="s">
        <v>146</v>
      </c>
      <c r="BC99" t="s">
        <v>606</v>
      </c>
      <c r="BD99" t="s">
        <v>146</v>
      </c>
      <c r="BG99">
        <v>110</v>
      </c>
      <c r="BM99" t="s">
        <v>151</v>
      </c>
      <c r="BN99">
        <v>0</v>
      </c>
      <c r="BP99" t="s">
        <v>152</v>
      </c>
    </row>
    <row r="100" spans="1:111" x14ac:dyDescent="0.2">
      <c r="A100" t="s">
        <v>111</v>
      </c>
      <c r="B100" t="b">
        <v>1</v>
      </c>
      <c r="E100">
        <v>109</v>
      </c>
      <c r="F100" t="str">
        <f>HYPERLINK("https://portal.dnb.de/opac.htm?method=simpleSearch&amp;cqlMode=true&amp;query=idn%3D1066966524", "Portal")</f>
        <v>Portal</v>
      </c>
      <c r="G100" t="s">
        <v>133</v>
      </c>
      <c r="H100" t="s">
        <v>607</v>
      </c>
      <c r="I100" t="s">
        <v>608</v>
      </c>
      <c r="J100" t="s">
        <v>609</v>
      </c>
      <c r="K100" t="s">
        <v>609</v>
      </c>
      <c r="L100" t="s">
        <v>609</v>
      </c>
      <c r="N100" t="s">
        <v>610</v>
      </c>
      <c r="O100" t="s">
        <v>121</v>
      </c>
      <c r="BN100">
        <v>0</v>
      </c>
    </row>
    <row r="101" spans="1:111" x14ac:dyDescent="0.2">
      <c r="A101" t="s">
        <v>111</v>
      </c>
      <c r="B101" t="b">
        <v>1</v>
      </c>
      <c r="C101" t="s">
        <v>146</v>
      </c>
      <c r="E101">
        <v>110</v>
      </c>
      <c r="F101" t="str">
        <f>HYPERLINK("https://portal.dnb.de/opac.htm?method=simpleSearch&amp;cqlMode=true&amp;query=idn%3D1066970971", "Portal")</f>
        <v>Portal</v>
      </c>
      <c r="G101" t="s">
        <v>133</v>
      </c>
      <c r="H101" t="s">
        <v>611</v>
      </c>
      <c r="I101" t="s">
        <v>612</v>
      </c>
      <c r="J101" t="s">
        <v>613</v>
      </c>
      <c r="K101" t="s">
        <v>614</v>
      </c>
      <c r="L101" t="s">
        <v>614</v>
      </c>
      <c r="N101" t="s">
        <v>615</v>
      </c>
      <c r="O101" t="s">
        <v>121</v>
      </c>
      <c r="P101" t="s">
        <v>146</v>
      </c>
      <c r="Q101" t="s">
        <v>616</v>
      </c>
      <c r="R101" t="s">
        <v>139</v>
      </c>
      <c r="S101" t="s">
        <v>162</v>
      </c>
      <c r="T101" t="s">
        <v>163</v>
      </c>
      <c r="U101" t="s">
        <v>142</v>
      </c>
      <c r="V101" t="s">
        <v>143</v>
      </c>
      <c r="X101" t="s">
        <v>250</v>
      </c>
      <c r="Y101">
        <v>0</v>
      </c>
      <c r="AA101" t="s">
        <v>617</v>
      </c>
      <c r="AI101" t="s">
        <v>145</v>
      </c>
      <c r="AK101" t="s">
        <v>146</v>
      </c>
      <c r="AM101" t="s">
        <v>147</v>
      </c>
      <c r="AS101" t="s">
        <v>148</v>
      </c>
      <c r="BC101" t="s">
        <v>166</v>
      </c>
      <c r="BD101" t="s">
        <v>146</v>
      </c>
      <c r="BG101">
        <v>110</v>
      </c>
      <c r="BM101" t="s">
        <v>213</v>
      </c>
      <c r="BN101">
        <v>3</v>
      </c>
      <c r="CX101" t="s">
        <v>618</v>
      </c>
      <c r="CZ101" t="s">
        <v>619</v>
      </c>
      <c r="DF101">
        <v>3</v>
      </c>
    </row>
    <row r="102" spans="1:111" x14ac:dyDescent="0.2">
      <c r="A102" t="s">
        <v>111</v>
      </c>
      <c r="B102" t="b">
        <v>1</v>
      </c>
      <c r="C102" t="s">
        <v>146</v>
      </c>
      <c r="E102">
        <v>111</v>
      </c>
      <c r="F102" t="str">
        <f>HYPERLINK("https://portal.dnb.de/opac.htm?method=simpleSearch&amp;cqlMode=true&amp;query=idn%3D1079552596", "Portal")</f>
        <v>Portal</v>
      </c>
      <c r="G102" t="s">
        <v>218</v>
      </c>
      <c r="H102" t="s">
        <v>620</v>
      </c>
      <c r="I102" t="s">
        <v>621</v>
      </c>
      <c r="J102" t="s">
        <v>622</v>
      </c>
      <c r="K102" t="s">
        <v>622</v>
      </c>
      <c r="L102" t="s">
        <v>622</v>
      </c>
      <c r="N102" t="s">
        <v>623</v>
      </c>
      <c r="O102" t="s">
        <v>121</v>
      </c>
      <c r="P102" t="s">
        <v>138</v>
      </c>
      <c r="Q102" t="s">
        <v>624</v>
      </c>
      <c r="R102" t="s">
        <v>207</v>
      </c>
      <c r="S102" t="s">
        <v>140</v>
      </c>
      <c r="T102" t="s">
        <v>163</v>
      </c>
      <c r="U102" t="s">
        <v>625</v>
      </c>
      <c r="V102" t="s">
        <v>143</v>
      </c>
      <c r="W102" t="s">
        <v>67</v>
      </c>
      <c r="X102" t="s">
        <v>144</v>
      </c>
      <c r="Y102">
        <v>1</v>
      </c>
      <c r="AA102" t="s">
        <v>626</v>
      </c>
      <c r="AI102" t="s">
        <v>182</v>
      </c>
      <c r="AM102" t="s">
        <v>266</v>
      </c>
      <c r="AS102" t="s">
        <v>148</v>
      </c>
      <c r="AU102" t="s">
        <v>146</v>
      </c>
      <c r="BC102" t="s">
        <v>149</v>
      </c>
      <c r="BD102" t="s">
        <v>245</v>
      </c>
      <c r="BG102">
        <v>110</v>
      </c>
      <c r="BM102" t="s">
        <v>213</v>
      </c>
      <c r="BN102">
        <v>1</v>
      </c>
      <c r="BP102" t="s">
        <v>152</v>
      </c>
      <c r="CB102" t="s">
        <v>146</v>
      </c>
      <c r="CM102">
        <v>0.5</v>
      </c>
      <c r="DD102" t="s">
        <v>146</v>
      </c>
      <c r="DF102">
        <v>0.5</v>
      </c>
    </row>
    <row r="103" spans="1:111" x14ac:dyDescent="0.2">
      <c r="A103" t="s">
        <v>111</v>
      </c>
      <c r="B103" t="b">
        <v>1</v>
      </c>
      <c r="E103">
        <v>112</v>
      </c>
      <c r="F103" t="str">
        <f>HYPERLINK("https://portal.dnb.de/opac.htm?method=simpleSearch&amp;cqlMode=true&amp;query=idn%3D1077047398", "Portal")</f>
        <v>Portal</v>
      </c>
      <c r="G103" t="s">
        <v>539</v>
      </c>
      <c r="H103" t="s">
        <v>627</v>
      </c>
      <c r="I103" t="s">
        <v>628</v>
      </c>
      <c r="J103" t="s">
        <v>629</v>
      </c>
      <c r="K103" t="s">
        <v>629</v>
      </c>
      <c r="L103" t="s">
        <v>630</v>
      </c>
      <c r="N103" t="s">
        <v>631</v>
      </c>
      <c r="O103" t="s">
        <v>632</v>
      </c>
      <c r="P103" t="s">
        <v>138</v>
      </c>
      <c r="R103" t="s">
        <v>347</v>
      </c>
      <c r="S103" t="s">
        <v>162</v>
      </c>
      <c r="T103" t="s">
        <v>163</v>
      </c>
      <c r="U103" t="s">
        <v>381</v>
      </c>
      <c r="V103" t="s">
        <v>143</v>
      </c>
      <c r="Y103">
        <v>1</v>
      </c>
      <c r="AG103" t="s">
        <v>146</v>
      </c>
      <c r="AI103" t="s">
        <v>182</v>
      </c>
      <c r="AM103" t="s">
        <v>266</v>
      </c>
      <c r="AS103" t="s">
        <v>148</v>
      </c>
      <c r="BC103" t="s">
        <v>166</v>
      </c>
      <c r="BD103" t="s">
        <v>146</v>
      </c>
      <c r="BG103">
        <v>60</v>
      </c>
      <c r="BM103" t="s">
        <v>151</v>
      </c>
      <c r="BN103">
        <v>0</v>
      </c>
      <c r="BY103" t="s">
        <v>633</v>
      </c>
    </row>
    <row r="104" spans="1:111" x14ac:dyDescent="0.2">
      <c r="A104" t="s">
        <v>111</v>
      </c>
      <c r="B104" t="b">
        <v>1</v>
      </c>
      <c r="E104">
        <v>127</v>
      </c>
      <c r="F104" t="str">
        <f>HYPERLINK("https://portal.dnb.de/opac.htm?method=simpleSearch&amp;cqlMode=true&amp;query=idn%3D1077047428", "Portal")</f>
        <v>Portal</v>
      </c>
      <c r="G104" t="s">
        <v>539</v>
      </c>
      <c r="H104" t="s">
        <v>634</v>
      </c>
      <c r="I104" t="s">
        <v>635</v>
      </c>
      <c r="J104" t="s">
        <v>636</v>
      </c>
      <c r="K104" t="s">
        <v>636</v>
      </c>
      <c r="L104" t="s">
        <v>636</v>
      </c>
      <c r="N104" t="s">
        <v>631</v>
      </c>
      <c r="O104" t="s">
        <v>637</v>
      </c>
      <c r="BN104">
        <v>0</v>
      </c>
    </row>
    <row r="105" spans="1:111" x14ac:dyDescent="0.2">
      <c r="A105" t="s">
        <v>111</v>
      </c>
      <c r="B105" t="b">
        <v>1</v>
      </c>
      <c r="E105">
        <v>113</v>
      </c>
      <c r="F105" t="str">
        <f>HYPERLINK("https://portal.dnb.de/opac.htm?method=simpleSearch&amp;cqlMode=true&amp;query=idn%3D1066968667", "Portal")</f>
        <v>Portal</v>
      </c>
      <c r="G105" t="s">
        <v>133</v>
      </c>
      <c r="H105" t="s">
        <v>638</v>
      </c>
      <c r="I105" t="s">
        <v>639</v>
      </c>
      <c r="J105" t="s">
        <v>640</v>
      </c>
      <c r="K105" t="s">
        <v>640</v>
      </c>
      <c r="L105" t="s">
        <v>640</v>
      </c>
      <c r="N105" t="s">
        <v>641</v>
      </c>
      <c r="O105" t="s">
        <v>121</v>
      </c>
      <c r="P105" t="s">
        <v>138</v>
      </c>
      <c r="R105" t="s">
        <v>161</v>
      </c>
      <c r="S105" t="s">
        <v>162</v>
      </c>
      <c r="T105" t="s">
        <v>163</v>
      </c>
      <c r="U105" t="s">
        <v>142</v>
      </c>
      <c r="V105" t="s">
        <v>143</v>
      </c>
      <c r="Y105">
        <v>0</v>
      </c>
      <c r="AI105" t="s">
        <v>165</v>
      </c>
      <c r="AK105" t="s">
        <v>146</v>
      </c>
      <c r="AM105" t="s">
        <v>147</v>
      </c>
      <c r="AS105" t="s">
        <v>148</v>
      </c>
      <c r="BC105" t="s">
        <v>166</v>
      </c>
      <c r="BD105" t="s">
        <v>146</v>
      </c>
      <c r="BG105">
        <v>110</v>
      </c>
      <c r="BM105" t="s">
        <v>151</v>
      </c>
      <c r="BN105">
        <v>0</v>
      </c>
      <c r="BY105" t="s">
        <v>642</v>
      </c>
    </row>
    <row r="106" spans="1:111" x14ac:dyDescent="0.2">
      <c r="A106" t="s">
        <v>111</v>
      </c>
      <c r="B106" t="b">
        <v>1</v>
      </c>
      <c r="E106">
        <v>114</v>
      </c>
      <c r="F106" t="str">
        <f>HYPERLINK("https://portal.dnb.de/opac.htm?method=simpleSearch&amp;cqlMode=true&amp;query=idn%3D1066967598", "Portal")</f>
        <v>Portal</v>
      </c>
      <c r="G106" t="s">
        <v>133</v>
      </c>
      <c r="H106" t="s">
        <v>643</v>
      </c>
      <c r="I106" t="s">
        <v>644</v>
      </c>
      <c r="J106" t="s">
        <v>645</v>
      </c>
      <c r="K106" t="s">
        <v>645</v>
      </c>
      <c r="L106" t="s">
        <v>645</v>
      </c>
      <c r="N106" t="s">
        <v>646</v>
      </c>
      <c r="O106" t="s">
        <v>121</v>
      </c>
      <c r="P106" t="s">
        <v>138</v>
      </c>
      <c r="R106" t="s">
        <v>207</v>
      </c>
      <c r="S106" t="s">
        <v>140</v>
      </c>
      <c r="T106" t="s">
        <v>141</v>
      </c>
      <c r="U106" t="s">
        <v>142</v>
      </c>
      <c r="V106" t="s">
        <v>143</v>
      </c>
      <c r="W106" t="s">
        <v>67</v>
      </c>
      <c r="X106" t="s">
        <v>144</v>
      </c>
      <c r="Y106">
        <v>0</v>
      </c>
      <c r="AI106" t="s">
        <v>165</v>
      </c>
      <c r="AK106" t="s">
        <v>146</v>
      </c>
      <c r="AM106" t="s">
        <v>147</v>
      </c>
      <c r="AS106" t="s">
        <v>148</v>
      </c>
      <c r="BC106" t="s">
        <v>149</v>
      </c>
      <c r="BD106" t="s">
        <v>245</v>
      </c>
      <c r="BG106">
        <v>110</v>
      </c>
      <c r="BM106" t="s">
        <v>151</v>
      </c>
      <c r="BN106">
        <v>0</v>
      </c>
      <c r="BP106" t="s">
        <v>152</v>
      </c>
    </row>
    <row r="107" spans="1:111" x14ac:dyDescent="0.2">
      <c r="A107" t="s">
        <v>111</v>
      </c>
      <c r="B107" t="b">
        <v>1</v>
      </c>
      <c r="C107" t="s">
        <v>146</v>
      </c>
      <c r="E107">
        <v>115</v>
      </c>
      <c r="F107" t="str">
        <f>HYPERLINK("https://portal.dnb.de/opac.htm?method=simpleSearch&amp;cqlMode=true&amp;query=idn%3D1066970114", "Portal")</f>
        <v>Portal</v>
      </c>
      <c r="G107" t="s">
        <v>115</v>
      </c>
      <c r="H107" t="s">
        <v>647</v>
      </c>
      <c r="I107" t="s">
        <v>648</v>
      </c>
      <c r="J107" t="s">
        <v>649</v>
      </c>
      <c r="K107" t="s">
        <v>649</v>
      </c>
      <c r="L107" t="s">
        <v>649</v>
      </c>
      <c r="N107" t="s">
        <v>650</v>
      </c>
      <c r="O107" t="s">
        <v>121</v>
      </c>
      <c r="P107" t="s">
        <v>138</v>
      </c>
      <c r="Q107" t="s">
        <v>356</v>
      </c>
      <c r="R107" t="s">
        <v>207</v>
      </c>
      <c r="S107" t="s">
        <v>189</v>
      </c>
      <c r="T107" t="s">
        <v>163</v>
      </c>
      <c r="U107" t="s">
        <v>243</v>
      </c>
      <c r="V107" t="s">
        <v>143</v>
      </c>
      <c r="W107" t="s">
        <v>67</v>
      </c>
      <c r="X107" t="s">
        <v>144</v>
      </c>
      <c r="Y107">
        <v>1</v>
      </c>
      <c r="AA107" t="s">
        <v>199</v>
      </c>
      <c r="AI107" t="s">
        <v>182</v>
      </c>
      <c r="AM107" t="s">
        <v>266</v>
      </c>
      <c r="AS107" t="s">
        <v>148</v>
      </c>
      <c r="BC107" t="s">
        <v>606</v>
      </c>
      <c r="BD107" t="s">
        <v>146</v>
      </c>
      <c r="BG107">
        <v>110</v>
      </c>
      <c r="BM107" t="s">
        <v>213</v>
      </c>
      <c r="BN107">
        <v>0.5</v>
      </c>
      <c r="BP107" t="s">
        <v>278</v>
      </c>
      <c r="CB107" t="s">
        <v>146</v>
      </c>
      <c r="CM107">
        <v>0.5</v>
      </c>
    </row>
    <row r="108" spans="1:111" x14ac:dyDescent="0.2">
      <c r="A108" t="s">
        <v>111</v>
      </c>
      <c r="B108" t="b">
        <v>1</v>
      </c>
      <c r="E108">
        <v>116</v>
      </c>
      <c r="F108" t="str">
        <f>HYPERLINK("https://portal.dnb.de/opac.htm?method=simpleSearch&amp;cqlMode=true&amp;query=idn%3D1066965684", "Portal")</f>
        <v>Portal</v>
      </c>
      <c r="G108" t="s">
        <v>133</v>
      </c>
      <c r="H108" t="s">
        <v>651</v>
      </c>
      <c r="I108" t="s">
        <v>652</v>
      </c>
      <c r="J108" t="s">
        <v>653</v>
      </c>
      <c r="K108" t="s">
        <v>653</v>
      </c>
      <c r="L108" t="s">
        <v>653</v>
      </c>
      <c r="N108" t="s">
        <v>654</v>
      </c>
      <c r="O108" t="s">
        <v>121</v>
      </c>
      <c r="P108" t="s">
        <v>138</v>
      </c>
      <c r="R108" t="s">
        <v>207</v>
      </c>
      <c r="S108" t="s">
        <v>181</v>
      </c>
      <c r="T108" t="s">
        <v>163</v>
      </c>
      <c r="U108" t="s">
        <v>142</v>
      </c>
      <c r="V108" t="s">
        <v>143</v>
      </c>
      <c r="Y108">
        <v>0</v>
      </c>
      <c r="AI108" t="s">
        <v>165</v>
      </c>
      <c r="AK108" t="s">
        <v>146</v>
      </c>
      <c r="AL108" t="s">
        <v>146</v>
      </c>
      <c r="AM108" t="s">
        <v>147</v>
      </c>
      <c r="AS108" t="s">
        <v>148</v>
      </c>
      <c r="BC108" t="s">
        <v>166</v>
      </c>
      <c r="BD108" t="s">
        <v>146</v>
      </c>
      <c r="BG108">
        <v>110</v>
      </c>
      <c r="BM108" t="s">
        <v>151</v>
      </c>
      <c r="BN108">
        <v>0</v>
      </c>
    </row>
    <row r="109" spans="1:111" x14ac:dyDescent="0.2">
      <c r="A109" t="s">
        <v>111</v>
      </c>
      <c r="B109" t="b">
        <v>1</v>
      </c>
      <c r="C109" t="s">
        <v>146</v>
      </c>
      <c r="E109">
        <v>117</v>
      </c>
      <c r="F109" t="str">
        <f>HYPERLINK("https://portal.dnb.de/opac.htm?method=simpleSearch&amp;cqlMode=true&amp;query=idn%3D1066970920", "Portal")</f>
        <v>Portal</v>
      </c>
      <c r="G109" t="s">
        <v>115</v>
      </c>
      <c r="H109" t="s">
        <v>655</v>
      </c>
      <c r="I109" t="s">
        <v>656</v>
      </c>
      <c r="J109" t="s">
        <v>657</v>
      </c>
      <c r="K109" t="s">
        <v>657</v>
      </c>
      <c r="L109" t="s">
        <v>657</v>
      </c>
      <c r="N109" t="s">
        <v>658</v>
      </c>
      <c r="O109" t="s">
        <v>121</v>
      </c>
      <c r="P109" t="s">
        <v>138</v>
      </c>
      <c r="Q109" t="s">
        <v>659</v>
      </c>
      <c r="R109" t="s">
        <v>180</v>
      </c>
      <c r="S109" t="s">
        <v>181</v>
      </c>
      <c r="T109" t="s">
        <v>163</v>
      </c>
      <c r="U109" t="s">
        <v>660</v>
      </c>
      <c r="V109" t="s">
        <v>143</v>
      </c>
      <c r="Y109">
        <v>1</v>
      </c>
      <c r="AI109" t="s">
        <v>182</v>
      </c>
      <c r="AK109" t="s">
        <v>146</v>
      </c>
      <c r="AM109" t="s">
        <v>313</v>
      </c>
      <c r="AS109" t="s">
        <v>148</v>
      </c>
      <c r="AW109" t="s">
        <v>146</v>
      </c>
      <c r="BC109" t="s">
        <v>166</v>
      </c>
      <c r="BD109" t="s">
        <v>146</v>
      </c>
      <c r="BG109">
        <v>45</v>
      </c>
      <c r="BM109" t="s">
        <v>213</v>
      </c>
      <c r="BN109">
        <v>1</v>
      </c>
      <c r="CB109" t="s">
        <v>146</v>
      </c>
      <c r="CM109">
        <v>0.5</v>
      </c>
      <c r="CO109" t="s">
        <v>146</v>
      </c>
      <c r="DF109">
        <v>0.5</v>
      </c>
      <c r="DG109" t="s">
        <v>661</v>
      </c>
    </row>
    <row r="110" spans="1:111" x14ac:dyDescent="0.2">
      <c r="A110" t="s">
        <v>111</v>
      </c>
      <c r="B110" t="b">
        <v>1</v>
      </c>
      <c r="C110" t="s">
        <v>146</v>
      </c>
      <c r="E110">
        <v>118</v>
      </c>
      <c r="F110" t="str">
        <f>HYPERLINK("https://portal.dnb.de/opac.htm?method=simpleSearch&amp;cqlMode=true&amp;query=idn%3D106696856X", "Portal")</f>
        <v>Portal</v>
      </c>
      <c r="G110" t="s">
        <v>115</v>
      </c>
      <c r="H110" t="s">
        <v>662</v>
      </c>
      <c r="I110" t="s">
        <v>663</v>
      </c>
      <c r="J110" t="s">
        <v>664</v>
      </c>
      <c r="K110" t="s">
        <v>664</v>
      </c>
      <c r="L110" t="s">
        <v>664</v>
      </c>
      <c r="N110" t="s">
        <v>227</v>
      </c>
      <c r="O110" t="s">
        <v>121</v>
      </c>
      <c r="P110" t="s">
        <v>138</v>
      </c>
      <c r="Q110" t="s">
        <v>665</v>
      </c>
      <c r="R110" t="s">
        <v>180</v>
      </c>
      <c r="S110" t="s">
        <v>181</v>
      </c>
      <c r="T110" t="s">
        <v>163</v>
      </c>
      <c r="U110" t="s">
        <v>164</v>
      </c>
      <c r="V110" t="s">
        <v>143</v>
      </c>
      <c r="X110" t="s">
        <v>250</v>
      </c>
      <c r="Y110">
        <v>2</v>
      </c>
      <c r="AI110" t="s">
        <v>182</v>
      </c>
      <c r="AK110" t="s">
        <v>146</v>
      </c>
      <c r="AM110" t="s">
        <v>313</v>
      </c>
      <c r="AS110" t="s">
        <v>148</v>
      </c>
      <c r="BC110" t="s">
        <v>166</v>
      </c>
      <c r="BD110" t="s">
        <v>146</v>
      </c>
      <c r="BG110">
        <v>60</v>
      </c>
      <c r="BM110" t="s">
        <v>213</v>
      </c>
      <c r="BN110">
        <v>1</v>
      </c>
      <c r="CA110" t="s">
        <v>146</v>
      </c>
      <c r="CB110" t="s">
        <v>146</v>
      </c>
      <c r="CM110">
        <v>1</v>
      </c>
    </row>
    <row r="111" spans="1:111" x14ac:dyDescent="0.2">
      <c r="A111" t="s">
        <v>111</v>
      </c>
      <c r="B111" t="b">
        <v>1</v>
      </c>
      <c r="C111" t="s">
        <v>146</v>
      </c>
      <c r="E111">
        <v>119</v>
      </c>
      <c r="F111" t="str">
        <f>HYPERLINK("https://portal.dnb.de/opac.htm?method=simpleSearch&amp;cqlMode=true&amp;query=idn%3D1066968322", "Portal")</f>
        <v>Portal</v>
      </c>
      <c r="G111" t="s">
        <v>133</v>
      </c>
      <c r="H111" t="s">
        <v>666</v>
      </c>
      <c r="I111" t="s">
        <v>667</v>
      </c>
      <c r="J111" t="s">
        <v>668</v>
      </c>
      <c r="K111" t="s">
        <v>668</v>
      </c>
      <c r="L111" t="s">
        <v>668</v>
      </c>
      <c r="N111" t="s">
        <v>179</v>
      </c>
      <c r="O111" t="s">
        <v>121</v>
      </c>
      <c r="P111" t="s">
        <v>138</v>
      </c>
      <c r="Q111" t="s">
        <v>659</v>
      </c>
      <c r="R111" t="s">
        <v>180</v>
      </c>
      <c r="S111" t="s">
        <v>140</v>
      </c>
      <c r="U111" t="s">
        <v>142</v>
      </c>
      <c r="V111" t="s">
        <v>143</v>
      </c>
      <c r="W111" t="s">
        <v>67</v>
      </c>
      <c r="X111" t="s">
        <v>144</v>
      </c>
      <c r="Y111">
        <v>1</v>
      </c>
      <c r="AI111" t="s">
        <v>145</v>
      </c>
      <c r="AK111" t="s">
        <v>146</v>
      </c>
      <c r="AM111" t="s">
        <v>147</v>
      </c>
      <c r="AO111" t="s">
        <v>146</v>
      </c>
      <c r="AS111" t="s">
        <v>148</v>
      </c>
      <c r="BC111" t="s">
        <v>669</v>
      </c>
      <c r="BD111" t="s">
        <v>146</v>
      </c>
      <c r="BG111">
        <v>60</v>
      </c>
      <c r="BM111" t="s">
        <v>213</v>
      </c>
      <c r="BN111">
        <v>3</v>
      </c>
      <c r="BP111" t="s">
        <v>152</v>
      </c>
      <c r="BY111" t="s">
        <v>314</v>
      </c>
      <c r="CA111" t="s">
        <v>146</v>
      </c>
      <c r="CD111" t="s">
        <v>202</v>
      </c>
      <c r="CM111">
        <v>3</v>
      </c>
    </row>
    <row r="112" spans="1:111" x14ac:dyDescent="0.2">
      <c r="A112" t="s">
        <v>111</v>
      </c>
      <c r="B112" t="b">
        <v>1</v>
      </c>
      <c r="E112">
        <v>120</v>
      </c>
      <c r="F112" t="str">
        <f>HYPERLINK("https://portal.dnb.de/opac.htm?method=simpleSearch&amp;cqlMode=true&amp;query=idn%3D1066967113", "Portal")</f>
        <v>Portal</v>
      </c>
      <c r="G112" t="s">
        <v>115</v>
      </c>
      <c r="H112" t="s">
        <v>670</v>
      </c>
      <c r="I112" t="s">
        <v>671</v>
      </c>
      <c r="J112" t="s">
        <v>672</v>
      </c>
      <c r="K112" t="s">
        <v>672</v>
      </c>
      <c r="L112" t="s">
        <v>672</v>
      </c>
      <c r="N112" t="s">
        <v>673</v>
      </c>
      <c r="O112" t="s">
        <v>121</v>
      </c>
      <c r="P112" t="s">
        <v>138</v>
      </c>
      <c r="R112" t="s">
        <v>139</v>
      </c>
      <c r="S112" t="s">
        <v>140</v>
      </c>
      <c r="T112" t="s">
        <v>141</v>
      </c>
      <c r="U112" t="s">
        <v>164</v>
      </c>
      <c r="V112" t="s">
        <v>143</v>
      </c>
      <c r="W112" t="s">
        <v>67</v>
      </c>
      <c r="X112" t="s">
        <v>144</v>
      </c>
      <c r="Y112">
        <v>0</v>
      </c>
      <c r="AI112" t="s">
        <v>145</v>
      </c>
      <c r="AL112" t="s">
        <v>146</v>
      </c>
      <c r="AM112" t="s">
        <v>266</v>
      </c>
      <c r="AS112" t="s">
        <v>148</v>
      </c>
      <c r="BC112" t="s">
        <v>166</v>
      </c>
      <c r="BD112" t="s">
        <v>146</v>
      </c>
      <c r="BG112" t="s">
        <v>502</v>
      </c>
      <c r="BM112" t="s">
        <v>151</v>
      </c>
      <c r="BN112">
        <v>0</v>
      </c>
      <c r="BP112" t="s">
        <v>278</v>
      </c>
    </row>
    <row r="113" spans="1:91" x14ac:dyDescent="0.2">
      <c r="A113" t="s">
        <v>111</v>
      </c>
      <c r="B113" t="b">
        <v>1</v>
      </c>
      <c r="E113">
        <v>121</v>
      </c>
      <c r="F113" t="str">
        <f>HYPERLINK("https://portal.dnb.de/opac.htm?method=simpleSearch&amp;cqlMode=true&amp;query=idn%3D1066972656", "Portal")</f>
        <v>Portal</v>
      </c>
      <c r="G113" t="s">
        <v>133</v>
      </c>
      <c r="H113" t="s">
        <v>674</v>
      </c>
      <c r="I113" t="s">
        <v>675</v>
      </c>
      <c r="J113" t="s">
        <v>676</v>
      </c>
      <c r="K113" t="s">
        <v>676</v>
      </c>
      <c r="L113" t="s">
        <v>676</v>
      </c>
      <c r="N113" t="s">
        <v>677</v>
      </c>
      <c r="O113" t="s">
        <v>121</v>
      </c>
      <c r="P113" t="s">
        <v>138</v>
      </c>
      <c r="R113" t="s">
        <v>139</v>
      </c>
      <c r="S113" t="s">
        <v>162</v>
      </c>
      <c r="T113" t="s">
        <v>163</v>
      </c>
      <c r="U113" t="s">
        <v>142</v>
      </c>
      <c r="V113" t="s">
        <v>143</v>
      </c>
      <c r="W113" t="s">
        <v>67</v>
      </c>
      <c r="X113" t="s">
        <v>144</v>
      </c>
      <c r="Y113">
        <v>0</v>
      </c>
      <c r="AI113" t="s">
        <v>182</v>
      </c>
      <c r="AK113" t="s">
        <v>146</v>
      </c>
      <c r="AM113" t="s">
        <v>313</v>
      </c>
      <c r="AS113" t="s">
        <v>148</v>
      </c>
      <c r="BC113" t="s">
        <v>149</v>
      </c>
      <c r="BD113" t="s">
        <v>146</v>
      </c>
      <c r="BG113">
        <v>110</v>
      </c>
      <c r="BM113" t="s">
        <v>151</v>
      </c>
      <c r="BN113">
        <v>0</v>
      </c>
      <c r="BQ113" t="s">
        <v>146</v>
      </c>
      <c r="BU113" t="s">
        <v>146</v>
      </c>
      <c r="BV113" t="s">
        <v>678</v>
      </c>
    </row>
    <row r="114" spans="1:91" x14ac:dyDescent="0.2">
      <c r="A114" t="s">
        <v>111</v>
      </c>
      <c r="B114" t="b">
        <v>1</v>
      </c>
      <c r="E114">
        <v>122</v>
      </c>
      <c r="F114" t="str">
        <f>HYPERLINK("https://portal.dnb.de/opac.htm?method=simpleSearch&amp;cqlMode=true&amp;query=idn%3D1066969795", "Portal")</f>
        <v>Portal</v>
      </c>
      <c r="G114" t="s">
        <v>133</v>
      </c>
      <c r="H114" t="s">
        <v>679</v>
      </c>
      <c r="I114" t="s">
        <v>680</v>
      </c>
      <c r="J114" t="s">
        <v>681</v>
      </c>
      <c r="K114" t="s">
        <v>681</v>
      </c>
      <c r="L114" t="s">
        <v>681</v>
      </c>
      <c r="N114" t="s">
        <v>682</v>
      </c>
      <c r="O114" t="s">
        <v>121</v>
      </c>
      <c r="P114" t="s">
        <v>138</v>
      </c>
      <c r="R114" t="s">
        <v>207</v>
      </c>
      <c r="S114" t="s">
        <v>140</v>
      </c>
      <c r="T114" t="s">
        <v>141</v>
      </c>
      <c r="U114" t="s">
        <v>142</v>
      </c>
      <c r="V114" t="s">
        <v>143</v>
      </c>
      <c r="W114" t="s">
        <v>67</v>
      </c>
      <c r="X114" t="s">
        <v>144</v>
      </c>
      <c r="Y114">
        <v>0</v>
      </c>
      <c r="AI114" t="s">
        <v>165</v>
      </c>
      <c r="AK114" t="s">
        <v>146</v>
      </c>
      <c r="AM114" t="s">
        <v>147</v>
      </c>
      <c r="AS114" t="s">
        <v>148</v>
      </c>
      <c r="BC114" t="s">
        <v>166</v>
      </c>
      <c r="BD114" t="s">
        <v>146</v>
      </c>
      <c r="BG114" t="s">
        <v>200</v>
      </c>
      <c r="BM114" t="s">
        <v>151</v>
      </c>
      <c r="BN114">
        <v>0</v>
      </c>
      <c r="BP114" t="s">
        <v>152</v>
      </c>
    </row>
    <row r="115" spans="1:91" x14ac:dyDescent="0.2">
      <c r="A115" t="s">
        <v>111</v>
      </c>
      <c r="B115" t="b">
        <v>1</v>
      </c>
      <c r="E115">
        <v>123</v>
      </c>
      <c r="F115" t="str">
        <f>HYPERLINK("https://portal.dnb.de/opac.htm?method=simpleSearch&amp;cqlMode=true&amp;query=idn%3D1066968551", "Portal")</f>
        <v>Portal</v>
      </c>
      <c r="G115" t="s">
        <v>115</v>
      </c>
      <c r="H115" t="s">
        <v>683</v>
      </c>
      <c r="I115" t="s">
        <v>684</v>
      </c>
      <c r="J115" t="s">
        <v>685</v>
      </c>
      <c r="K115" t="s">
        <v>685</v>
      </c>
      <c r="L115" t="s">
        <v>685</v>
      </c>
      <c r="N115" t="s">
        <v>227</v>
      </c>
      <c r="O115" t="s">
        <v>121</v>
      </c>
      <c r="P115" t="s">
        <v>138</v>
      </c>
      <c r="R115" t="s">
        <v>161</v>
      </c>
      <c r="S115" t="s">
        <v>181</v>
      </c>
      <c r="T115" t="s">
        <v>163</v>
      </c>
      <c r="U115" t="s">
        <v>164</v>
      </c>
      <c r="V115" t="s">
        <v>143</v>
      </c>
      <c r="X115" t="s">
        <v>250</v>
      </c>
      <c r="Y115">
        <v>0</v>
      </c>
      <c r="AI115" t="s">
        <v>165</v>
      </c>
      <c r="AK115" t="s">
        <v>146</v>
      </c>
      <c r="AM115" t="s">
        <v>313</v>
      </c>
      <c r="AS115" t="s">
        <v>148</v>
      </c>
      <c r="BC115" t="s">
        <v>166</v>
      </c>
      <c r="BD115" t="s">
        <v>146</v>
      </c>
      <c r="BG115">
        <v>110</v>
      </c>
      <c r="BM115" t="s">
        <v>151</v>
      </c>
      <c r="BN115">
        <v>0</v>
      </c>
    </row>
    <row r="116" spans="1:91" x14ac:dyDescent="0.2">
      <c r="A116" t="s">
        <v>111</v>
      </c>
      <c r="B116" t="b">
        <v>1</v>
      </c>
      <c r="E116">
        <v>124</v>
      </c>
      <c r="F116" t="str">
        <f>HYPERLINK("https://portal.dnb.de/opac.htm?method=simpleSearch&amp;cqlMode=true&amp;query=idn%3D1066969310", "Portal")</f>
        <v>Portal</v>
      </c>
      <c r="G116" t="s">
        <v>133</v>
      </c>
      <c r="H116" t="s">
        <v>686</v>
      </c>
      <c r="I116" t="s">
        <v>687</v>
      </c>
      <c r="J116" t="s">
        <v>688</v>
      </c>
      <c r="K116" t="s">
        <v>688</v>
      </c>
      <c r="L116" t="s">
        <v>688</v>
      </c>
      <c r="N116" t="s">
        <v>689</v>
      </c>
      <c r="O116" t="s">
        <v>121</v>
      </c>
      <c r="P116" t="s">
        <v>138</v>
      </c>
      <c r="R116" t="s">
        <v>180</v>
      </c>
      <c r="S116" t="s">
        <v>181</v>
      </c>
      <c r="T116" t="s">
        <v>163</v>
      </c>
      <c r="U116" t="s">
        <v>164</v>
      </c>
      <c r="V116" t="s">
        <v>143</v>
      </c>
      <c r="X116" t="s">
        <v>250</v>
      </c>
      <c r="Y116">
        <v>2</v>
      </c>
      <c r="AA116" t="s">
        <v>690</v>
      </c>
      <c r="AG116" t="s">
        <v>146</v>
      </c>
      <c r="AI116" t="s">
        <v>182</v>
      </c>
      <c r="AK116" t="s">
        <v>146</v>
      </c>
      <c r="AM116" t="s">
        <v>313</v>
      </c>
      <c r="AS116" t="s">
        <v>148</v>
      </c>
      <c r="BC116" t="s">
        <v>166</v>
      </c>
      <c r="BD116" t="s">
        <v>146</v>
      </c>
      <c r="BG116">
        <v>60</v>
      </c>
      <c r="BM116" t="s">
        <v>151</v>
      </c>
      <c r="BN116">
        <v>0</v>
      </c>
    </row>
    <row r="117" spans="1:91" x14ac:dyDescent="0.2">
      <c r="A117" t="s">
        <v>111</v>
      </c>
      <c r="B117" t="b">
        <v>1</v>
      </c>
      <c r="E117">
        <v>125</v>
      </c>
      <c r="F117" t="str">
        <f>HYPERLINK("https://portal.dnb.de/opac.htm?method=simpleSearch&amp;cqlMode=true&amp;query=idn%3D1066972052", "Portal")</f>
        <v>Portal</v>
      </c>
      <c r="G117" t="s">
        <v>115</v>
      </c>
      <c r="H117" t="s">
        <v>691</v>
      </c>
      <c r="I117" t="s">
        <v>692</v>
      </c>
      <c r="J117" t="s">
        <v>693</v>
      </c>
      <c r="K117" t="s">
        <v>693</v>
      </c>
      <c r="L117" t="s">
        <v>693</v>
      </c>
      <c r="N117" t="s">
        <v>694</v>
      </c>
      <c r="O117" t="s">
        <v>121</v>
      </c>
      <c r="P117" t="s">
        <v>138</v>
      </c>
      <c r="R117" t="s">
        <v>180</v>
      </c>
      <c r="S117" t="s">
        <v>140</v>
      </c>
      <c r="T117" t="s">
        <v>163</v>
      </c>
      <c r="U117" t="s">
        <v>386</v>
      </c>
      <c r="W117" t="s">
        <v>67</v>
      </c>
      <c r="X117" t="s">
        <v>144</v>
      </c>
      <c r="Y117">
        <v>1</v>
      </c>
      <c r="AI117" t="s">
        <v>145</v>
      </c>
      <c r="AK117" t="s">
        <v>146</v>
      </c>
      <c r="AM117" t="s">
        <v>266</v>
      </c>
      <c r="AO117" t="s">
        <v>146</v>
      </c>
      <c r="AS117" t="s">
        <v>148</v>
      </c>
      <c r="BG117">
        <v>60</v>
      </c>
      <c r="BM117" t="s">
        <v>151</v>
      </c>
      <c r="BN117">
        <v>0</v>
      </c>
      <c r="BP117" t="s">
        <v>152</v>
      </c>
      <c r="BY117" t="s">
        <v>314</v>
      </c>
    </row>
    <row r="118" spans="1:91" x14ac:dyDescent="0.2">
      <c r="A118" t="s">
        <v>111</v>
      </c>
      <c r="B118" t="b">
        <v>1</v>
      </c>
      <c r="E118">
        <v>126</v>
      </c>
      <c r="F118" t="str">
        <f>HYPERLINK("https://portal.dnb.de/opac.htm?method=simpleSearch&amp;cqlMode=true&amp;query=idn%3D1066966656", "Portal")</f>
        <v>Portal</v>
      </c>
      <c r="G118" t="s">
        <v>133</v>
      </c>
      <c r="H118" t="s">
        <v>695</v>
      </c>
      <c r="I118" t="s">
        <v>696</v>
      </c>
      <c r="J118" t="s">
        <v>697</v>
      </c>
      <c r="K118" t="s">
        <v>697</v>
      </c>
      <c r="L118" t="s">
        <v>698</v>
      </c>
      <c r="N118" t="s">
        <v>132</v>
      </c>
      <c r="O118" t="s">
        <v>121</v>
      </c>
      <c r="P118" t="s">
        <v>138</v>
      </c>
      <c r="R118" t="s">
        <v>139</v>
      </c>
      <c r="S118" t="s">
        <v>162</v>
      </c>
      <c r="T118" t="s">
        <v>163</v>
      </c>
      <c r="U118" t="s">
        <v>164</v>
      </c>
      <c r="Y118">
        <v>0</v>
      </c>
      <c r="AI118" t="s">
        <v>182</v>
      </c>
      <c r="AK118" t="s">
        <v>146</v>
      </c>
      <c r="AM118" t="s">
        <v>313</v>
      </c>
      <c r="AS118" t="s">
        <v>148</v>
      </c>
      <c r="BC118" t="s">
        <v>166</v>
      </c>
      <c r="BD118" t="s">
        <v>146</v>
      </c>
      <c r="BG118">
        <v>110</v>
      </c>
      <c r="BM118" t="s">
        <v>151</v>
      </c>
      <c r="BN118">
        <v>0</v>
      </c>
    </row>
    <row r="119" spans="1:91" x14ac:dyDescent="0.2">
      <c r="A119" t="s">
        <v>111</v>
      </c>
      <c r="B119" t="b">
        <v>0</v>
      </c>
      <c r="F119" t="str">
        <f>HYPERLINK("https://portal.dnb.de/opac.htm?method=simpleSearch&amp;cqlMode=true&amp;query=idn%3D", "Portal")</f>
        <v>Portal</v>
      </c>
      <c r="L119" t="s">
        <v>699</v>
      </c>
      <c r="P119" t="s">
        <v>138</v>
      </c>
      <c r="R119" t="s">
        <v>139</v>
      </c>
      <c r="S119" t="s">
        <v>162</v>
      </c>
      <c r="T119" t="s">
        <v>163</v>
      </c>
      <c r="U119" t="s">
        <v>164</v>
      </c>
      <c r="Y119">
        <v>0</v>
      </c>
      <c r="AI119" t="s">
        <v>182</v>
      </c>
      <c r="AK119" t="s">
        <v>146</v>
      </c>
      <c r="AM119" t="s">
        <v>313</v>
      </c>
      <c r="AS119" t="s">
        <v>148</v>
      </c>
      <c r="BC119" t="s">
        <v>166</v>
      </c>
      <c r="BD119" t="s">
        <v>146</v>
      </c>
      <c r="BG119">
        <v>110</v>
      </c>
      <c r="BM119" t="s">
        <v>151</v>
      </c>
      <c r="BN119">
        <v>0</v>
      </c>
    </row>
    <row r="120" spans="1:91" x14ac:dyDescent="0.2">
      <c r="A120" t="s">
        <v>111</v>
      </c>
      <c r="B120" t="b">
        <v>1</v>
      </c>
      <c r="E120">
        <v>128</v>
      </c>
      <c r="F120" t="str">
        <f>HYPERLINK("https://portal.dnb.de/opac.htm?method=simpleSearch&amp;cqlMode=true&amp;query=idn%3D1066972028", "Portal")</f>
        <v>Portal</v>
      </c>
      <c r="G120" t="s">
        <v>218</v>
      </c>
      <c r="H120" t="s">
        <v>700</v>
      </c>
      <c r="I120" t="s">
        <v>701</v>
      </c>
      <c r="J120" t="s">
        <v>702</v>
      </c>
      <c r="K120" t="s">
        <v>702</v>
      </c>
      <c r="L120" t="s">
        <v>702</v>
      </c>
      <c r="N120" t="s">
        <v>414</v>
      </c>
      <c r="O120" t="s">
        <v>121</v>
      </c>
      <c r="P120" t="s">
        <v>138</v>
      </c>
      <c r="R120" t="s">
        <v>139</v>
      </c>
      <c r="S120" t="s">
        <v>140</v>
      </c>
      <c r="T120" t="s">
        <v>141</v>
      </c>
      <c r="U120" t="s">
        <v>660</v>
      </c>
      <c r="V120" t="s">
        <v>143</v>
      </c>
      <c r="W120" t="s">
        <v>67</v>
      </c>
      <c r="X120" t="s">
        <v>144</v>
      </c>
      <c r="Y120">
        <v>0</v>
      </c>
      <c r="AI120" t="s">
        <v>145</v>
      </c>
      <c r="AK120" t="s">
        <v>146</v>
      </c>
      <c r="AM120" t="s">
        <v>266</v>
      </c>
      <c r="AS120" t="s">
        <v>148</v>
      </c>
      <c r="BC120" t="s">
        <v>166</v>
      </c>
      <c r="BD120" t="s">
        <v>146</v>
      </c>
      <c r="BG120">
        <v>110</v>
      </c>
      <c r="BM120" t="s">
        <v>151</v>
      </c>
      <c r="BN120">
        <v>0</v>
      </c>
      <c r="BP120" t="s">
        <v>152</v>
      </c>
    </row>
    <row r="121" spans="1:91" x14ac:dyDescent="0.2">
      <c r="A121" t="s">
        <v>111</v>
      </c>
      <c r="B121" t="b">
        <v>1</v>
      </c>
      <c r="E121">
        <v>129</v>
      </c>
      <c r="F121" t="str">
        <f>HYPERLINK("https://portal.dnb.de/opac.htm?method=simpleSearch&amp;cqlMode=true&amp;query=idn%3D106696470X", "Portal")</f>
        <v>Portal</v>
      </c>
      <c r="G121" t="s">
        <v>133</v>
      </c>
      <c r="H121" t="s">
        <v>703</v>
      </c>
      <c r="I121" t="s">
        <v>704</v>
      </c>
      <c r="J121" t="s">
        <v>705</v>
      </c>
      <c r="K121" t="s">
        <v>705</v>
      </c>
      <c r="L121" t="s">
        <v>705</v>
      </c>
      <c r="N121" t="s">
        <v>706</v>
      </c>
      <c r="O121" t="s">
        <v>121</v>
      </c>
      <c r="P121" t="s">
        <v>138</v>
      </c>
      <c r="R121" t="s">
        <v>161</v>
      </c>
      <c r="S121" t="s">
        <v>140</v>
      </c>
      <c r="T121" t="s">
        <v>141</v>
      </c>
      <c r="U121" t="s">
        <v>142</v>
      </c>
      <c r="V121" t="s">
        <v>143</v>
      </c>
      <c r="W121" t="s">
        <v>67</v>
      </c>
      <c r="X121" t="s">
        <v>144</v>
      </c>
      <c r="Y121">
        <v>0</v>
      </c>
      <c r="AI121" t="s">
        <v>165</v>
      </c>
      <c r="AK121" t="s">
        <v>146</v>
      </c>
      <c r="AM121" t="s">
        <v>147</v>
      </c>
      <c r="AS121" t="s">
        <v>148</v>
      </c>
      <c r="AT121" t="s">
        <v>146</v>
      </c>
      <c r="BC121" t="s">
        <v>166</v>
      </c>
      <c r="BD121" t="s">
        <v>146</v>
      </c>
      <c r="BG121">
        <v>110</v>
      </c>
      <c r="BM121" t="s">
        <v>151</v>
      </c>
      <c r="BN121">
        <v>0</v>
      </c>
      <c r="BP121" t="s">
        <v>152</v>
      </c>
    </row>
    <row r="122" spans="1:91" x14ac:dyDescent="0.2">
      <c r="A122" t="s">
        <v>111</v>
      </c>
      <c r="B122" t="b">
        <v>1</v>
      </c>
      <c r="C122" t="s">
        <v>146</v>
      </c>
      <c r="E122">
        <v>130</v>
      </c>
      <c r="F122" t="str">
        <f>HYPERLINK("https://portal.dnb.de/opac.htm?method=simpleSearch&amp;cqlMode=true&amp;query=idn%3D1066969868", "Portal")</f>
        <v>Portal</v>
      </c>
      <c r="G122" t="s">
        <v>133</v>
      </c>
      <c r="H122" t="s">
        <v>707</v>
      </c>
      <c r="I122" t="s">
        <v>708</v>
      </c>
      <c r="J122" t="s">
        <v>709</v>
      </c>
      <c r="K122" t="s">
        <v>709</v>
      </c>
      <c r="L122" t="s">
        <v>709</v>
      </c>
      <c r="N122" t="s">
        <v>710</v>
      </c>
      <c r="O122" t="s">
        <v>121</v>
      </c>
      <c r="P122" t="s">
        <v>138</v>
      </c>
      <c r="Q122" t="s">
        <v>711</v>
      </c>
      <c r="R122" t="s">
        <v>161</v>
      </c>
      <c r="S122" t="s">
        <v>140</v>
      </c>
      <c r="T122" t="s">
        <v>141</v>
      </c>
      <c r="U122" t="s">
        <v>712</v>
      </c>
      <c r="V122" t="s">
        <v>143</v>
      </c>
      <c r="W122" t="s">
        <v>67</v>
      </c>
      <c r="X122" t="s">
        <v>144</v>
      </c>
      <c r="Y122">
        <v>2</v>
      </c>
      <c r="AI122" t="s">
        <v>165</v>
      </c>
      <c r="AK122" t="s">
        <v>146</v>
      </c>
      <c r="AM122" t="s">
        <v>147</v>
      </c>
      <c r="AO122" t="s">
        <v>146</v>
      </c>
      <c r="AS122" t="s">
        <v>148</v>
      </c>
      <c r="AT122" t="s">
        <v>146</v>
      </c>
      <c r="BC122" t="s">
        <v>166</v>
      </c>
      <c r="BD122" t="s">
        <v>146</v>
      </c>
      <c r="BG122">
        <v>60</v>
      </c>
      <c r="BM122" t="s">
        <v>213</v>
      </c>
      <c r="BN122">
        <v>1</v>
      </c>
      <c r="BP122" t="s">
        <v>152</v>
      </c>
      <c r="BY122" t="s">
        <v>314</v>
      </c>
      <c r="CA122" t="s">
        <v>146</v>
      </c>
      <c r="CD122" t="s">
        <v>202</v>
      </c>
      <c r="CM122">
        <v>1</v>
      </c>
    </row>
    <row r="123" spans="1:91" x14ac:dyDescent="0.2">
      <c r="A123" t="s">
        <v>111</v>
      </c>
      <c r="B123" t="b">
        <v>1</v>
      </c>
      <c r="C123" t="s">
        <v>146</v>
      </c>
      <c r="E123">
        <v>131</v>
      </c>
      <c r="F123" t="str">
        <f>HYPERLINK("https://portal.dnb.de/opac.htm?method=simpleSearch&amp;cqlMode=true&amp;query=idn%3D1066968330", "Portal")</f>
        <v>Portal</v>
      </c>
      <c r="G123" t="s">
        <v>115</v>
      </c>
      <c r="H123" t="s">
        <v>713</v>
      </c>
      <c r="I123" t="s">
        <v>714</v>
      </c>
      <c r="J123" t="s">
        <v>715</v>
      </c>
      <c r="K123" t="s">
        <v>715</v>
      </c>
      <c r="L123" t="s">
        <v>715</v>
      </c>
      <c r="N123" t="s">
        <v>179</v>
      </c>
      <c r="O123" t="s">
        <v>121</v>
      </c>
      <c r="P123" t="s">
        <v>138</v>
      </c>
      <c r="Q123" t="s">
        <v>537</v>
      </c>
      <c r="R123" t="s">
        <v>161</v>
      </c>
      <c r="S123" t="s">
        <v>140</v>
      </c>
      <c r="T123" t="s">
        <v>141</v>
      </c>
      <c r="U123" t="s">
        <v>712</v>
      </c>
      <c r="V123" t="s">
        <v>143</v>
      </c>
      <c r="W123" t="s">
        <v>67</v>
      </c>
      <c r="X123" t="s">
        <v>144</v>
      </c>
      <c r="Y123">
        <v>3</v>
      </c>
      <c r="AI123" t="s">
        <v>165</v>
      </c>
      <c r="AK123" t="s">
        <v>146</v>
      </c>
      <c r="AM123" t="s">
        <v>147</v>
      </c>
      <c r="AO123" t="s">
        <v>146</v>
      </c>
      <c r="AS123" t="s">
        <v>148</v>
      </c>
      <c r="AT123" t="s">
        <v>146</v>
      </c>
      <c r="BC123" t="s">
        <v>166</v>
      </c>
      <c r="BD123" t="s">
        <v>146</v>
      </c>
      <c r="BG123">
        <v>110</v>
      </c>
      <c r="BM123" t="s">
        <v>213</v>
      </c>
      <c r="BN123">
        <v>1</v>
      </c>
      <c r="BP123" t="s">
        <v>152</v>
      </c>
      <c r="BY123" t="s">
        <v>314</v>
      </c>
      <c r="CA123" t="s">
        <v>146</v>
      </c>
      <c r="CD123" t="s">
        <v>202</v>
      </c>
      <c r="CM123">
        <v>1</v>
      </c>
    </row>
    <row r="124" spans="1:91" x14ac:dyDescent="0.2">
      <c r="A124" t="s">
        <v>111</v>
      </c>
      <c r="B124" t="b">
        <v>1</v>
      </c>
      <c r="E124">
        <v>132</v>
      </c>
      <c r="F124" t="str">
        <f>HYPERLINK("https://portal.dnb.de/opac.htm?method=simpleSearch&amp;cqlMode=true&amp;query=idn%3D1066966338", "Portal")</f>
        <v>Portal</v>
      </c>
      <c r="G124" t="s">
        <v>115</v>
      </c>
      <c r="H124" t="s">
        <v>716</v>
      </c>
      <c r="I124" t="s">
        <v>717</v>
      </c>
      <c r="J124" t="s">
        <v>718</v>
      </c>
      <c r="K124" t="s">
        <v>718</v>
      </c>
      <c r="L124" t="s">
        <v>718</v>
      </c>
      <c r="N124" t="s">
        <v>719</v>
      </c>
      <c r="O124" t="s">
        <v>121</v>
      </c>
      <c r="P124" t="s">
        <v>138</v>
      </c>
      <c r="R124" t="s">
        <v>517</v>
      </c>
      <c r="S124" t="s">
        <v>189</v>
      </c>
      <c r="T124" t="s">
        <v>141</v>
      </c>
      <c r="U124" t="s">
        <v>142</v>
      </c>
      <c r="V124" t="s">
        <v>143</v>
      </c>
      <c r="W124" t="s">
        <v>67</v>
      </c>
      <c r="X124" t="s">
        <v>144</v>
      </c>
      <c r="Y124">
        <v>0</v>
      </c>
      <c r="AI124" t="s">
        <v>518</v>
      </c>
      <c r="AK124" t="s">
        <v>146</v>
      </c>
      <c r="AM124" t="s">
        <v>147</v>
      </c>
      <c r="AS124" t="s">
        <v>148</v>
      </c>
      <c r="AT124" t="s">
        <v>146</v>
      </c>
      <c r="BC124" t="s">
        <v>166</v>
      </c>
      <c r="BD124" t="s">
        <v>146</v>
      </c>
      <c r="BG124">
        <v>110</v>
      </c>
      <c r="BM124" t="s">
        <v>151</v>
      </c>
      <c r="BN124">
        <v>0</v>
      </c>
      <c r="BP124" t="s">
        <v>152</v>
      </c>
    </row>
    <row r="125" spans="1:91" x14ac:dyDescent="0.2">
      <c r="A125" t="s">
        <v>111</v>
      </c>
      <c r="B125" t="b">
        <v>1</v>
      </c>
      <c r="E125">
        <v>133</v>
      </c>
      <c r="F125" t="str">
        <f>HYPERLINK("https://portal.dnb.de/opac.htm?method=simpleSearch&amp;cqlMode=true&amp;query=idn%3D1072053101", "Portal")</f>
        <v>Portal</v>
      </c>
      <c r="G125" t="s">
        <v>115</v>
      </c>
      <c r="H125" t="s">
        <v>720</v>
      </c>
      <c r="I125" t="s">
        <v>721</v>
      </c>
      <c r="J125" t="s">
        <v>722</v>
      </c>
      <c r="K125" t="s">
        <v>722</v>
      </c>
      <c r="L125" t="s">
        <v>722</v>
      </c>
      <c r="N125" t="s">
        <v>723</v>
      </c>
      <c r="O125" t="s">
        <v>121</v>
      </c>
      <c r="P125" t="s">
        <v>138</v>
      </c>
      <c r="R125" t="s">
        <v>171</v>
      </c>
      <c r="S125" t="s">
        <v>189</v>
      </c>
      <c r="U125" t="s">
        <v>142</v>
      </c>
      <c r="V125" t="s">
        <v>143</v>
      </c>
      <c r="W125" t="s">
        <v>67</v>
      </c>
      <c r="X125" t="s">
        <v>144</v>
      </c>
      <c r="Y125">
        <v>0</v>
      </c>
      <c r="AI125" t="s">
        <v>174</v>
      </c>
      <c r="AL125" t="s">
        <v>146</v>
      </c>
      <c r="AM125" t="s">
        <v>228</v>
      </c>
      <c r="AS125" t="s">
        <v>148</v>
      </c>
      <c r="BC125" t="s">
        <v>166</v>
      </c>
      <c r="BD125" t="s">
        <v>146</v>
      </c>
      <c r="BG125">
        <v>110</v>
      </c>
      <c r="BM125" t="s">
        <v>151</v>
      </c>
      <c r="BN125">
        <v>0</v>
      </c>
      <c r="BP125" t="s">
        <v>278</v>
      </c>
    </row>
    <row r="126" spans="1:91" x14ac:dyDescent="0.2">
      <c r="A126" t="s">
        <v>111</v>
      </c>
      <c r="B126" t="b">
        <v>1</v>
      </c>
      <c r="E126">
        <v>134</v>
      </c>
      <c r="F126" t="str">
        <f>HYPERLINK("https://portal.dnb.de/opac.htm?method=simpleSearch&amp;cqlMode=true&amp;query=idn%3D1066968721", "Portal")</f>
        <v>Portal</v>
      </c>
      <c r="G126" t="s">
        <v>133</v>
      </c>
      <c r="H126" t="s">
        <v>724</v>
      </c>
      <c r="I126" t="s">
        <v>725</v>
      </c>
      <c r="J126" t="s">
        <v>726</v>
      </c>
      <c r="K126" t="s">
        <v>726</v>
      </c>
      <c r="L126" t="s">
        <v>726</v>
      </c>
      <c r="N126" t="s">
        <v>727</v>
      </c>
      <c r="O126" t="s">
        <v>121</v>
      </c>
      <c r="P126" t="s">
        <v>138</v>
      </c>
      <c r="R126" t="s">
        <v>180</v>
      </c>
      <c r="S126" t="s">
        <v>189</v>
      </c>
      <c r="T126" t="s">
        <v>471</v>
      </c>
      <c r="U126" t="s">
        <v>660</v>
      </c>
      <c r="V126" t="s">
        <v>143</v>
      </c>
      <c r="W126" t="s">
        <v>67</v>
      </c>
      <c r="X126" t="s">
        <v>144</v>
      </c>
      <c r="Y126">
        <v>0</v>
      </c>
      <c r="AI126" t="s">
        <v>182</v>
      </c>
      <c r="AK126" t="s">
        <v>146</v>
      </c>
      <c r="AM126" t="s">
        <v>266</v>
      </c>
      <c r="AS126" t="s">
        <v>148</v>
      </c>
      <c r="AW126" t="s">
        <v>146</v>
      </c>
      <c r="BC126" t="s">
        <v>166</v>
      </c>
      <c r="BD126" t="s">
        <v>146</v>
      </c>
      <c r="BG126">
        <v>45</v>
      </c>
      <c r="BM126" t="s">
        <v>151</v>
      </c>
      <c r="BN126">
        <v>0</v>
      </c>
      <c r="BP126" t="s">
        <v>152</v>
      </c>
    </row>
    <row r="127" spans="1:91" x14ac:dyDescent="0.2">
      <c r="A127" t="s">
        <v>111</v>
      </c>
      <c r="B127" t="b">
        <v>1</v>
      </c>
      <c r="C127" t="s">
        <v>146</v>
      </c>
      <c r="E127">
        <v>135</v>
      </c>
      <c r="F127" t="str">
        <f>HYPERLINK("https://portal.dnb.de/opac.htm?method=simpleSearch&amp;cqlMode=true&amp;query=idn%3D1066969671", "Portal")</f>
        <v>Portal</v>
      </c>
      <c r="G127" t="s">
        <v>133</v>
      </c>
      <c r="H127" t="s">
        <v>728</v>
      </c>
      <c r="I127" t="s">
        <v>729</v>
      </c>
      <c r="J127" t="s">
        <v>730</v>
      </c>
      <c r="K127" t="s">
        <v>730</v>
      </c>
      <c r="L127" t="s">
        <v>730</v>
      </c>
      <c r="N127" t="s">
        <v>731</v>
      </c>
      <c r="O127" t="s">
        <v>121</v>
      </c>
      <c r="P127" t="s">
        <v>138</v>
      </c>
      <c r="Q127" t="s">
        <v>711</v>
      </c>
      <c r="R127" t="s">
        <v>161</v>
      </c>
      <c r="S127" t="s">
        <v>140</v>
      </c>
      <c r="T127" t="s">
        <v>141</v>
      </c>
      <c r="U127" t="s">
        <v>164</v>
      </c>
      <c r="V127" t="s">
        <v>143</v>
      </c>
      <c r="W127" t="s">
        <v>67</v>
      </c>
      <c r="X127" t="s">
        <v>144</v>
      </c>
      <c r="Y127">
        <v>2</v>
      </c>
      <c r="AI127" t="s">
        <v>165</v>
      </c>
      <c r="AK127" t="s">
        <v>146</v>
      </c>
      <c r="AM127" t="s">
        <v>732</v>
      </c>
      <c r="AS127" t="s">
        <v>148</v>
      </c>
      <c r="AT127" t="s">
        <v>146</v>
      </c>
      <c r="BC127" t="s">
        <v>166</v>
      </c>
      <c r="BD127" t="s">
        <v>146</v>
      </c>
      <c r="BG127">
        <v>110</v>
      </c>
      <c r="BM127" t="s">
        <v>213</v>
      </c>
      <c r="BN127">
        <v>0.5</v>
      </c>
      <c r="BP127" t="s">
        <v>152</v>
      </c>
      <c r="CA127" t="s">
        <v>146</v>
      </c>
      <c r="CC127" t="s">
        <v>146</v>
      </c>
      <c r="CM127">
        <v>0.5</v>
      </c>
    </row>
    <row r="128" spans="1:91" x14ac:dyDescent="0.2">
      <c r="A128" t="s">
        <v>111</v>
      </c>
      <c r="B128" t="b">
        <v>1</v>
      </c>
      <c r="E128">
        <v>136</v>
      </c>
      <c r="F128" t="str">
        <f>HYPERLINK("https://portal.dnb.de/opac.htm?method=simpleSearch&amp;cqlMode=true&amp;query=idn%3D1066965838", "Portal")</f>
        <v>Portal</v>
      </c>
      <c r="G128" t="s">
        <v>133</v>
      </c>
      <c r="H128" t="s">
        <v>733</v>
      </c>
      <c r="I128" t="s">
        <v>734</v>
      </c>
      <c r="J128" t="s">
        <v>735</v>
      </c>
      <c r="K128" t="s">
        <v>735</v>
      </c>
      <c r="L128" t="s">
        <v>735</v>
      </c>
      <c r="N128" t="s">
        <v>736</v>
      </c>
      <c r="O128" t="s">
        <v>121</v>
      </c>
      <c r="P128" t="s">
        <v>138</v>
      </c>
      <c r="R128" t="s">
        <v>139</v>
      </c>
      <c r="S128" t="s">
        <v>140</v>
      </c>
      <c r="T128" t="s">
        <v>471</v>
      </c>
      <c r="U128" t="s">
        <v>737</v>
      </c>
      <c r="W128" t="s">
        <v>67</v>
      </c>
      <c r="X128" t="s">
        <v>144</v>
      </c>
      <c r="Y128">
        <v>1</v>
      </c>
      <c r="AI128" t="s">
        <v>182</v>
      </c>
      <c r="AK128" t="s">
        <v>146</v>
      </c>
      <c r="AM128" t="s">
        <v>266</v>
      </c>
      <c r="AS128" t="s">
        <v>148</v>
      </c>
      <c r="BE128">
        <v>0</v>
      </c>
      <c r="BG128">
        <v>60</v>
      </c>
      <c r="BM128" t="s">
        <v>151</v>
      </c>
      <c r="BN128">
        <v>0</v>
      </c>
      <c r="BP128" t="s">
        <v>152</v>
      </c>
    </row>
    <row r="129" spans="1:91" x14ac:dyDescent="0.2">
      <c r="A129" t="s">
        <v>111</v>
      </c>
      <c r="B129" t="b">
        <v>1</v>
      </c>
      <c r="C129" t="s">
        <v>146</v>
      </c>
      <c r="F129" t="str">
        <f>HYPERLINK("https://portal.dnb.de/opac.htm?method=simpleSearch&amp;cqlMode=true&amp;query=idn%3D1268949655", "Portal")</f>
        <v>Portal</v>
      </c>
      <c r="G129" t="s">
        <v>300</v>
      </c>
      <c r="H129" t="s">
        <v>738</v>
      </c>
      <c r="I129" t="s">
        <v>739</v>
      </c>
      <c r="J129" t="s">
        <v>740</v>
      </c>
      <c r="K129" t="s">
        <v>740</v>
      </c>
      <c r="L129" t="s">
        <v>740</v>
      </c>
      <c r="N129" t="s">
        <v>741</v>
      </c>
      <c r="O129" t="s">
        <v>121</v>
      </c>
      <c r="P129" t="s">
        <v>138</v>
      </c>
      <c r="Q129" t="s">
        <v>742</v>
      </c>
      <c r="R129" t="s">
        <v>139</v>
      </c>
      <c r="S129" t="s">
        <v>140</v>
      </c>
      <c r="T129" t="s">
        <v>163</v>
      </c>
      <c r="U129" t="s">
        <v>743</v>
      </c>
      <c r="V129" t="s">
        <v>143</v>
      </c>
      <c r="W129" t="s">
        <v>67</v>
      </c>
      <c r="X129" t="s">
        <v>144</v>
      </c>
      <c r="Y129">
        <v>3</v>
      </c>
      <c r="AI129" t="s">
        <v>182</v>
      </c>
      <c r="AK129" t="s">
        <v>146</v>
      </c>
      <c r="AL129" t="s">
        <v>146</v>
      </c>
      <c r="AM129" t="s">
        <v>266</v>
      </c>
      <c r="AS129" t="s">
        <v>148</v>
      </c>
      <c r="BC129" t="s">
        <v>669</v>
      </c>
      <c r="BD129" t="s">
        <v>146</v>
      </c>
      <c r="BE129">
        <v>0</v>
      </c>
      <c r="BG129">
        <v>60</v>
      </c>
      <c r="BM129" t="s">
        <v>213</v>
      </c>
      <c r="BN129">
        <v>6</v>
      </c>
      <c r="BP129" t="s">
        <v>152</v>
      </c>
      <c r="CA129" t="s">
        <v>146</v>
      </c>
      <c r="CB129" t="s">
        <v>146</v>
      </c>
      <c r="CD129" t="s">
        <v>237</v>
      </c>
      <c r="CE129">
        <v>4</v>
      </c>
      <c r="CM129">
        <v>6</v>
      </c>
    </row>
    <row r="130" spans="1:91" x14ac:dyDescent="0.2">
      <c r="A130" t="s">
        <v>111</v>
      </c>
      <c r="B130" t="b">
        <v>0</v>
      </c>
      <c r="C130" t="s">
        <v>146</v>
      </c>
      <c r="E130">
        <v>138</v>
      </c>
      <c r="F130" t="str">
        <f>HYPERLINK("https://portal.dnb.de/opac.htm?method=simpleSearch&amp;cqlMode=true&amp;query=idn%3D1066965773", "Portal")</f>
        <v>Portal</v>
      </c>
      <c r="G130" t="s">
        <v>115</v>
      </c>
      <c r="H130" t="s">
        <v>744</v>
      </c>
      <c r="I130" t="s">
        <v>745</v>
      </c>
      <c r="J130" t="s">
        <v>746</v>
      </c>
      <c r="L130" t="s">
        <v>747</v>
      </c>
      <c r="M130" t="s">
        <v>748</v>
      </c>
      <c r="P130" t="s">
        <v>138</v>
      </c>
      <c r="R130" t="s">
        <v>161</v>
      </c>
      <c r="S130" t="s">
        <v>140</v>
      </c>
      <c r="T130" t="s">
        <v>163</v>
      </c>
      <c r="U130" t="s">
        <v>660</v>
      </c>
      <c r="V130" t="s">
        <v>143</v>
      </c>
      <c r="W130" t="s">
        <v>67</v>
      </c>
      <c r="X130" t="s">
        <v>144</v>
      </c>
      <c r="Y130">
        <v>2</v>
      </c>
      <c r="AI130" t="s">
        <v>182</v>
      </c>
      <c r="AK130" t="s">
        <v>146</v>
      </c>
      <c r="AM130" t="s">
        <v>266</v>
      </c>
      <c r="AS130" t="s">
        <v>148</v>
      </c>
      <c r="BC130" t="s">
        <v>166</v>
      </c>
      <c r="BD130" t="s">
        <v>146</v>
      </c>
      <c r="BG130">
        <v>60</v>
      </c>
      <c r="BM130" t="s">
        <v>213</v>
      </c>
      <c r="BN130">
        <v>0.5</v>
      </c>
      <c r="BP130" t="s">
        <v>152</v>
      </c>
      <c r="CB130" t="s">
        <v>146</v>
      </c>
      <c r="CM130">
        <v>0.5</v>
      </c>
    </row>
    <row r="131" spans="1:91" x14ac:dyDescent="0.2">
      <c r="A131" t="s">
        <v>111</v>
      </c>
      <c r="B131" t="b">
        <v>1</v>
      </c>
      <c r="E131">
        <v>139</v>
      </c>
      <c r="F131" t="str">
        <f>HYPERLINK("https://portal.dnb.de/opac.htm?method=simpleSearch&amp;cqlMode=true&amp;query=idn%3D1066967407", "Portal")</f>
        <v>Portal</v>
      </c>
      <c r="G131" t="s">
        <v>133</v>
      </c>
      <c r="H131" t="s">
        <v>749</v>
      </c>
      <c r="I131" t="s">
        <v>750</v>
      </c>
      <c r="J131" t="s">
        <v>751</v>
      </c>
      <c r="K131" t="s">
        <v>751</v>
      </c>
      <c r="L131" t="s">
        <v>751</v>
      </c>
      <c r="N131" t="s">
        <v>752</v>
      </c>
      <c r="O131" t="s">
        <v>121</v>
      </c>
      <c r="P131" t="s">
        <v>138</v>
      </c>
      <c r="R131" t="s">
        <v>180</v>
      </c>
      <c r="S131" t="s">
        <v>140</v>
      </c>
      <c r="T131" t="s">
        <v>163</v>
      </c>
      <c r="U131" t="s">
        <v>753</v>
      </c>
      <c r="V131" t="s">
        <v>143</v>
      </c>
      <c r="W131" t="s">
        <v>67</v>
      </c>
      <c r="X131" t="s">
        <v>144</v>
      </c>
      <c r="Y131">
        <v>1</v>
      </c>
      <c r="AI131" t="s">
        <v>182</v>
      </c>
      <c r="AK131" t="s">
        <v>146</v>
      </c>
      <c r="AM131" t="s">
        <v>266</v>
      </c>
      <c r="AS131" t="s">
        <v>148</v>
      </c>
      <c r="AW131" t="s">
        <v>146</v>
      </c>
      <c r="BC131" t="s">
        <v>754</v>
      </c>
      <c r="BD131" t="s">
        <v>146</v>
      </c>
      <c r="BE131">
        <v>0</v>
      </c>
      <c r="BG131">
        <v>60</v>
      </c>
      <c r="BM131" t="s">
        <v>151</v>
      </c>
      <c r="BN131">
        <v>0</v>
      </c>
      <c r="BP131" t="s">
        <v>152</v>
      </c>
    </row>
    <row r="132" spans="1:91" x14ac:dyDescent="0.2">
      <c r="A132" t="s">
        <v>111</v>
      </c>
      <c r="B132" t="b">
        <v>1</v>
      </c>
      <c r="E132">
        <v>140</v>
      </c>
      <c r="F132" t="str">
        <f>HYPERLINK("https://portal.dnb.de/opac.htm?method=simpleSearch&amp;cqlMode=true&amp;query=idn%3D1085177637", "Portal")</f>
        <v>Portal</v>
      </c>
      <c r="G132" t="s">
        <v>755</v>
      </c>
      <c r="H132" t="s">
        <v>756</v>
      </c>
      <c r="I132" t="s">
        <v>757</v>
      </c>
      <c r="J132" t="s">
        <v>758</v>
      </c>
      <c r="K132" t="s">
        <v>758</v>
      </c>
      <c r="L132" t="s">
        <v>758</v>
      </c>
      <c r="N132" t="s">
        <v>759</v>
      </c>
      <c r="O132" t="s">
        <v>760</v>
      </c>
      <c r="P132" t="s">
        <v>138</v>
      </c>
      <c r="R132" t="s">
        <v>161</v>
      </c>
      <c r="S132" t="s">
        <v>140</v>
      </c>
      <c r="T132" t="s">
        <v>471</v>
      </c>
      <c r="U132" t="s">
        <v>753</v>
      </c>
      <c r="V132" t="s">
        <v>143</v>
      </c>
      <c r="W132" t="s">
        <v>67</v>
      </c>
      <c r="X132" t="s">
        <v>144</v>
      </c>
      <c r="Y132">
        <v>0</v>
      </c>
      <c r="AI132" t="s">
        <v>165</v>
      </c>
      <c r="AL132" t="s">
        <v>146</v>
      </c>
      <c r="AM132" t="s">
        <v>266</v>
      </c>
      <c r="AS132" t="s">
        <v>148</v>
      </c>
      <c r="AX132" t="s">
        <v>146</v>
      </c>
      <c r="BC132" t="s">
        <v>754</v>
      </c>
      <c r="BD132" t="s">
        <v>146</v>
      </c>
      <c r="BE132">
        <v>0</v>
      </c>
      <c r="BG132">
        <v>180</v>
      </c>
      <c r="BM132" t="s">
        <v>151</v>
      </c>
      <c r="BN132">
        <v>0</v>
      </c>
      <c r="BP132" t="s">
        <v>152</v>
      </c>
      <c r="BV132" t="s">
        <v>761</v>
      </c>
    </row>
    <row r="133" spans="1:91" x14ac:dyDescent="0.2">
      <c r="A133" t="s">
        <v>111</v>
      </c>
      <c r="B133" t="b">
        <v>1</v>
      </c>
      <c r="E133">
        <v>141</v>
      </c>
      <c r="F133" t="str">
        <f>HYPERLINK("https://portal.dnb.de/opac.htm?method=simpleSearch&amp;cqlMode=true&amp;query=idn%3D1085177750", "Portal")</f>
        <v>Portal</v>
      </c>
      <c r="G133" t="s">
        <v>755</v>
      </c>
      <c r="H133" t="s">
        <v>762</v>
      </c>
      <c r="I133" t="s">
        <v>763</v>
      </c>
      <c r="J133" t="s">
        <v>764</v>
      </c>
      <c r="K133" t="s">
        <v>764</v>
      </c>
      <c r="L133" t="s">
        <v>764</v>
      </c>
      <c r="N133" t="s">
        <v>759</v>
      </c>
      <c r="O133" t="s">
        <v>765</v>
      </c>
      <c r="P133" t="s">
        <v>138</v>
      </c>
      <c r="R133" t="s">
        <v>161</v>
      </c>
      <c r="S133" t="s">
        <v>140</v>
      </c>
      <c r="T133" t="s">
        <v>471</v>
      </c>
      <c r="U133" t="s">
        <v>753</v>
      </c>
      <c r="V133" t="s">
        <v>143</v>
      </c>
      <c r="W133" t="s">
        <v>67</v>
      </c>
      <c r="X133" t="s">
        <v>144</v>
      </c>
      <c r="Y133">
        <v>0</v>
      </c>
      <c r="AI133" t="s">
        <v>165</v>
      </c>
      <c r="AL133" t="s">
        <v>146</v>
      </c>
      <c r="AM133" t="s">
        <v>266</v>
      </c>
      <c r="AS133" t="s">
        <v>148</v>
      </c>
      <c r="AX133" t="s">
        <v>146</v>
      </c>
      <c r="BC133" t="s">
        <v>166</v>
      </c>
      <c r="BD133" t="s">
        <v>146</v>
      </c>
      <c r="BE133">
        <v>0</v>
      </c>
      <c r="BG133">
        <v>180</v>
      </c>
      <c r="BM133" t="s">
        <v>151</v>
      </c>
      <c r="BN133">
        <v>0</v>
      </c>
      <c r="BP133" t="s">
        <v>152</v>
      </c>
      <c r="BV133" t="s">
        <v>761</v>
      </c>
    </row>
    <row r="134" spans="1:91" x14ac:dyDescent="0.2">
      <c r="A134" t="s">
        <v>111</v>
      </c>
      <c r="B134" t="b">
        <v>1</v>
      </c>
      <c r="E134">
        <v>142</v>
      </c>
      <c r="F134" t="str">
        <f>HYPERLINK("https://portal.dnb.de/opac.htm?method=simpleSearch&amp;cqlMode=true&amp;query=idn%3D1085177238", "Portal")</f>
        <v>Portal</v>
      </c>
      <c r="G134" t="s">
        <v>755</v>
      </c>
      <c r="H134" t="s">
        <v>766</v>
      </c>
      <c r="I134" t="s">
        <v>767</v>
      </c>
      <c r="J134" t="s">
        <v>768</v>
      </c>
      <c r="K134" t="s">
        <v>768</v>
      </c>
      <c r="L134" t="s">
        <v>768</v>
      </c>
      <c r="N134" t="s">
        <v>759</v>
      </c>
      <c r="O134" t="s">
        <v>769</v>
      </c>
      <c r="BN134">
        <v>0</v>
      </c>
    </row>
    <row r="135" spans="1:91" x14ac:dyDescent="0.2">
      <c r="A135" t="s">
        <v>111</v>
      </c>
      <c r="B135" t="b">
        <v>1</v>
      </c>
      <c r="E135">
        <v>143</v>
      </c>
      <c r="F135" t="str">
        <f>HYPERLINK("https://portal.dnb.de/opac.htm?method=simpleSearch&amp;cqlMode=true&amp;query=idn%3D1066964734", "Portal")</f>
        <v>Portal</v>
      </c>
      <c r="G135" t="s">
        <v>133</v>
      </c>
      <c r="H135" t="s">
        <v>770</v>
      </c>
      <c r="I135" t="s">
        <v>771</v>
      </c>
      <c r="J135" t="s">
        <v>772</v>
      </c>
      <c r="K135" t="s">
        <v>772</v>
      </c>
      <c r="L135" t="s">
        <v>772</v>
      </c>
      <c r="N135" t="s">
        <v>179</v>
      </c>
      <c r="O135" t="s">
        <v>121</v>
      </c>
      <c r="P135" t="s">
        <v>138</v>
      </c>
      <c r="R135" t="s">
        <v>161</v>
      </c>
      <c r="S135" t="s">
        <v>140</v>
      </c>
      <c r="T135" t="s">
        <v>163</v>
      </c>
      <c r="U135" t="s">
        <v>773</v>
      </c>
      <c r="W135" t="s">
        <v>67</v>
      </c>
      <c r="X135" t="s">
        <v>144</v>
      </c>
      <c r="Y135">
        <v>0</v>
      </c>
      <c r="AA135" t="s">
        <v>416</v>
      </c>
      <c r="AI135" t="s">
        <v>182</v>
      </c>
      <c r="AL135" t="s">
        <v>146</v>
      </c>
      <c r="AM135" t="s">
        <v>266</v>
      </c>
      <c r="AS135" t="s">
        <v>148</v>
      </c>
      <c r="AX135" t="s">
        <v>146</v>
      </c>
      <c r="BE135">
        <v>2</v>
      </c>
      <c r="BG135">
        <v>110</v>
      </c>
      <c r="BM135" t="s">
        <v>151</v>
      </c>
      <c r="BN135">
        <v>0</v>
      </c>
      <c r="BP135" t="s">
        <v>152</v>
      </c>
      <c r="BV135" t="s">
        <v>774</v>
      </c>
    </row>
    <row r="136" spans="1:91" x14ac:dyDescent="0.2">
      <c r="A136" t="s">
        <v>111</v>
      </c>
      <c r="B136" t="b">
        <v>1</v>
      </c>
      <c r="C136" t="s">
        <v>146</v>
      </c>
      <c r="E136">
        <v>144</v>
      </c>
      <c r="F136" t="str">
        <f>HYPERLINK("https://portal.dnb.de/opac.htm?method=simpleSearch&amp;cqlMode=true&amp;query=idn%3D1066971404", "Portal")</f>
        <v>Portal</v>
      </c>
      <c r="G136" t="s">
        <v>133</v>
      </c>
      <c r="H136" t="s">
        <v>775</v>
      </c>
      <c r="I136" t="s">
        <v>776</v>
      </c>
      <c r="J136" t="s">
        <v>777</v>
      </c>
      <c r="K136" t="s">
        <v>777</v>
      </c>
      <c r="L136" t="s">
        <v>777</v>
      </c>
      <c r="N136" t="s">
        <v>778</v>
      </c>
      <c r="O136" t="s">
        <v>121</v>
      </c>
      <c r="P136" t="s">
        <v>138</v>
      </c>
      <c r="Q136" t="s">
        <v>779</v>
      </c>
      <c r="R136" t="s">
        <v>180</v>
      </c>
      <c r="S136" t="s">
        <v>140</v>
      </c>
      <c r="T136" t="s">
        <v>163</v>
      </c>
      <c r="U136" t="s">
        <v>660</v>
      </c>
      <c r="V136" t="s">
        <v>143</v>
      </c>
      <c r="W136" t="s">
        <v>67</v>
      </c>
      <c r="X136" t="s">
        <v>144</v>
      </c>
      <c r="Y136">
        <v>2</v>
      </c>
      <c r="AI136" t="s">
        <v>182</v>
      </c>
      <c r="AK136" t="s">
        <v>146</v>
      </c>
      <c r="AM136" t="s">
        <v>266</v>
      </c>
      <c r="AS136" t="s">
        <v>148</v>
      </c>
      <c r="BC136" t="s">
        <v>166</v>
      </c>
      <c r="BD136" t="s">
        <v>146</v>
      </c>
      <c r="BG136">
        <v>60</v>
      </c>
      <c r="BM136" t="s">
        <v>213</v>
      </c>
      <c r="BN136">
        <v>1</v>
      </c>
      <c r="BP136" t="s">
        <v>152</v>
      </c>
      <c r="CA136" t="s">
        <v>146</v>
      </c>
      <c r="CH136" t="s">
        <v>780</v>
      </c>
      <c r="CM136">
        <v>1</v>
      </c>
    </row>
    <row r="137" spans="1:91" x14ac:dyDescent="0.2">
      <c r="A137" t="s">
        <v>111</v>
      </c>
      <c r="B137" t="b">
        <v>1</v>
      </c>
      <c r="E137">
        <v>145</v>
      </c>
      <c r="F137" t="str">
        <f>HYPERLINK("https://portal.dnb.de/opac.htm?method=simpleSearch&amp;cqlMode=true&amp;query=idn%3D1066971005", "Portal")</f>
        <v>Portal</v>
      </c>
      <c r="G137" t="s">
        <v>133</v>
      </c>
      <c r="H137" t="s">
        <v>781</v>
      </c>
      <c r="I137" t="s">
        <v>782</v>
      </c>
      <c r="J137" t="s">
        <v>783</v>
      </c>
      <c r="K137" t="s">
        <v>783</v>
      </c>
      <c r="L137" t="s">
        <v>783</v>
      </c>
      <c r="N137" t="s">
        <v>784</v>
      </c>
      <c r="O137" t="s">
        <v>121</v>
      </c>
      <c r="P137" t="s">
        <v>138</v>
      </c>
      <c r="R137" t="s">
        <v>161</v>
      </c>
      <c r="S137" t="s">
        <v>189</v>
      </c>
      <c r="T137" t="s">
        <v>163</v>
      </c>
      <c r="U137" t="s">
        <v>142</v>
      </c>
      <c r="V137" t="s">
        <v>143</v>
      </c>
      <c r="W137" t="s">
        <v>67</v>
      </c>
      <c r="X137" t="s">
        <v>144</v>
      </c>
      <c r="Y137">
        <v>2</v>
      </c>
      <c r="AI137" t="s">
        <v>165</v>
      </c>
      <c r="AK137" t="s">
        <v>146</v>
      </c>
      <c r="AM137" t="s">
        <v>147</v>
      </c>
      <c r="AS137" t="s">
        <v>148</v>
      </c>
      <c r="AT137" t="s">
        <v>146</v>
      </c>
      <c r="BC137" t="s">
        <v>166</v>
      </c>
      <c r="BD137" t="s">
        <v>146</v>
      </c>
      <c r="BG137">
        <v>180</v>
      </c>
      <c r="BM137" t="s">
        <v>151</v>
      </c>
      <c r="BN137">
        <v>0</v>
      </c>
      <c r="BP137" t="s">
        <v>152</v>
      </c>
    </row>
    <row r="138" spans="1:91" x14ac:dyDescent="0.2">
      <c r="A138" t="s">
        <v>111</v>
      </c>
      <c r="B138" t="b">
        <v>1</v>
      </c>
      <c r="C138" t="s">
        <v>146</v>
      </c>
      <c r="E138">
        <v>146</v>
      </c>
      <c r="F138" t="str">
        <f>HYPERLINK("https://portal.dnb.de/opac.htm?method=simpleSearch&amp;cqlMode=true&amp;query=idn%3D1066971552", "Portal")</f>
        <v>Portal</v>
      </c>
      <c r="G138" t="s">
        <v>115</v>
      </c>
      <c r="H138" t="s">
        <v>785</v>
      </c>
      <c r="I138" t="s">
        <v>786</v>
      </c>
      <c r="J138" t="s">
        <v>787</v>
      </c>
      <c r="K138" t="s">
        <v>787</v>
      </c>
      <c r="L138" t="s">
        <v>787</v>
      </c>
      <c r="N138" t="s">
        <v>788</v>
      </c>
      <c r="O138" t="s">
        <v>121</v>
      </c>
      <c r="P138" t="s">
        <v>138</v>
      </c>
      <c r="Q138" t="s">
        <v>311</v>
      </c>
      <c r="R138" t="s">
        <v>180</v>
      </c>
      <c r="S138" t="s">
        <v>140</v>
      </c>
      <c r="T138" t="s">
        <v>163</v>
      </c>
      <c r="U138" t="s">
        <v>789</v>
      </c>
      <c r="V138" t="s">
        <v>143</v>
      </c>
      <c r="W138" t="s">
        <v>67</v>
      </c>
      <c r="X138" t="s">
        <v>144</v>
      </c>
      <c r="Y138">
        <v>3</v>
      </c>
      <c r="AI138" t="s">
        <v>165</v>
      </c>
      <c r="AK138" t="s">
        <v>146</v>
      </c>
      <c r="AM138" t="s">
        <v>313</v>
      </c>
      <c r="AO138" t="s">
        <v>146</v>
      </c>
      <c r="AS138" t="s">
        <v>148</v>
      </c>
      <c r="AW138" t="s">
        <v>146</v>
      </c>
      <c r="BG138" t="s">
        <v>200</v>
      </c>
      <c r="BM138" t="s">
        <v>213</v>
      </c>
      <c r="BN138">
        <v>1</v>
      </c>
      <c r="BP138" t="s">
        <v>152</v>
      </c>
      <c r="BY138" t="s">
        <v>314</v>
      </c>
      <c r="CA138" t="s">
        <v>146</v>
      </c>
      <c r="CB138" t="s">
        <v>146</v>
      </c>
      <c r="CD138" t="s">
        <v>237</v>
      </c>
      <c r="CM138">
        <v>1</v>
      </c>
    </row>
    <row r="139" spans="1:91" x14ac:dyDescent="0.2">
      <c r="A139" t="s">
        <v>111</v>
      </c>
      <c r="B139" t="b">
        <v>1</v>
      </c>
      <c r="C139" t="s">
        <v>146</v>
      </c>
      <c r="F139" t="str">
        <f>HYPERLINK("https://portal.dnb.de/opac.htm?method=simpleSearch&amp;cqlMode=true&amp;query=idn%3D1268958956", "Portal")</f>
        <v>Portal</v>
      </c>
      <c r="G139" t="s">
        <v>300</v>
      </c>
      <c r="H139" t="s">
        <v>790</v>
      </c>
      <c r="I139" t="s">
        <v>791</v>
      </c>
      <c r="J139" t="s">
        <v>792</v>
      </c>
      <c r="K139" t="s">
        <v>792</v>
      </c>
      <c r="L139" t="s">
        <v>792</v>
      </c>
      <c r="N139" t="s">
        <v>741</v>
      </c>
      <c r="O139" t="s">
        <v>121</v>
      </c>
      <c r="P139" t="s">
        <v>138</v>
      </c>
      <c r="R139" t="s">
        <v>161</v>
      </c>
      <c r="S139" t="s">
        <v>140</v>
      </c>
      <c r="T139" t="s">
        <v>471</v>
      </c>
      <c r="U139" t="s">
        <v>243</v>
      </c>
      <c r="V139" t="s">
        <v>143</v>
      </c>
      <c r="W139" t="s">
        <v>67</v>
      </c>
      <c r="X139" t="s">
        <v>144</v>
      </c>
      <c r="Y139">
        <v>1</v>
      </c>
      <c r="AI139" t="s">
        <v>182</v>
      </c>
      <c r="AK139" t="s">
        <v>146</v>
      </c>
      <c r="AM139" t="s">
        <v>313</v>
      </c>
      <c r="AS139" t="s">
        <v>148</v>
      </c>
      <c r="BC139" t="s">
        <v>166</v>
      </c>
      <c r="BD139" t="s">
        <v>146</v>
      </c>
      <c r="BG139">
        <v>45</v>
      </c>
      <c r="BM139" t="s">
        <v>213</v>
      </c>
      <c r="BN139">
        <v>0.5</v>
      </c>
      <c r="BP139" t="s">
        <v>152</v>
      </c>
      <c r="CB139" t="s">
        <v>146</v>
      </c>
      <c r="CM139">
        <v>0.5</v>
      </c>
    </row>
    <row r="140" spans="1:91" x14ac:dyDescent="0.2">
      <c r="A140" t="s">
        <v>111</v>
      </c>
      <c r="B140" t="b">
        <v>0</v>
      </c>
      <c r="E140">
        <v>148</v>
      </c>
      <c r="F140" t="str">
        <f>HYPERLINK("https://portal.dnb.de/opac.htm?method=simpleSearch&amp;cqlMode=true&amp;query=idn%3D1168282241", "Portal")</f>
        <v>Portal</v>
      </c>
      <c r="G140" t="s">
        <v>115</v>
      </c>
      <c r="H140" t="s">
        <v>793</v>
      </c>
      <c r="I140" t="s">
        <v>794</v>
      </c>
      <c r="J140" t="s">
        <v>795</v>
      </c>
      <c r="L140" t="s">
        <v>795</v>
      </c>
      <c r="M140" t="s">
        <v>748</v>
      </c>
      <c r="BN140">
        <v>0</v>
      </c>
    </row>
    <row r="141" spans="1:91" x14ac:dyDescent="0.2">
      <c r="A141" t="s">
        <v>111</v>
      </c>
      <c r="B141" t="b">
        <v>1</v>
      </c>
      <c r="E141">
        <v>149</v>
      </c>
      <c r="F141" t="str">
        <f>HYPERLINK("https://portal.dnb.de/opac.htm?method=simpleSearch&amp;cqlMode=true&amp;query=idn%3D1066966486", "Portal")</f>
        <v>Portal</v>
      </c>
      <c r="G141" t="s">
        <v>133</v>
      </c>
      <c r="H141" t="s">
        <v>796</v>
      </c>
      <c r="I141" t="s">
        <v>797</v>
      </c>
      <c r="J141" t="s">
        <v>798</v>
      </c>
      <c r="K141" t="s">
        <v>798</v>
      </c>
      <c r="L141" t="s">
        <v>798</v>
      </c>
      <c r="N141" t="s">
        <v>132</v>
      </c>
      <c r="O141" t="s">
        <v>121</v>
      </c>
      <c r="P141" t="s">
        <v>138</v>
      </c>
      <c r="R141" t="s">
        <v>180</v>
      </c>
      <c r="S141" t="s">
        <v>140</v>
      </c>
      <c r="T141" t="s">
        <v>471</v>
      </c>
      <c r="U141" t="s">
        <v>799</v>
      </c>
      <c r="V141" t="s">
        <v>143</v>
      </c>
      <c r="W141" t="s">
        <v>67</v>
      </c>
      <c r="X141" t="s">
        <v>144</v>
      </c>
      <c r="Y141">
        <v>3</v>
      </c>
      <c r="AI141" t="s">
        <v>165</v>
      </c>
      <c r="AK141" t="s">
        <v>146</v>
      </c>
      <c r="AM141" t="s">
        <v>313</v>
      </c>
      <c r="AS141" t="s">
        <v>148</v>
      </c>
      <c r="AX141" t="s">
        <v>146</v>
      </c>
      <c r="BC141" t="s">
        <v>669</v>
      </c>
      <c r="BD141" t="s">
        <v>146</v>
      </c>
      <c r="BE141">
        <v>4</v>
      </c>
      <c r="BG141" t="s">
        <v>150</v>
      </c>
      <c r="BM141" t="s">
        <v>151</v>
      </c>
      <c r="BN141">
        <v>0</v>
      </c>
      <c r="BP141" t="s">
        <v>152</v>
      </c>
    </row>
    <row r="142" spans="1:91" x14ac:dyDescent="0.2">
      <c r="A142" t="s">
        <v>111</v>
      </c>
      <c r="B142" t="b">
        <v>1</v>
      </c>
      <c r="C142" t="s">
        <v>146</v>
      </c>
      <c r="E142">
        <v>150</v>
      </c>
      <c r="F142" t="str">
        <f>HYPERLINK("https://portal.dnb.de/opac.htm?method=simpleSearch&amp;cqlMode=true&amp;query=idn%3D1066966060", "Portal")</f>
        <v>Portal</v>
      </c>
      <c r="G142" t="s">
        <v>133</v>
      </c>
      <c r="H142" t="s">
        <v>800</v>
      </c>
      <c r="I142" t="s">
        <v>801</v>
      </c>
      <c r="J142" t="s">
        <v>802</v>
      </c>
      <c r="K142" t="s">
        <v>802</v>
      </c>
      <c r="L142" t="s">
        <v>802</v>
      </c>
      <c r="N142" t="s">
        <v>803</v>
      </c>
      <c r="O142" t="s">
        <v>121</v>
      </c>
      <c r="P142" t="s">
        <v>138</v>
      </c>
      <c r="Q142" t="s">
        <v>804</v>
      </c>
      <c r="R142" t="s">
        <v>161</v>
      </c>
      <c r="S142" t="s">
        <v>140</v>
      </c>
      <c r="T142" t="s">
        <v>163</v>
      </c>
      <c r="U142" t="s">
        <v>805</v>
      </c>
      <c r="V142" t="s">
        <v>143</v>
      </c>
      <c r="W142" t="s">
        <v>67</v>
      </c>
      <c r="X142" t="s">
        <v>144</v>
      </c>
      <c r="Y142">
        <v>3</v>
      </c>
      <c r="AI142" t="s">
        <v>182</v>
      </c>
      <c r="AK142" t="s">
        <v>146</v>
      </c>
      <c r="AM142" t="s">
        <v>313</v>
      </c>
      <c r="AO142" t="s">
        <v>146</v>
      </c>
      <c r="AS142" t="s">
        <v>148</v>
      </c>
      <c r="BC142" t="s">
        <v>166</v>
      </c>
      <c r="BD142" t="s">
        <v>146</v>
      </c>
      <c r="BG142" t="s">
        <v>200</v>
      </c>
      <c r="BM142" t="s">
        <v>213</v>
      </c>
      <c r="BN142">
        <v>1</v>
      </c>
      <c r="BP142" t="s">
        <v>152</v>
      </c>
      <c r="BY142" t="s">
        <v>314</v>
      </c>
      <c r="CA142" t="s">
        <v>146</v>
      </c>
      <c r="CB142" t="s">
        <v>146</v>
      </c>
      <c r="CD142" t="s">
        <v>237</v>
      </c>
      <c r="CM142">
        <v>1</v>
      </c>
    </row>
    <row r="143" spans="1:91" x14ac:dyDescent="0.2">
      <c r="A143" t="s">
        <v>111</v>
      </c>
      <c r="B143" t="b">
        <v>1</v>
      </c>
      <c r="E143">
        <v>151</v>
      </c>
      <c r="F143" t="str">
        <f>HYPERLINK("https://portal.dnb.de/opac.htm?method=simpleSearch&amp;cqlMode=true&amp;query=idn%3D1066971560", "Portal")</f>
        <v>Portal</v>
      </c>
      <c r="G143" t="s">
        <v>115</v>
      </c>
      <c r="H143" t="s">
        <v>806</v>
      </c>
      <c r="I143" t="s">
        <v>807</v>
      </c>
      <c r="J143" t="s">
        <v>808</v>
      </c>
      <c r="K143" t="s">
        <v>808</v>
      </c>
      <c r="L143" t="s">
        <v>808</v>
      </c>
      <c r="N143" t="s">
        <v>788</v>
      </c>
      <c r="O143" t="s">
        <v>121</v>
      </c>
      <c r="P143" t="s">
        <v>138</v>
      </c>
      <c r="R143" t="s">
        <v>180</v>
      </c>
      <c r="S143" t="s">
        <v>140</v>
      </c>
      <c r="T143" t="s">
        <v>163</v>
      </c>
      <c r="U143" t="s">
        <v>809</v>
      </c>
      <c r="V143" t="s">
        <v>143</v>
      </c>
      <c r="W143" t="s">
        <v>67</v>
      </c>
      <c r="X143" t="s">
        <v>144</v>
      </c>
      <c r="Y143">
        <v>2</v>
      </c>
      <c r="AI143" t="s">
        <v>182</v>
      </c>
      <c r="AK143" t="s">
        <v>146</v>
      </c>
      <c r="AM143" t="s">
        <v>313</v>
      </c>
      <c r="AS143" t="s">
        <v>148</v>
      </c>
      <c r="BC143" t="s">
        <v>166</v>
      </c>
      <c r="BD143" t="s">
        <v>146</v>
      </c>
      <c r="BE143">
        <v>4</v>
      </c>
      <c r="BG143">
        <v>80</v>
      </c>
      <c r="BM143" t="s">
        <v>151</v>
      </c>
      <c r="BN143">
        <v>0</v>
      </c>
      <c r="BP143" t="s">
        <v>152</v>
      </c>
    </row>
    <row r="144" spans="1:91" x14ac:dyDescent="0.2">
      <c r="A144" t="s">
        <v>111</v>
      </c>
      <c r="B144" t="b">
        <v>1</v>
      </c>
      <c r="C144" t="s">
        <v>146</v>
      </c>
      <c r="E144">
        <v>152</v>
      </c>
      <c r="F144" t="str">
        <f>HYPERLINK("https://portal.dnb.de/opac.htm?method=simpleSearch&amp;cqlMode=true&amp;query=idn%3D1066972559", "Portal")</f>
        <v>Portal</v>
      </c>
      <c r="G144" t="s">
        <v>133</v>
      </c>
      <c r="H144" t="s">
        <v>810</v>
      </c>
      <c r="I144" t="s">
        <v>811</v>
      </c>
      <c r="J144" t="s">
        <v>812</v>
      </c>
      <c r="K144" t="s">
        <v>812</v>
      </c>
      <c r="L144" t="s">
        <v>812</v>
      </c>
      <c r="N144" t="s">
        <v>813</v>
      </c>
      <c r="O144" t="s">
        <v>121</v>
      </c>
      <c r="P144" t="s">
        <v>138</v>
      </c>
      <c r="Q144" t="s">
        <v>814</v>
      </c>
      <c r="R144" t="s">
        <v>161</v>
      </c>
      <c r="S144" t="s">
        <v>140</v>
      </c>
      <c r="T144" t="s">
        <v>163</v>
      </c>
      <c r="U144" t="s">
        <v>789</v>
      </c>
      <c r="V144" t="s">
        <v>143</v>
      </c>
      <c r="W144" t="s">
        <v>67</v>
      </c>
      <c r="X144" t="s">
        <v>144</v>
      </c>
      <c r="Y144">
        <v>3</v>
      </c>
      <c r="AI144" t="s">
        <v>165</v>
      </c>
      <c r="AK144" t="s">
        <v>146</v>
      </c>
      <c r="AM144" t="s">
        <v>147</v>
      </c>
      <c r="AO144" t="s">
        <v>146</v>
      </c>
      <c r="AS144" t="s">
        <v>148</v>
      </c>
      <c r="BG144">
        <v>60</v>
      </c>
      <c r="BM144" t="s">
        <v>213</v>
      </c>
      <c r="BN144">
        <v>0.5</v>
      </c>
      <c r="BP144" t="s">
        <v>152</v>
      </c>
      <c r="BY144" t="s">
        <v>314</v>
      </c>
      <c r="CA144" t="s">
        <v>146</v>
      </c>
      <c r="CD144" t="s">
        <v>202</v>
      </c>
      <c r="CM144">
        <v>0.5</v>
      </c>
    </row>
    <row r="145" spans="1:91" x14ac:dyDescent="0.2">
      <c r="A145" t="s">
        <v>111</v>
      </c>
      <c r="B145" t="b">
        <v>1</v>
      </c>
      <c r="C145" t="s">
        <v>146</v>
      </c>
      <c r="E145">
        <v>153</v>
      </c>
      <c r="F145" t="str">
        <f>HYPERLINK("https://portal.dnb.de/opac.htm?method=simpleSearch&amp;cqlMode=true&amp;query=idn%3D1066966273", "Portal")</f>
        <v>Portal</v>
      </c>
      <c r="G145" t="s">
        <v>115</v>
      </c>
      <c r="H145" t="s">
        <v>815</v>
      </c>
      <c r="I145" t="s">
        <v>816</v>
      </c>
      <c r="J145" t="s">
        <v>817</v>
      </c>
      <c r="K145" t="s">
        <v>817</v>
      </c>
      <c r="L145" t="s">
        <v>817</v>
      </c>
      <c r="N145" t="s">
        <v>818</v>
      </c>
      <c r="O145" t="s">
        <v>121</v>
      </c>
      <c r="P145" t="s">
        <v>138</v>
      </c>
      <c r="Q145" t="s">
        <v>410</v>
      </c>
      <c r="R145" t="s">
        <v>180</v>
      </c>
      <c r="S145" t="s">
        <v>140</v>
      </c>
      <c r="T145" t="s">
        <v>163</v>
      </c>
      <c r="U145" t="s">
        <v>819</v>
      </c>
      <c r="W145" t="s">
        <v>67</v>
      </c>
      <c r="X145" t="s">
        <v>144</v>
      </c>
      <c r="Y145">
        <v>2</v>
      </c>
      <c r="AI145" t="s">
        <v>182</v>
      </c>
      <c r="AK145" t="s">
        <v>146</v>
      </c>
      <c r="AM145" t="s">
        <v>313</v>
      </c>
      <c r="AS145" t="s">
        <v>148</v>
      </c>
      <c r="BG145">
        <v>60</v>
      </c>
      <c r="BM145" t="s">
        <v>213</v>
      </c>
      <c r="BN145">
        <v>2</v>
      </c>
      <c r="BP145" t="s">
        <v>152</v>
      </c>
      <c r="CB145" t="s">
        <v>146</v>
      </c>
      <c r="CD145" t="s">
        <v>237</v>
      </c>
      <c r="CM145">
        <v>2</v>
      </c>
    </row>
    <row r="146" spans="1:91" x14ac:dyDescent="0.2">
      <c r="A146" t="s">
        <v>111</v>
      </c>
      <c r="B146" t="b">
        <v>1</v>
      </c>
      <c r="C146" t="s">
        <v>146</v>
      </c>
      <c r="E146">
        <v>154</v>
      </c>
      <c r="F146" t="str">
        <f>HYPERLINK("https://portal.dnb.de/opac.htm?method=simpleSearch&amp;cqlMode=true&amp;query=idn%3D106696873X", "Portal")</f>
        <v>Portal</v>
      </c>
      <c r="G146" t="s">
        <v>115</v>
      </c>
      <c r="H146" t="s">
        <v>820</v>
      </c>
      <c r="I146" t="s">
        <v>821</v>
      </c>
      <c r="J146" t="s">
        <v>822</v>
      </c>
      <c r="K146" t="s">
        <v>822</v>
      </c>
      <c r="L146" t="s">
        <v>822</v>
      </c>
      <c r="N146" t="s">
        <v>727</v>
      </c>
      <c r="O146" t="s">
        <v>121</v>
      </c>
      <c r="P146" t="s">
        <v>138</v>
      </c>
      <c r="Q146" t="s">
        <v>823</v>
      </c>
      <c r="R146" t="s">
        <v>161</v>
      </c>
      <c r="S146" t="s">
        <v>189</v>
      </c>
      <c r="T146" t="s">
        <v>141</v>
      </c>
      <c r="U146" t="s">
        <v>824</v>
      </c>
      <c r="W146" t="s">
        <v>67</v>
      </c>
      <c r="X146" t="s">
        <v>144</v>
      </c>
      <c r="Y146">
        <v>3</v>
      </c>
      <c r="AI146" t="s">
        <v>165</v>
      </c>
      <c r="AK146" t="s">
        <v>146</v>
      </c>
      <c r="AM146" t="s">
        <v>732</v>
      </c>
      <c r="AO146" t="s">
        <v>146</v>
      </c>
      <c r="AS146" t="s">
        <v>148</v>
      </c>
      <c r="BG146">
        <v>110</v>
      </c>
      <c r="BM146" t="s">
        <v>213</v>
      </c>
      <c r="BN146">
        <v>0.5</v>
      </c>
      <c r="BP146" t="s">
        <v>152</v>
      </c>
      <c r="BY146" t="s">
        <v>314</v>
      </c>
      <c r="CA146" t="s">
        <v>146</v>
      </c>
      <c r="CM146">
        <v>0.5</v>
      </c>
    </row>
    <row r="147" spans="1:91" x14ac:dyDescent="0.2">
      <c r="A147" t="s">
        <v>111</v>
      </c>
      <c r="B147" t="b">
        <v>1</v>
      </c>
      <c r="E147">
        <v>155</v>
      </c>
      <c r="F147" t="str">
        <f>HYPERLINK("https://portal.dnb.de/opac.htm?method=simpleSearch&amp;cqlMode=true&amp;query=idn%3D1066968632", "Portal")</f>
        <v>Portal</v>
      </c>
      <c r="G147" t="s">
        <v>133</v>
      </c>
      <c r="H147" t="s">
        <v>825</v>
      </c>
      <c r="I147" t="s">
        <v>826</v>
      </c>
      <c r="J147" t="s">
        <v>827</v>
      </c>
      <c r="K147" t="s">
        <v>827</v>
      </c>
      <c r="L147" t="s">
        <v>827</v>
      </c>
      <c r="N147" t="s">
        <v>828</v>
      </c>
      <c r="O147" t="s">
        <v>121</v>
      </c>
      <c r="P147" t="s">
        <v>138</v>
      </c>
      <c r="R147" t="s">
        <v>171</v>
      </c>
      <c r="S147" t="s">
        <v>189</v>
      </c>
      <c r="T147" t="s">
        <v>163</v>
      </c>
      <c r="U147" t="s">
        <v>172</v>
      </c>
      <c r="W147" t="s">
        <v>67</v>
      </c>
      <c r="X147" t="s">
        <v>144</v>
      </c>
      <c r="Y147">
        <v>0</v>
      </c>
      <c r="AA147" t="s">
        <v>416</v>
      </c>
      <c r="AI147" t="s">
        <v>174</v>
      </c>
      <c r="AK147" t="s">
        <v>146</v>
      </c>
      <c r="AL147" t="s">
        <v>146</v>
      </c>
      <c r="AM147" t="s">
        <v>228</v>
      </c>
      <c r="AS147" t="s">
        <v>148</v>
      </c>
      <c r="BG147">
        <v>110</v>
      </c>
      <c r="BM147" t="s">
        <v>151</v>
      </c>
      <c r="BN147">
        <v>0</v>
      </c>
      <c r="BP147" t="s">
        <v>278</v>
      </c>
      <c r="BV147" t="s">
        <v>829</v>
      </c>
    </row>
    <row r="148" spans="1:91" x14ac:dyDescent="0.2">
      <c r="A148" t="s">
        <v>111</v>
      </c>
      <c r="B148" t="b">
        <v>1</v>
      </c>
      <c r="E148">
        <v>156</v>
      </c>
      <c r="F148" t="str">
        <f>HYPERLINK("https://portal.dnb.de/opac.htm?method=simpleSearch&amp;cqlMode=true&amp;query=idn%3D1066971935", "Portal")</f>
        <v>Portal</v>
      </c>
      <c r="G148" t="s">
        <v>133</v>
      </c>
      <c r="H148" t="s">
        <v>830</v>
      </c>
      <c r="I148" t="s">
        <v>831</v>
      </c>
      <c r="J148" t="s">
        <v>832</v>
      </c>
      <c r="K148" t="s">
        <v>832</v>
      </c>
      <c r="L148" t="s">
        <v>832</v>
      </c>
      <c r="N148" t="s">
        <v>833</v>
      </c>
      <c r="O148" t="s">
        <v>121</v>
      </c>
      <c r="P148" t="s">
        <v>138</v>
      </c>
      <c r="R148" t="s">
        <v>207</v>
      </c>
      <c r="S148" t="s">
        <v>189</v>
      </c>
      <c r="T148" t="s">
        <v>141</v>
      </c>
      <c r="U148" t="s">
        <v>172</v>
      </c>
      <c r="W148" t="s">
        <v>67</v>
      </c>
      <c r="X148" t="s">
        <v>144</v>
      </c>
      <c r="Y148">
        <v>0</v>
      </c>
      <c r="AI148" t="s">
        <v>165</v>
      </c>
      <c r="AK148" t="s">
        <v>146</v>
      </c>
      <c r="AM148" t="s">
        <v>147</v>
      </c>
      <c r="AS148" t="s">
        <v>148</v>
      </c>
      <c r="BG148">
        <v>180</v>
      </c>
      <c r="BM148" t="s">
        <v>151</v>
      </c>
      <c r="BN148">
        <v>0</v>
      </c>
      <c r="BP148" t="s">
        <v>152</v>
      </c>
    </row>
    <row r="149" spans="1:91" x14ac:dyDescent="0.2">
      <c r="A149" t="s">
        <v>111</v>
      </c>
      <c r="B149" t="b">
        <v>1</v>
      </c>
      <c r="C149" t="s">
        <v>146</v>
      </c>
      <c r="E149">
        <v>157</v>
      </c>
      <c r="F149" t="str">
        <f>HYPERLINK("https://portal.dnb.de/opac.htm?method=simpleSearch&amp;cqlMode=true&amp;query=idn%3D1066966680", "Portal")</f>
        <v>Portal</v>
      </c>
      <c r="G149" t="s">
        <v>115</v>
      </c>
      <c r="H149" t="s">
        <v>834</v>
      </c>
      <c r="I149" t="s">
        <v>835</v>
      </c>
      <c r="J149" t="s">
        <v>836</v>
      </c>
      <c r="K149" t="s">
        <v>836</v>
      </c>
      <c r="L149" t="s">
        <v>836</v>
      </c>
      <c r="N149" t="s">
        <v>132</v>
      </c>
      <c r="O149" t="s">
        <v>121</v>
      </c>
      <c r="P149" t="s">
        <v>138</v>
      </c>
      <c r="Q149" t="s">
        <v>537</v>
      </c>
      <c r="R149" t="s">
        <v>180</v>
      </c>
      <c r="S149" t="s">
        <v>189</v>
      </c>
      <c r="T149" t="s">
        <v>471</v>
      </c>
      <c r="U149" t="s">
        <v>819</v>
      </c>
      <c r="W149" t="s">
        <v>67</v>
      </c>
      <c r="X149" t="s">
        <v>144</v>
      </c>
      <c r="Y149">
        <v>3</v>
      </c>
      <c r="AI149" t="s">
        <v>182</v>
      </c>
      <c r="AK149" t="s">
        <v>146</v>
      </c>
      <c r="AM149" t="s">
        <v>313</v>
      </c>
      <c r="AS149" t="s">
        <v>148</v>
      </c>
      <c r="BE149">
        <v>0</v>
      </c>
      <c r="BG149">
        <v>45</v>
      </c>
      <c r="BM149" t="s">
        <v>213</v>
      </c>
      <c r="BN149">
        <v>4</v>
      </c>
      <c r="BP149" t="s">
        <v>152</v>
      </c>
      <c r="CB149" t="s">
        <v>146</v>
      </c>
      <c r="CH149" t="s">
        <v>780</v>
      </c>
      <c r="CL149" t="s">
        <v>837</v>
      </c>
      <c r="CM149">
        <v>4</v>
      </c>
    </row>
    <row r="150" spans="1:91" x14ac:dyDescent="0.2">
      <c r="A150" t="s">
        <v>111</v>
      </c>
      <c r="B150" t="b">
        <v>1</v>
      </c>
      <c r="C150" t="s">
        <v>146</v>
      </c>
      <c r="E150">
        <v>158</v>
      </c>
      <c r="F150" t="str">
        <f>HYPERLINK("https://portal.dnb.de/opac.htm?method=simpleSearch&amp;cqlMode=true&amp;query=idn%3D1066970041", "Portal")</f>
        <v>Portal</v>
      </c>
      <c r="G150" t="s">
        <v>115</v>
      </c>
      <c r="H150" t="s">
        <v>838</v>
      </c>
      <c r="I150" t="s">
        <v>839</v>
      </c>
      <c r="J150" t="s">
        <v>840</v>
      </c>
      <c r="K150" t="s">
        <v>840</v>
      </c>
      <c r="L150" t="s">
        <v>840</v>
      </c>
      <c r="N150" t="s">
        <v>841</v>
      </c>
      <c r="O150" t="s">
        <v>121</v>
      </c>
      <c r="P150" t="s">
        <v>138</v>
      </c>
      <c r="Q150" t="s">
        <v>842</v>
      </c>
      <c r="R150" t="s">
        <v>517</v>
      </c>
      <c r="S150" t="s">
        <v>189</v>
      </c>
      <c r="T150" t="s">
        <v>163</v>
      </c>
      <c r="U150" t="s">
        <v>824</v>
      </c>
      <c r="W150" t="s">
        <v>67</v>
      </c>
      <c r="X150" t="s">
        <v>144</v>
      </c>
      <c r="Y150">
        <v>2</v>
      </c>
      <c r="AI150" t="s">
        <v>518</v>
      </c>
      <c r="AK150" t="s">
        <v>146</v>
      </c>
      <c r="AM150" t="s">
        <v>147</v>
      </c>
      <c r="AS150" t="s">
        <v>148</v>
      </c>
      <c r="BG150">
        <v>60</v>
      </c>
      <c r="BM150" t="s">
        <v>213</v>
      </c>
      <c r="BN150">
        <v>1</v>
      </c>
      <c r="BP150" t="s">
        <v>152</v>
      </c>
      <c r="CD150" t="s">
        <v>237</v>
      </c>
      <c r="CM150">
        <v>1</v>
      </c>
    </row>
    <row r="151" spans="1:91" x14ac:dyDescent="0.2">
      <c r="A151" t="s">
        <v>111</v>
      </c>
      <c r="B151" t="b">
        <v>1</v>
      </c>
      <c r="F151" t="str">
        <f>HYPERLINK("https://portal.dnb.de/opac.htm?method=simpleSearch&amp;cqlMode=true&amp;query=idn%3D1132645409", "Portal")</f>
        <v>Portal</v>
      </c>
      <c r="G151" t="s">
        <v>539</v>
      </c>
      <c r="H151" t="s">
        <v>843</v>
      </c>
      <c r="I151" t="s">
        <v>844</v>
      </c>
      <c r="J151" t="s">
        <v>845</v>
      </c>
      <c r="K151" t="s">
        <v>845</v>
      </c>
      <c r="L151" t="s">
        <v>845</v>
      </c>
      <c r="N151" t="s">
        <v>631</v>
      </c>
      <c r="O151" t="s">
        <v>846</v>
      </c>
      <c r="R151" t="s">
        <v>180</v>
      </c>
      <c r="S151" t="s">
        <v>140</v>
      </c>
      <c r="T151" t="s">
        <v>471</v>
      </c>
      <c r="U151" t="s">
        <v>538</v>
      </c>
      <c r="V151" t="s">
        <v>143</v>
      </c>
      <c r="W151" t="s">
        <v>67</v>
      </c>
      <c r="X151" t="s">
        <v>144</v>
      </c>
      <c r="Y151">
        <v>0</v>
      </c>
      <c r="BN151">
        <v>0</v>
      </c>
    </row>
    <row r="152" spans="1:91" x14ac:dyDescent="0.2">
      <c r="A152" t="s">
        <v>111</v>
      </c>
      <c r="B152" t="b">
        <v>1</v>
      </c>
      <c r="E152">
        <v>159</v>
      </c>
      <c r="F152" t="str">
        <f>HYPERLINK("https://portal.dnb.de/opac.htm?method=simpleSearch&amp;cqlMode=true&amp;query=idn%3D1066970688", "Portal")</f>
        <v>Portal</v>
      </c>
      <c r="G152" t="s">
        <v>133</v>
      </c>
      <c r="H152" t="s">
        <v>847</v>
      </c>
      <c r="I152" t="s">
        <v>848</v>
      </c>
      <c r="J152" t="s">
        <v>849</v>
      </c>
      <c r="K152" t="s">
        <v>849</v>
      </c>
      <c r="L152" t="s">
        <v>849</v>
      </c>
      <c r="N152" t="s">
        <v>850</v>
      </c>
      <c r="O152" t="s">
        <v>121</v>
      </c>
      <c r="P152" t="s">
        <v>138</v>
      </c>
      <c r="R152" t="s">
        <v>517</v>
      </c>
      <c r="S152" t="s">
        <v>140</v>
      </c>
      <c r="T152" t="s">
        <v>141</v>
      </c>
      <c r="U152" t="s">
        <v>142</v>
      </c>
      <c r="V152" t="s">
        <v>143</v>
      </c>
      <c r="W152" t="s">
        <v>67</v>
      </c>
      <c r="X152" t="s">
        <v>144</v>
      </c>
      <c r="Y152">
        <v>1</v>
      </c>
      <c r="BN152">
        <v>0</v>
      </c>
    </row>
    <row r="153" spans="1:91" x14ac:dyDescent="0.2">
      <c r="A153" t="s">
        <v>111</v>
      </c>
      <c r="B153" t="b">
        <v>1</v>
      </c>
      <c r="F153" t="str">
        <f>HYPERLINK("https://portal.dnb.de/opac.htm?method=simpleSearch&amp;cqlMode=true&amp;query=idn%3D1072053705", "Portal")</f>
        <v>Portal</v>
      </c>
      <c r="G153" t="s">
        <v>115</v>
      </c>
      <c r="H153" t="s">
        <v>851</v>
      </c>
      <c r="I153" t="s">
        <v>852</v>
      </c>
      <c r="J153" t="s">
        <v>853</v>
      </c>
      <c r="K153" t="s">
        <v>853</v>
      </c>
      <c r="L153" t="s">
        <v>853</v>
      </c>
      <c r="N153" t="s">
        <v>854</v>
      </c>
      <c r="O153" t="s">
        <v>121</v>
      </c>
      <c r="P153" t="s">
        <v>138</v>
      </c>
      <c r="R153" t="s">
        <v>517</v>
      </c>
      <c r="S153" t="s">
        <v>140</v>
      </c>
      <c r="T153" t="s">
        <v>163</v>
      </c>
      <c r="U153" t="s">
        <v>172</v>
      </c>
      <c r="W153" t="s">
        <v>67</v>
      </c>
      <c r="X153" t="s">
        <v>144</v>
      </c>
      <c r="Y153">
        <v>2</v>
      </c>
      <c r="BN153">
        <v>0</v>
      </c>
    </row>
    <row r="154" spans="1:91" x14ac:dyDescent="0.2">
      <c r="A154" t="s">
        <v>111</v>
      </c>
      <c r="B154" t="b">
        <v>1</v>
      </c>
      <c r="E154">
        <v>160</v>
      </c>
      <c r="F154" t="str">
        <f>HYPERLINK("https://portal.dnb.de/opac.htm?method=simpleSearch&amp;cqlMode=true&amp;query=idn%3D1066967172", "Portal")</f>
        <v>Portal</v>
      </c>
      <c r="G154" t="s">
        <v>133</v>
      </c>
      <c r="H154" t="s">
        <v>855</v>
      </c>
      <c r="I154" t="s">
        <v>856</v>
      </c>
      <c r="J154" t="s">
        <v>857</v>
      </c>
      <c r="K154" t="s">
        <v>857</v>
      </c>
      <c r="L154" t="s">
        <v>857</v>
      </c>
      <c r="N154" t="s">
        <v>858</v>
      </c>
      <c r="O154" t="s">
        <v>121</v>
      </c>
      <c r="R154" t="s">
        <v>171</v>
      </c>
      <c r="S154" t="s">
        <v>189</v>
      </c>
      <c r="T154" t="s">
        <v>163</v>
      </c>
      <c r="U154" t="s">
        <v>573</v>
      </c>
      <c r="W154" t="s">
        <v>67</v>
      </c>
      <c r="X154" t="s">
        <v>144</v>
      </c>
      <c r="Y154">
        <v>0</v>
      </c>
      <c r="BN154">
        <v>0</v>
      </c>
    </row>
    <row r="155" spans="1:91" x14ac:dyDescent="0.2">
      <c r="A155" t="s">
        <v>111</v>
      </c>
      <c r="B155" t="b">
        <v>1</v>
      </c>
      <c r="E155">
        <v>161</v>
      </c>
      <c r="F155" t="str">
        <f>HYPERLINK("https://portal.dnb.de/opac.htm?method=simpleSearch&amp;cqlMode=true&amp;query=idn%3D106696968X", "Portal")</f>
        <v>Portal</v>
      </c>
      <c r="G155" t="s">
        <v>133</v>
      </c>
      <c r="H155" t="s">
        <v>859</v>
      </c>
      <c r="I155" t="s">
        <v>860</v>
      </c>
      <c r="J155" t="s">
        <v>861</v>
      </c>
      <c r="K155" t="s">
        <v>861</v>
      </c>
      <c r="L155" t="s">
        <v>861</v>
      </c>
      <c r="N155" t="s">
        <v>577</v>
      </c>
      <c r="O155" t="s">
        <v>121</v>
      </c>
      <c r="P155" t="s">
        <v>138</v>
      </c>
      <c r="R155" t="s">
        <v>139</v>
      </c>
      <c r="S155" t="s">
        <v>140</v>
      </c>
      <c r="T155" t="s">
        <v>163</v>
      </c>
      <c r="U155" t="s">
        <v>243</v>
      </c>
      <c r="V155" t="s">
        <v>143</v>
      </c>
      <c r="W155" t="s">
        <v>67</v>
      </c>
      <c r="X155" t="s">
        <v>144</v>
      </c>
      <c r="Y155">
        <v>1</v>
      </c>
      <c r="BN155">
        <v>0</v>
      </c>
    </row>
    <row r="156" spans="1:91" x14ac:dyDescent="0.2">
      <c r="A156" t="s">
        <v>111</v>
      </c>
      <c r="B156" t="b">
        <v>1</v>
      </c>
      <c r="E156">
        <v>162</v>
      </c>
      <c r="F156" t="str">
        <f>HYPERLINK("https://portal.dnb.de/opac.htm?method=simpleSearch&amp;cqlMode=true&amp;query=idn%3D1066973121", "Portal")</f>
        <v>Portal</v>
      </c>
      <c r="G156" t="s">
        <v>133</v>
      </c>
      <c r="H156" t="s">
        <v>862</v>
      </c>
      <c r="I156" t="s">
        <v>863</v>
      </c>
      <c r="J156" t="s">
        <v>864</v>
      </c>
      <c r="K156" t="s">
        <v>864</v>
      </c>
      <c r="L156" t="s">
        <v>864</v>
      </c>
      <c r="N156" t="s">
        <v>572</v>
      </c>
      <c r="O156" t="s">
        <v>121</v>
      </c>
      <c r="P156" t="s">
        <v>138</v>
      </c>
      <c r="R156" t="s">
        <v>180</v>
      </c>
      <c r="S156" t="s">
        <v>140</v>
      </c>
      <c r="T156" t="s">
        <v>163</v>
      </c>
      <c r="U156" t="s">
        <v>243</v>
      </c>
      <c r="V156" t="s">
        <v>143</v>
      </c>
      <c r="W156" t="s">
        <v>67</v>
      </c>
      <c r="X156" t="s">
        <v>144</v>
      </c>
      <c r="Y156">
        <v>1</v>
      </c>
      <c r="BN156">
        <v>0</v>
      </c>
    </row>
    <row r="157" spans="1:91" x14ac:dyDescent="0.2">
      <c r="A157" t="s">
        <v>111</v>
      </c>
      <c r="B157" t="b">
        <v>1</v>
      </c>
      <c r="E157">
        <v>163</v>
      </c>
      <c r="F157" t="str">
        <f>HYPERLINK("https://portal.dnb.de/opac.htm?method=simpleSearch&amp;cqlMode=true&amp;query=idn%3D1066973121", "Portal")</f>
        <v>Portal</v>
      </c>
      <c r="G157" t="s">
        <v>133</v>
      </c>
      <c r="H157" t="s">
        <v>865</v>
      </c>
      <c r="I157" t="s">
        <v>863</v>
      </c>
      <c r="J157" t="s">
        <v>866</v>
      </c>
      <c r="K157" t="s">
        <v>866</v>
      </c>
      <c r="L157" t="s">
        <v>866</v>
      </c>
      <c r="N157" t="s">
        <v>572</v>
      </c>
      <c r="O157" t="s">
        <v>121</v>
      </c>
      <c r="BN157">
        <v>0</v>
      </c>
    </row>
    <row r="158" spans="1:91" x14ac:dyDescent="0.2">
      <c r="A158" t="s">
        <v>111</v>
      </c>
      <c r="B158" t="b">
        <v>1</v>
      </c>
      <c r="E158">
        <v>164</v>
      </c>
      <c r="F158" t="str">
        <f>HYPERLINK("https://portal.dnb.de/opac.htm?method=simpleSearch&amp;cqlMode=true&amp;query=idn%3D1072054698", "Portal")</f>
        <v>Portal</v>
      </c>
      <c r="G158" t="s">
        <v>115</v>
      </c>
      <c r="H158" t="s">
        <v>867</v>
      </c>
      <c r="I158" t="s">
        <v>868</v>
      </c>
      <c r="J158" t="s">
        <v>869</v>
      </c>
      <c r="K158" t="s">
        <v>869</v>
      </c>
      <c r="L158" t="s">
        <v>869</v>
      </c>
      <c r="N158" t="s">
        <v>870</v>
      </c>
      <c r="O158" t="s">
        <v>121</v>
      </c>
      <c r="P158" t="s">
        <v>138</v>
      </c>
      <c r="R158" t="s">
        <v>188</v>
      </c>
      <c r="S158" t="s">
        <v>189</v>
      </c>
      <c r="T158" t="s">
        <v>141</v>
      </c>
      <c r="U158" t="s">
        <v>381</v>
      </c>
      <c r="V158" t="s">
        <v>143</v>
      </c>
      <c r="W158" t="s">
        <v>67</v>
      </c>
      <c r="X158" t="s">
        <v>144</v>
      </c>
      <c r="Y158">
        <v>0</v>
      </c>
      <c r="BN158">
        <v>0</v>
      </c>
    </row>
    <row r="159" spans="1:91" x14ac:dyDescent="0.2">
      <c r="A159" t="s">
        <v>111</v>
      </c>
      <c r="B159" t="b">
        <v>1</v>
      </c>
      <c r="E159">
        <v>165</v>
      </c>
      <c r="F159" t="str">
        <f>HYPERLINK("https://portal.dnb.de/opac.htm?method=simpleSearch&amp;cqlMode=true&amp;query=idn%3D1066965811", "Portal")</f>
        <v>Portal</v>
      </c>
      <c r="G159" t="s">
        <v>133</v>
      </c>
      <c r="H159" t="s">
        <v>871</v>
      </c>
      <c r="I159" t="s">
        <v>872</v>
      </c>
      <c r="J159" t="s">
        <v>873</v>
      </c>
      <c r="K159" t="s">
        <v>873</v>
      </c>
      <c r="L159" t="s">
        <v>873</v>
      </c>
      <c r="N159" t="s">
        <v>874</v>
      </c>
      <c r="O159" t="s">
        <v>121</v>
      </c>
      <c r="P159" t="s">
        <v>138</v>
      </c>
      <c r="R159" t="s">
        <v>139</v>
      </c>
      <c r="S159" t="s">
        <v>189</v>
      </c>
      <c r="T159" t="s">
        <v>163</v>
      </c>
      <c r="U159" t="s">
        <v>243</v>
      </c>
      <c r="V159" t="s">
        <v>143</v>
      </c>
      <c r="W159" t="s">
        <v>67</v>
      </c>
      <c r="X159" t="s">
        <v>144</v>
      </c>
      <c r="Y159">
        <v>2</v>
      </c>
      <c r="BN159">
        <v>0</v>
      </c>
    </row>
    <row r="160" spans="1:91" x14ac:dyDescent="0.2">
      <c r="A160" t="s">
        <v>111</v>
      </c>
      <c r="B160" t="b">
        <v>1</v>
      </c>
      <c r="E160">
        <v>166</v>
      </c>
      <c r="F160" t="str">
        <f>HYPERLINK("https://portal.dnb.de/opac.htm?method=simpleSearch&amp;cqlMode=true&amp;query=idn%3D1066964939", "Portal")</f>
        <v>Portal</v>
      </c>
      <c r="G160" t="s">
        <v>133</v>
      </c>
      <c r="H160" t="s">
        <v>875</v>
      </c>
      <c r="I160" t="s">
        <v>876</v>
      </c>
      <c r="J160" t="s">
        <v>877</v>
      </c>
      <c r="K160" t="s">
        <v>877</v>
      </c>
      <c r="L160" t="s">
        <v>877</v>
      </c>
      <c r="N160" t="s">
        <v>878</v>
      </c>
      <c r="O160" t="s">
        <v>121</v>
      </c>
      <c r="P160" t="s">
        <v>138</v>
      </c>
      <c r="R160" t="s">
        <v>180</v>
      </c>
      <c r="S160" t="s">
        <v>140</v>
      </c>
      <c r="T160" t="s">
        <v>163</v>
      </c>
      <c r="U160" t="s">
        <v>538</v>
      </c>
      <c r="V160" t="s">
        <v>143</v>
      </c>
      <c r="W160" t="s">
        <v>67</v>
      </c>
      <c r="X160" t="s">
        <v>144</v>
      </c>
      <c r="Y160">
        <v>0</v>
      </c>
      <c r="AA160" t="s">
        <v>416</v>
      </c>
      <c r="BN160">
        <v>0</v>
      </c>
    </row>
    <row r="161" spans="1:92" x14ac:dyDescent="0.2">
      <c r="A161" t="s">
        <v>111</v>
      </c>
      <c r="B161" t="b">
        <v>1</v>
      </c>
      <c r="E161">
        <v>167</v>
      </c>
      <c r="F161" t="str">
        <f>HYPERLINK("https://portal.dnb.de/opac.htm?method=simpleSearch&amp;cqlMode=true&amp;query=idn%3D1066968993", "Portal")</f>
        <v>Portal</v>
      </c>
      <c r="G161" t="s">
        <v>133</v>
      </c>
      <c r="H161" t="s">
        <v>879</v>
      </c>
      <c r="I161" t="s">
        <v>880</v>
      </c>
      <c r="J161" t="s">
        <v>881</v>
      </c>
      <c r="K161" t="s">
        <v>881</v>
      </c>
      <c r="L161" t="s">
        <v>881</v>
      </c>
      <c r="N161" t="s">
        <v>428</v>
      </c>
      <c r="O161" t="s">
        <v>121</v>
      </c>
      <c r="P161" t="s">
        <v>138</v>
      </c>
      <c r="R161" t="s">
        <v>180</v>
      </c>
      <c r="S161" t="s">
        <v>140</v>
      </c>
      <c r="T161" t="s">
        <v>141</v>
      </c>
      <c r="U161" t="s">
        <v>243</v>
      </c>
      <c r="V161" t="s">
        <v>143</v>
      </c>
      <c r="W161" t="s">
        <v>67</v>
      </c>
      <c r="X161" t="s">
        <v>144</v>
      </c>
      <c r="Y161">
        <v>1</v>
      </c>
      <c r="BN161">
        <v>0</v>
      </c>
    </row>
    <row r="162" spans="1:92" x14ac:dyDescent="0.2">
      <c r="A162" t="s">
        <v>111</v>
      </c>
      <c r="B162" t="b">
        <v>1</v>
      </c>
      <c r="E162">
        <v>168</v>
      </c>
      <c r="F162" t="str">
        <f>HYPERLINK("https://portal.dnb.de/opac.htm?method=simpleSearch&amp;cqlMode=true&amp;query=idn%3D1066965080", "Portal")</f>
        <v>Portal</v>
      </c>
      <c r="G162" t="s">
        <v>133</v>
      </c>
      <c r="H162" t="s">
        <v>882</v>
      </c>
      <c r="I162" t="s">
        <v>883</v>
      </c>
      <c r="J162" t="s">
        <v>884</v>
      </c>
      <c r="K162" t="s">
        <v>884</v>
      </c>
      <c r="L162" t="s">
        <v>884</v>
      </c>
      <c r="N162" t="s">
        <v>885</v>
      </c>
      <c r="O162" t="s">
        <v>121</v>
      </c>
      <c r="P162" t="s">
        <v>138</v>
      </c>
      <c r="R162" t="s">
        <v>207</v>
      </c>
      <c r="S162" t="s">
        <v>189</v>
      </c>
      <c r="T162" t="s">
        <v>141</v>
      </c>
      <c r="U162" t="s">
        <v>886</v>
      </c>
      <c r="W162" t="s">
        <v>67</v>
      </c>
      <c r="X162" t="s">
        <v>144</v>
      </c>
      <c r="Y162">
        <v>0</v>
      </c>
      <c r="BN162">
        <v>0</v>
      </c>
    </row>
    <row r="163" spans="1:92" x14ac:dyDescent="0.2">
      <c r="A163" t="s">
        <v>111</v>
      </c>
      <c r="B163" t="b">
        <v>1</v>
      </c>
      <c r="E163">
        <v>169</v>
      </c>
      <c r="F163" t="str">
        <f>HYPERLINK("https://portal.dnb.de/opac.htm?method=simpleSearch&amp;cqlMode=true&amp;query=idn%3D1066966230", "Portal")</f>
        <v>Portal</v>
      </c>
      <c r="G163" t="s">
        <v>133</v>
      </c>
      <c r="H163" t="s">
        <v>887</v>
      </c>
      <c r="I163" t="s">
        <v>888</v>
      </c>
      <c r="J163" t="s">
        <v>889</v>
      </c>
      <c r="K163" t="s">
        <v>889</v>
      </c>
      <c r="L163" t="s">
        <v>889</v>
      </c>
      <c r="N163" t="s">
        <v>890</v>
      </c>
      <c r="O163" t="s">
        <v>121</v>
      </c>
      <c r="P163" t="s">
        <v>138</v>
      </c>
      <c r="R163" t="s">
        <v>171</v>
      </c>
      <c r="S163" t="s">
        <v>189</v>
      </c>
      <c r="T163" t="s">
        <v>163</v>
      </c>
      <c r="U163" t="s">
        <v>142</v>
      </c>
      <c r="V163" t="s">
        <v>143</v>
      </c>
      <c r="W163" t="s">
        <v>67</v>
      </c>
      <c r="X163" t="s">
        <v>144</v>
      </c>
      <c r="Y163">
        <v>0</v>
      </c>
      <c r="BN163">
        <v>0</v>
      </c>
    </row>
    <row r="164" spans="1:92" x14ac:dyDescent="0.2">
      <c r="A164" t="s">
        <v>111</v>
      </c>
      <c r="B164" t="b">
        <v>1</v>
      </c>
      <c r="E164">
        <v>170</v>
      </c>
      <c r="F164" t="str">
        <f>HYPERLINK("https://portal.dnb.de/opac.htm?method=simpleSearch&amp;cqlMode=true&amp;query=idn%3D106696632X", "Portal")</f>
        <v>Portal</v>
      </c>
      <c r="G164" t="s">
        <v>133</v>
      </c>
      <c r="H164" t="s">
        <v>891</v>
      </c>
      <c r="I164" t="s">
        <v>892</v>
      </c>
      <c r="J164" t="s">
        <v>893</v>
      </c>
      <c r="K164" t="s">
        <v>893</v>
      </c>
      <c r="L164" t="s">
        <v>893</v>
      </c>
      <c r="N164" t="s">
        <v>719</v>
      </c>
      <c r="O164" t="s">
        <v>121</v>
      </c>
      <c r="P164" t="s">
        <v>138</v>
      </c>
      <c r="R164" t="s">
        <v>171</v>
      </c>
      <c r="S164" t="s">
        <v>189</v>
      </c>
      <c r="T164" t="s">
        <v>163</v>
      </c>
      <c r="W164" t="s">
        <v>67</v>
      </c>
      <c r="X164" t="s">
        <v>144</v>
      </c>
      <c r="Y164">
        <v>0</v>
      </c>
      <c r="AA164" t="s">
        <v>894</v>
      </c>
      <c r="BN164">
        <v>0</v>
      </c>
    </row>
    <row r="165" spans="1:92" x14ac:dyDescent="0.2">
      <c r="A165" t="s">
        <v>111</v>
      </c>
      <c r="B165" t="b">
        <v>1</v>
      </c>
      <c r="E165">
        <v>171</v>
      </c>
      <c r="F165" t="str">
        <f>HYPERLINK("https://portal.dnb.de/opac.htm?method=simpleSearch&amp;cqlMode=true&amp;query=idn%3D1066968403", "Portal")</f>
        <v>Portal</v>
      </c>
      <c r="G165" t="s">
        <v>133</v>
      </c>
      <c r="H165" t="s">
        <v>895</v>
      </c>
      <c r="I165" t="s">
        <v>896</v>
      </c>
      <c r="J165" t="s">
        <v>897</v>
      </c>
      <c r="K165" t="s">
        <v>897</v>
      </c>
      <c r="L165" t="s">
        <v>897</v>
      </c>
      <c r="N165" t="s">
        <v>898</v>
      </c>
      <c r="O165" t="s">
        <v>121</v>
      </c>
      <c r="P165" t="s">
        <v>138</v>
      </c>
      <c r="R165" t="s">
        <v>517</v>
      </c>
      <c r="S165" t="s">
        <v>189</v>
      </c>
      <c r="T165" t="s">
        <v>141</v>
      </c>
      <c r="U165" t="s">
        <v>243</v>
      </c>
      <c r="V165" t="s">
        <v>143</v>
      </c>
      <c r="W165" t="s">
        <v>67</v>
      </c>
      <c r="X165" t="s">
        <v>144</v>
      </c>
      <c r="Y165">
        <v>1</v>
      </c>
      <c r="BN165">
        <v>0</v>
      </c>
    </row>
    <row r="166" spans="1:92" x14ac:dyDescent="0.2">
      <c r="A166" t="s">
        <v>111</v>
      </c>
      <c r="B166" t="b">
        <v>1</v>
      </c>
      <c r="E166">
        <v>172</v>
      </c>
      <c r="F166" t="str">
        <f>HYPERLINK("https://portal.dnb.de/opac.htm?method=simpleSearch&amp;cqlMode=true&amp;query=idn%3D1066968446", "Portal")</f>
        <v>Portal</v>
      </c>
      <c r="G166" t="s">
        <v>133</v>
      </c>
      <c r="H166" t="s">
        <v>899</v>
      </c>
      <c r="I166" t="s">
        <v>900</v>
      </c>
      <c r="J166" t="s">
        <v>901</v>
      </c>
      <c r="K166" t="s">
        <v>901</v>
      </c>
      <c r="L166" t="s">
        <v>901</v>
      </c>
      <c r="N166" t="s">
        <v>902</v>
      </c>
      <c r="O166" t="s">
        <v>121</v>
      </c>
      <c r="P166" t="s">
        <v>138</v>
      </c>
      <c r="R166" t="s">
        <v>171</v>
      </c>
      <c r="S166" t="s">
        <v>189</v>
      </c>
      <c r="T166" t="s">
        <v>163</v>
      </c>
      <c r="U166" t="s">
        <v>142</v>
      </c>
      <c r="V166" t="s">
        <v>143</v>
      </c>
      <c r="W166" t="s">
        <v>67</v>
      </c>
      <c r="X166" t="s">
        <v>144</v>
      </c>
      <c r="Y166">
        <v>0</v>
      </c>
      <c r="AA166" t="s">
        <v>894</v>
      </c>
      <c r="BN166">
        <v>0</v>
      </c>
    </row>
    <row r="167" spans="1:92" x14ac:dyDescent="0.2">
      <c r="A167" t="s">
        <v>111</v>
      </c>
      <c r="B167" t="b">
        <v>1</v>
      </c>
      <c r="E167">
        <v>173</v>
      </c>
      <c r="F167" t="str">
        <f>HYPERLINK("https://portal.dnb.de/opac.htm?method=simpleSearch&amp;cqlMode=true&amp;query=idn%3D1066968438", "Portal")</f>
        <v>Portal</v>
      </c>
      <c r="G167" t="s">
        <v>133</v>
      </c>
      <c r="H167" t="s">
        <v>903</v>
      </c>
      <c r="I167" t="s">
        <v>904</v>
      </c>
      <c r="J167" t="s">
        <v>905</v>
      </c>
      <c r="K167" t="s">
        <v>905</v>
      </c>
      <c r="L167" t="s">
        <v>905</v>
      </c>
      <c r="N167" t="s">
        <v>906</v>
      </c>
      <c r="O167" t="s">
        <v>121</v>
      </c>
      <c r="P167" t="s">
        <v>138</v>
      </c>
      <c r="R167" t="s">
        <v>517</v>
      </c>
      <c r="S167" t="s">
        <v>189</v>
      </c>
      <c r="T167" t="s">
        <v>141</v>
      </c>
      <c r="U167" t="s">
        <v>243</v>
      </c>
      <c r="V167" t="s">
        <v>143</v>
      </c>
      <c r="W167" t="s">
        <v>67</v>
      </c>
      <c r="X167" t="s">
        <v>144</v>
      </c>
      <c r="Y167">
        <v>0</v>
      </c>
      <c r="BN167">
        <v>0</v>
      </c>
    </row>
    <row r="168" spans="1:92" x14ac:dyDescent="0.2">
      <c r="A168" t="s">
        <v>111</v>
      </c>
      <c r="B168" t="b">
        <v>1</v>
      </c>
      <c r="E168">
        <v>174</v>
      </c>
      <c r="F168" t="str">
        <f>HYPERLINK("https://portal.dnb.de/opac.htm?method=simpleSearch&amp;cqlMode=true&amp;query=idn%3D1066968748", "Portal")</f>
        <v>Portal</v>
      </c>
      <c r="G168" t="s">
        <v>133</v>
      </c>
      <c r="H168" t="s">
        <v>907</v>
      </c>
      <c r="I168" t="s">
        <v>908</v>
      </c>
      <c r="J168" t="s">
        <v>909</v>
      </c>
      <c r="K168" t="s">
        <v>909</v>
      </c>
      <c r="L168" t="s">
        <v>909</v>
      </c>
      <c r="N168" t="s">
        <v>910</v>
      </c>
      <c r="O168" t="s">
        <v>121</v>
      </c>
      <c r="P168" t="s">
        <v>138</v>
      </c>
      <c r="R168" t="s">
        <v>207</v>
      </c>
      <c r="S168" t="s">
        <v>189</v>
      </c>
      <c r="U168" t="s">
        <v>243</v>
      </c>
      <c r="V168" t="s">
        <v>143</v>
      </c>
      <c r="W168" t="s">
        <v>67</v>
      </c>
      <c r="X168" t="s">
        <v>144</v>
      </c>
      <c r="Y168">
        <v>1</v>
      </c>
      <c r="BN168">
        <v>0</v>
      </c>
    </row>
    <row r="169" spans="1:92" x14ac:dyDescent="0.2">
      <c r="A169" t="s">
        <v>111</v>
      </c>
      <c r="B169" t="b">
        <v>1</v>
      </c>
      <c r="C169" t="s">
        <v>146</v>
      </c>
      <c r="E169">
        <v>175</v>
      </c>
      <c r="F169" t="str">
        <f>HYPERLINK("https://portal.dnb.de/opac.htm?method=simpleSearch&amp;cqlMode=true&amp;query=idn%3D1072494108", "Portal")</f>
        <v>Portal</v>
      </c>
      <c r="G169" t="s">
        <v>539</v>
      </c>
      <c r="H169" t="s">
        <v>911</v>
      </c>
      <c r="I169" t="s">
        <v>912</v>
      </c>
      <c r="J169" t="s">
        <v>913</v>
      </c>
      <c r="K169" t="s">
        <v>913</v>
      </c>
      <c r="L169" t="s">
        <v>913</v>
      </c>
      <c r="N169" t="s">
        <v>914</v>
      </c>
      <c r="O169" t="s">
        <v>915</v>
      </c>
      <c r="P169" t="s">
        <v>138</v>
      </c>
      <c r="Q169" t="s">
        <v>916</v>
      </c>
      <c r="R169" t="s">
        <v>180</v>
      </c>
      <c r="S169" t="s">
        <v>140</v>
      </c>
      <c r="AI169" t="s">
        <v>182</v>
      </c>
      <c r="AK169" t="s">
        <v>146</v>
      </c>
      <c r="AM169" t="s">
        <v>147</v>
      </c>
      <c r="AS169" t="s">
        <v>148</v>
      </c>
      <c r="BC169" t="s">
        <v>166</v>
      </c>
      <c r="BD169" t="s">
        <v>146</v>
      </c>
      <c r="BG169">
        <v>0</v>
      </c>
      <c r="BH169" t="s">
        <v>917</v>
      </c>
      <c r="BM169" t="s">
        <v>918</v>
      </c>
      <c r="BN169">
        <v>2</v>
      </c>
      <c r="BP169" t="s">
        <v>152</v>
      </c>
      <c r="BZ169" t="s">
        <v>146</v>
      </c>
      <c r="CA169" t="s">
        <v>146</v>
      </c>
      <c r="CB169" t="s">
        <v>146</v>
      </c>
      <c r="CD169" t="s">
        <v>202</v>
      </c>
      <c r="CM169">
        <v>2</v>
      </c>
      <c r="CN169" t="s">
        <v>919</v>
      </c>
    </row>
    <row r="170" spans="1:92" x14ac:dyDescent="0.2">
      <c r="A170" t="s">
        <v>111</v>
      </c>
      <c r="B170" t="b">
        <v>1</v>
      </c>
      <c r="E170">
        <v>176</v>
      </c>
      <c r="F170" t="str">
        <f>HYPERLINK("https://portal.dnb.de/opac.htm?method=simpleSearch&amp;cqlMode=true&amp;query=idn%3D107249423X", "Portal")</f>
        <v>Portal</v>
      </c>
      <c r="G170" t="s">
        <v>539</v>
      </c>
      <c r="H170" t="s">
        <v>920</v>
      </c>
      <c r="I170" t="s">
        <v>921</v>
      </c>
      <c r="J170" t="s">
        <v>922</v>
      </c>
      <c r="K170" t="s">
        <v>922</v>
      </c>
      <c r="L170" t="s">
        <v>922</v>
      </c>
      <c r="N170" t="s">
        <v>914</v>
      </c>
      <c r="O170" t="s">
        <v>923</v>
      </c>
      <c r="P170" t="s">
        <v>138</v>
      </c>
      <c r="R170" t="s">
        <v>161</v>
      </c>
      <c r="S170" t="s">
        <v>140</v>
      </c>
      <c r="T170" t="s">
        <v>141</v>
      </c>
      <c r="U170" t="s">
        <v>142</v>
      </c>
      <c r="V170" t="s">
        <v>143</v>
      </c>
      <c r="W170" t="s">
        <v>67</v>
      </c>
      <c r="X170" t="s">
        <v>144</v>
      </c>
      <c r="Y170">
        <v>0</v>
      </c>
      <c r="BN170">
        <v>0</v>
      </c>
    </row>
    <row r="171" spans="1:92" x14ac:dyDescent="0.2">
      <c r="A171" t="s">
        <v>111</v>
      </c>
      <c r="B171" t="b">
        <v>1</v>
      </c>
      <c r="E171">
        <v>177</v>
      </c>
      <c r="F171" t="str">
        <f>HYPERLINK("https://portal.dnb.de/opac.htm?method=simpleSearch&amp;cqlMode=true&amp;query=idn%3D1066971226", "Portal")</f>
        <v>Portal</v>
      </c>
      <c r="G171" t="s">
        <v>133</v>
      </c>
      <c r="H171" t="s">
        <v>924</v>
      </c>
      <c r="I171" t="s">
        <v>925</v>
      </c>
      <c r="J171" t="s">
        <v>926</v>
      </c>
      <c r="K171" t="s">
        <v>926</v>
      </c>
      <c r="L171" t="s">
        <v>926</v>
      </c>
      <c r="N171" t="s">
        <v>927</v>
      </c>
      <c r="O171" t="s">
        <v>121</v>
      </c>
      <c r="P171" t="s">
        <v>138</v>
      </c>
      <c r="R171" t="s">
        <v>517</v>
      </c>
      <c r="S171" t="s">
        <v>189</v>
      </c>
      <c r="T171" t="s">
        <v>141</v>
      </c>
      <c r="U171" t="s">
        <v>928</v>
      </c>
      <c r="V171" t="s">
        <v>143</v>
      </c>
      <c r="W171" t="s">
        <v>67</v>
      </c>
      <c r="X171" t="s">
        <v>144</v>
      </c>
      <c r="Y171">
        <v>2</v>
      </c>
      <c r="BN171">
        <v>0</v>
      </c>
    </row>
    <row r="172" spans="1:92" x14ac:dyDescent="0.2">
      <c r="A172" t="s">
        <v>111</v>
      </c>
      <c r="B172" t="b">
        <v>1</v>
      </c>
      <c r="E172">
        <v>178</v>
      </c>
      <c r="F172" t="str">
        <f>HYPERLINK("https://portal.dnb.de/opac.htm?method=simpleSearch&amp;cqlMode=true&amp;query=idn%3D107955310X", "Portal")</f>
        <v>Portal</v>
      </c>
      <c r="G172" t="s">
        <v>218</v>
      </c>
      <c r="H172" t="s">
        <v>929</v>
      </c>
      <c r="I172" t="s">
        <v>930</v>
      </c>
      <c r="J172" t="s">
        <v>931</v>
      </c>
      <c r="K172" t="s">
        <v>931</v>
      </c>
      <c r="L172" t="s">
        <v>931</v>
      </c>
      <c r="N172" t="s">
        <v>932</v>
      </c>
      <c r="O172" t="s">
        <v>121</v>
      </c>
      <c r="P172" t="s">
        <v>138</v>
      </c>
      <c r="R172" t="s">
        <v>517</v>
      </c>
      <c r="S172" t="s">
        <v>189</v>
      </c>
      <c r="T172" t="s">
        <v>163</v>
      </c>
      <c r="U172" t="s">
        <v>142</v>
      </c>
      <c r="V172" t="s">
        <v>143</v>
      </c>
      <c r="W172" t="s">
        <v>67</v>
      </c>
      <c r="X172" t="s">
        <v>144</v>
      </c>
      <c r="Y172">
        <v>1</v>
      </c>
      <c r="BN172">
        <v>0</v>
      </c>
    </row>
    <row r="173" spans="1:92" x14ac:dyDescent="0.2">
      <c r="A173" t="s">
        <v>111</v>
      </c>
      <c r="B173" t="b">
        <v>1</v>
      </c>
      <c r="C173" t="s">
        <v>146</v>
      </c>
      <c r="E173">
        <v>179</v>
      </c>
      <c r="F173" t="str">
        <f>HYPERLINK("https://portal.dnb.de/opac.htm?method=simpleSearch&amp;cqlMode=true&amp;query=idn%3D1066965021", "Portal")</f>
        <v>Portal</v>
      </c>
      <c r="G173" t="s">
        <v>115</v>
      </c>
      <c r="H173" t="s">
        <v>933</v>
      </c>
      <c r="I173" t="s">
        <v>934</v>
      </c>
      <c r="J173" t="s">
        <v>935</v>
      </c>
      <c r="K173" t="s">
        <v>935</v>
      </c>
      <c r="L173" t="s">
        <v>935</v>
      </c>
      <c r="N173" t="s">
        <v>936</v>
      </c>
      <c r="O173" t="s">
        <v>121</v>
      </c>
      <c r="Q173" t="s">
        <v>937</v>
      </c>
      <c r="R173" t="s">
        <v>180</v>
      </c>
      <c r="S173" t="s">
        <v>189</v>
      </c>
      <c r="T173" t="s">
        <v>163</v>
      </c>
      <c r="U173" t="s">
        <v>164</v>
      </c>
      <c r="V173" t="s">
        <v>143</v>
      </c>
      <c r="W173" t="s">
        <v>67</v>
      </c>
      <c r="X173" t="s">
        <v>144</v>
      </c>
      <c r="Y173">
        <v>1</v>
      </c>
      <c r="AI173" t="s">
        <v>145</v>
      </c>
      <c r="AM173" t="s">
        <v>313</v>
      </c>
      <c r="AS173" t="s">
        <v>148</v>
      </c>
      <c r="BC173" t="s">
        <v>669</v>
      </c>
      <c r="BD173" t="s">
        <v>146</v>
      </c>
      <c r="BG173">
        <v>45</v>
      </c>
      <c r="BM173" t="s">
        <v>213</v>
      </c>
      <c r="BN173">
        <v>1</v>
      </c>
      <c r="BP173" t="s">
        <v>152</v>
      </c>
      <c r="BZ173" t="s">
        <v>146</v>
      </c>
      <c r="CA173" t="s">
        <v>146</v>
      </c>
      <c r="CB173" t="s">
        <v>146</v>
      </c>
      <c r="CM173">
        <v>1</v>
      </c>
      <c r="CN173" t="s">
        <v>938</v>
      </c>
    </row>
    <row r="174" spans="1:92" x14ac:dyDescent="0.2">
      <c r="A174" t="s">
        <v>111</v>
      </c>
      <c r="B174" t="b">
        <v>1</v>
      </c>
      <c r="E174">
        <v>180</v>
      </c>
      <c r="F174" t="str">
        <f>HYPERLINK("https://portal.dnb.de/opac.htm?method=simpleSearch&amp;cqlMode=true&amp;query=idn%3D106696839X", "Portal")</f>
        <v>Portal</v>
      </c>
      <c r="G174" t="s">
        <v>133</v>
      </c>
      <c r="H174" t="s">
        <v>939</v>
      </c>
      <c r="I174" t="s">
        <v>940</v>
      </c>
      <c r="J174" t="s">
        <v>941</v>
      </c>
      <c r="K174" t="s">
        <v>941</v>
      </c>
      <c r="L174" t="s">
        <v>941</v>
      </c>
      <c r="N174" t="s">
        <v>942</v>
      </c>
      <c r="O174" t="s">
        <v>121</v>
      </c>
      <c r="P174" t="s">
        <v>138</v>
      </c>
      <c r="R174" t="s">
        <v>161</v>
      </c>
      <c r="S174" t="s">
        <v>140</v>
      </c>
      <c r="T174" t="s">
        <v>141</v>
      </c>
      <c r="U174" t="s">
        <v>172</v>
      </c>
      <c r="W174" t="s">
        <v>67</v>
      </c>
      <c r="X174" t="s">
        <v>144</v>
      </c>
      <c r="Y174">
        <v>1</v>
      </c>
      <c r="BN174">
        <v>0</v>
      </c>
    </row>
    <row r="175" spans="1:92" x14ac:dyDescent="0.2">
      <c r="A175" t="s">
        <v>111</v>
      </c>
      <c r="B175" t="b">
        <v>1</v>
      </c>
      <c r="F175" t="str">
        <f>HYPERLINK("https://portal.dnb.de/opac.htm?method=simpleSearch&amp;cqlMode=true&amp;query=idn%3D1268960594", "Portal")</f>
        <v>Portal</v>
      </c>
      <c r="G175" t="s">
        <v>300</v>
      </c>
      <c r="H175" t="s">
        <v>943</v>
      </c>
      <c r="I175" t="s">
        <v>944</v>
      </c>
      <c r="J175" t="s">
        <v>945</v>
      </c>
      <c r="K175" t="s">
        <v>945</v>
      </c>
      <c r="L175" t="s">
        <v>945</v>
      </c>
      <c r="N175" t="s">
        <v>946</v>
      </c>
      <c r="O175" t="s">
        <v>121</v>
      </c>
      <c r="P175" t="s">
        <v>138</v>
      </c>
      <c r="R175" t="s">
        <v>161</v>
      </c>
      <c r="S175" t="s">
        <v>140</v>
      </c>
      <c r="T175" t="s">
        <v>141</v>
      </c>
      <c r="U175" t="s">
        <v>243</v>
      </c>
      <c r="V175" t="s">
        <v>143</v>
      </c>
      <c r="W175" t="s">
        <v>67</v>
      </c>
      <c r="X175" t="s">
        <v>144</v>
      </c>
      <c r="Y175">
        <v>0</v>
      </c>
      <c r="BN175">
        <v>0</v>
      </c>
    </row>
    <row r="176" spans="1:92" x14ac:dyDescent="0.2">
      <c r="A176" t="s">
        <v>111</v>
      </c>
      <c r="B176" t="b">
        <v>1</v>
      </c>
      <c r="C176" t="s">
        <v>146</v>
      </c>
      <c r="E176">
        <v>182</v>
      </c>
      <c r="F176" t="str">
        <f>HYPERLINK("https://portal.dnb.de/opac.htm?method=simpleSearch&amp;cqlMode=true&amp;query=idn%3D1066972451", "Portal")</f>
        <v>Portal</v>
      </c>
      <c r="G176" t="s">
        <v>133</v>
      </c>
      <c r="H176" t="s">
        <v>947</v>
      </c>
      <c r="I176" t="s">
        <v>948</v>
      </c>
      <c r="J176" t="s">
        <v>949</v>
      </c>
      <c r="K176" t="s">
        <v>949</v>
      </c>
      <c r="L176" t="s">
        <v>949</v>
      </c>
      <c r="N176" t="s">
        <v>950</v>
      </c>
      <c r="O176" t="s">
        <v>121</v>
      </c>
      <c r="P176" t="s">
        <v>138</v>
      </c>
      <c r="Q176" t="s">
        <v>951</v>
      </c>
      <c r="R176" t="s">
        <v>161</v>
      </c>
      <c r="S176" t="s">
        <v>189</v>
      </c>
      <c r="T176" t="s">
        <v>141</v>
      </c>
      <c r="U176" t="s">
        <v>172</v>
      </c>
      <c r="W176" t="s">
        <v>67</v>
      </c>
      <c r="X176" t="s">
        <v>144</v>
      </c>
      <c r="Y176">
        <v>1</v>
      </c>
      <c r="AI176" t="s">
        <v>518</v>
      </c>
      <c r="AK176" t="s">
        <v>146</v>
      </c>
      <c r="AM176" t="s">
        <v>147</v>
      </c>
      <c r="AS176" t="s">
        <v>148</v>
      </c>
      <c r="AT176" t="s">
        <v>146</v>
      </c>
      <c r="BG176" t="s">
        <v>150</v>
      </c>
      <c r="BM176" t="s">
        <v>213</v>
      </c>
      <c r="BN176">
        <v>0.5</v>
      </c>
      <c r="BP176" t="s">
        <v>152</v>
      </c>
      <c r="BZ176" t="s">
        <v>146</v>
      </c>
      <c r="CA176" t="s">
        <v>146</v>
      </c>
      <c r="CB176" t="s">
        <v>146</v>
      </c>
      <c r="CD176" t="s">
        <v>202</v>
      </c>
      <c r="CF176" t="s">
        <v>146</v>
      </c>
      <c r="CM176">
        <v>0.5</v>
      </c>
      <c r="CN176" t="s">
        <v>952</v>
      </c>
    </row>
    <row r="177" spans="1:110" x14ac:dyDescent="0.2">
      <c r="A177" t="s">
        <v>111</v>
      </c>
      <c r="B177" t="b">
        <v>1</v>
      </c>
      <c r="E177">
        <v>183</v>
      </c>
      <c r="F177" t="str">
        <f>HYPERLINK("https://portal.dnb.de/opac.htm?method=simpleSearch&amp;cqlMode=true&amp;query=idn%3D1066968047", "Portal")</f>
        <v>Portal</v>
      </c>
      <c r="G177" t="s">
        <v>133</v>
      </c>
      <c r="H177" t="s">
        <v>953</v>
      </c>
      <c r="I177" t="s">
        <v>954</v>
      </c>
      <c r="J177" t="s">
        <v>955</v>
      </c>
      <c r="K177" t="s">
        <v>955</v>
      </c>
      <c r="L177" t="s">
        <v>955</v>
      </c>
      <c r="N177" t="s">
        <v>956</v>
      </c>
      <c r="O177" t="s">
        <v>121</v>
      </c>
      <c r="P177" t="s">
        <v>138</v>
      </c>
      <c r="R177" t="s">
        <v>517</v>
      </c>
      <c r="S177" t="s">
        <v>189</v>
      </c>
      <c r="T177" t="s">
        <v>141</v>
      </c>
      <c r="U177" t="s">
        <v>381</v>
      </c>
      <c r="V177" t="s">
        <v>143</v>
      </c>
      <c r="W177" t="s">
        <v>67</v>
      </c>
      <c r="X177" t="s">
        <v>144</v>
      </c>
      <c r="Y177">
        <v>2</v>
      </c>
      <c r="BN177">
        <v>0</v>
      </c>
    </row>
    <row r="178" spans="1:110" x14ac:dyDescent="0.2">
      <c r="A178" t="s">
        <v>111</v>
      </c>
      <c r="B178" t="b">
        <v>1</v>
      </c>
      <c r="E178">
        <v>184</v>
      </c>
      <c r="F178" t="str">
        <f>HYPERLINK("https://portal.dnb.de/opac.htm?method=simpleSearch&amp;cqlMode=true&amp;query=idn%3D1066969035", "Portal")</f>
        <v>Portal</v>
      </c>
      <c r="G178" t="s">
        <v>133</v>
      </c>
      <c r="H178" t="s">
        <v>957</v>
      </c>
      <c r="I178" t="s">
        <v>958</v>
      </c>
      <c r="J178" t="s">
        <v>959</v>
      </c>
      <c r="K178" t="s">
        <v>959</v>
      </c>
      <c r="L178" t="s">
        <v>959</v>
      </c>
      <c r="N178" t="s">
        <v>960</v>
      </c>
      <c r="O178" t="s">
        <v>121</v>
      </c>
      <c r="P178" t="s">
        <v>138</v>
      </c>
      <c r="R178" t="s">
        <v>961</v>
      </c>
      <c r="S178" t="s">
        <v>189</v>
      </c>
      <c r="T178" t="s">
        <v>141</v>
      </c>
      <c r="U178" t="s">
        <v>381</v>
      </c>
      <c r="V178" t="s">
        <v>143</v>
      </c>
      <c r="W178" t="s">
        <v>67</v>
      </c>
      <c r="X178" t="s">
        <v>144</v>
      </c>
      <c r="Y178">
        <v>0</v>
      </c>
      <c r="BN178">
        <v>0</v>
      </c>
    </row>
    <row r="179" spans="1:110" x14ac:dyDescent="0.2">
      <c r="A179" t="s">
        <v>111</v>
      </c>
      <c r="B179" t="b">
        <v>1</v>
      </c>
      <c r="E179">
        <v>185</v>
      </c>
      <c r="F179" t="str">
        <f>HYPERLINK("https://portal.dnb.de/opac.htm?method=simpleSearch&amp;cqlMode=true&amp;query=idn%3D1066973369", "Portal")</f>
        <v>Portal</v>
      </c>
      <c r="G179" t="s">
        <v>133</v>
      </c>
      <c r="H179" t="s">
        <v>962</v>
      </c>
      <c r="I179" t="s">
        <v>963</v>
      </c>
      <c r="J179" t="s">
        <v>964</v>
      </c>
      <c r="K179" t="s">
        <v>964</v>
      </c>
      <c r="L179" t="s">
        <v>964</v>
      </c>
      <c r="N179" t="s">
        <v>965</v>
      </c>
      <c r="O179" t="s">
        <v>121</v>
      </c>
      <c r="P179" t="s">
        <v>138</v>
      </c>
      <c r="R179" t="s">
        <v>180</v>
      </c>
      <c r="S179" t="s">
        <v>189</v>
      </c>
      <c r="T179" t="s">
        <v>163</v>
      </c>
      <c r="U179" t="s">
        <v>243</v>
      </c>
      <c r="V179" t="s">
        <v>143</v>
      </c>
      <c r="W179" t="s">
        <v>67</v>
      </c>
      <c r="X179" t="s">
        <v>144</v>
      </c>
      <c r="Y179">
        <v>0</v>
      </c>
      <c r="BN179">
        <v>0</v>
      </c>
    </row>
    <row r="180" spans="1:110" x14ac:dyDescent="0.2">
      <c r="A180" t="s">
        <v>111</v>
      </c>
      <c r="B180" t="b">
        <v>1</v>
      </c>
      <c r="E180">
        <v>186</v>
      </c>
      <c r="F180" t="str">
        <f>HYPERLINK("https://portal.dnb.de/opac.htm?method=simpleSearch&amp;cqlMode=true&amp;query=idn%3D1066965889", "Portal")</f>
        <v>Portal</v>
      </c>
      <c r="G180" t="s">
        <v>133</v>
      </c>
      <c r="H180" t="s">
        <v>966</v>
      </c>
      <c r="I180" t="s">
        <v>967</v>
      </c>
      <c r="J180" t="s">
        <v>968</v>
      </c>
      <c r="K180" t="s">
        <v>968</v>
      </c>
      <c r="L180" t="s">
        <v>968</v>
      </c>
      <c r="N180" t="s">
        <v>969</v>
      </c>
      <c r="O180" t="s">
        <v>121</v>
      </c>
      <c r="P180" t="s">
        <v>138</v>
      </c>
      <c r="R180" t="s">
        <v>517</v>
      </c>
      <c r="S180" t="s">
        <v>189</v>
      </c>
      <c r="T180" t="s">
        <v>141</v>
      </c>
      <c r="U180" t="s">
        <v>164</v>
      </c>
      <c r="V180" t="s">
        <v>143</v>
      </c>
      <c r="W180" t="s">
        <v>67</v>
      </c>
      <c r="X180" t="s">
        <v>144</v>
      </c>
      <c r="Y180">
        <v>2</v>
      </c>
      <c r="BN180">
        <v>0</v>
      </c>
    </row>
    <row r="181" spans="1:110" x14ac:dyDescent="0.2">
      <c r="A181" t="s">
        <v>111</v>
      </c>
      <c r="B181" t="b">
        <v>1</v>
      </c>
      <c r="E181">
        <v>187</v>
      </c>
      <c r="F181" t="str">
        <f>HYPERLINK("https://portal.dnb.de/opac.htm?method=simpleSearch&amp;cqlMode=true&amp;query=idn%3D1066965048", "Portal")</f>
        <v>Portal</v>
      </c>
      <c r="G181" t="s">
        <v>133</v>
      </c>
      <c r="H181" t="s">
        <v>970</v>
      </c>
      <c r="I181" t="s">
        <v>971</v>
      </c>
      <c r="J181" t="s">
        <v>972</v>
      </c>
      <c r="K181" t="s">
        <v>972</v>
      </c>
      <c r="L181" t="s">
        <v>972</v>
      </c>
      <c r="N181" t="s">
        <v>973</v>
      </c>
      <c r="O181" t="s">
        <v>121</v>
      </c>
      <c r="P181" t="s">
        <v>138</v>
      </c>
      <c r="R181" t="s">
        <v>161</v>
      </c>
      <c r="S181" t="s">
        <v>140</v>
      </c>
      <c r="T181" t="s">
        <v>141</v>
      </c>
      <c r="U181" t="s">
        <v>142</v>
      </c>
      <c r="V181" t="s">
        <v>143</v>
      </c>
      <c r="W181" t="s">
        <v>67</v>
      </c>
      <c r="X181" t="s">
        <v>144</v>
      </c>
      <c r="Y181">
        <v>1</v>
      </c>
      <c r="BN181">
        <v>0</v>
      </c>
    </row>
    <row r="182" spans="1:110" x14ac:dyDescent="0.2">
      <c r="A182" t="s">
        <v>111</v>
      </c>
      <c r="B182" t="b">
        <v>1</v>
      </c>
      <c r="E182">
        <v>188</v>
      </c>
      <c r="F182" t="str">
        <f>HYPERLINK("https://portal.dnb.de/opac.htm?method=simpleSearch&amp;cqlMode=true&amp;query=idn%3D1066968950", "Portal")</f>
        <v>Portal</v>
      </c>
      <c r="G182" t="s">
        <v>133</v>
      </c>
      <c r="H182" t="s">
        <v>974</v>
      </c>
      <c r="I182" t="s">
        <v>975</v>
      </c>
      <c r="J182" t="s">
        <v>976</v>
      </c>
      <c r="K182" t="s">
        <v>976</v>
      </c>
      <c r="L182" t="s">
        <v>976</v>
      </c>
      <c r="N182" t="s">
        <v>977</v>
      </c>
      <c r="O182" t="s">
        <v>121</v>
      </c>
      <c r="R182" t="s">
        <v>171</v>
      </c>
      <c r="S182" t="s">
        <v>140</v>
      </c>
      <c r="T182" t="s">
        <v>141</v>
      </c>
      <c r="U182" t="s">
        <v>978</v>
      </c>
      <c r="V182" t="s">
        <v>143</v>
      </c>
      <c r="W182" t="s">
        <v>68</v>
      </c>
      <c r="X182" t="s">
        <v>144</v>
      </c>
      <c r="Y182">
        <v>0</v>
      </c>
      <c r="BN182">
        <v>0</v>
      </c>
    </row>
    <row r="183" spans="1:110" x14ac:dyDescent="0.2">
      <c r="A183" t="s">
        <v>111</v>
      </c>
      <c r="B183" t="b">
        <v>1</v>
      </c>
      <c r="C183" t="s">
        <v>146</v>
      </c>
      <c r="E183">
        <v>189</v>
      </c>
      <c r="F183" t="str">
        <f>HYPERLINK("https://portal.dnb.de/opac.htm?method=simpleSearch&amp;cqlMode=true&amp;query=idn%3D1066972508", "Portal")</f>
        <v>Portal</v>
      </c>
      <c r="G183" t="s">
        <v>133</v>
      </c>
      <c r="H183" t="s">
        <v>979</v>
      </c>
      <c r="I183" t="s">
        <v>980</v>
      </c>
      <c r="J183" t="s">
        <v>981</v>
      </c>
      <c r="K183" t="s">
        <v>981</v>
      </c>
      <c r="L183" t="s">
        <v>981</v>
      </c>
      <c r="N183" t="s">
        <v>982</v>
      </c>
      <c r="O183" t="s">
        <v>121</v>
      </c>
      <c r="Q183" t="s">
        <v>659</v>
      </c>
      <c r="R183" t="s">
        <v>180</v>
      </c>
      <c r="S183" t="s">
        <v>140</v>
      </c>
      <c r="T183" t="s">
        <v>471</v>
      </c>
      <c r="U183" t="s">
        <v>660</v>
      </c>
      <c r="V183" t="s">
        <v>143</v>
      </c>
      <c r="W183" t="s">
        <v>67</v>
      </c>
      <c r="X183" t="s">
        <v>144</v>
      </c>
      <c r="Y183">
        <v>1</v>
      </c>
      <c r="AG183">
        <v>12</v>
      </c>
      <c r="AI183" t="s">
        <v>182</v>
      </c>
      <c r="AK183" t="s">
        <v>146</v>
      </c>
      <c r="AM183" t="s">
        <v>313</v>
      </c>
      <c r="AS183" t="s">
        <v>148</v>
      </c>
      <c r="AW183" t="s">
        <v>245</v>
      </c>
      <c r="BC183" t="s">
        <v>166</v>
      </c>
      <c r="BD183" t="s">
        <v>146</v>
      </c>
      <c r="BG183" t="s">
        <v>983</v>
      </c>
      <c r="BM183" t="s">
        <v>213</v>
      </c>
      <c r="BN183">
        <v>0.5</v>
      </c>
      <c r="BP183" t="s">
        <v>152</v>
      </c>
      <c r="CB183" t="s">
        <v>146</v>
      </c>
      <c r="CM183">
        <v>0.5</v>
      </c>
    </row>
    <row r="184" spans="1:110" x14ac:dyDescent="0.2">
      <c r="A184" t="s">
        <v>111</v>
      </c>
      <c r="B184" t="b">
        <v>1</v>
      </c>
      <c r="C184" t="s">
        <v>146</v>
      </c>
      <c r="E184">
        <v>190</v>
      </c>
      <c r="F184" t="str">
        <f>HYPERLINK("https://portal.dnb.de/opac.htm?method=simpleSearch&amp;cqlMode=true&amp;query=idn%3D1066972508", "Portal")</f>
        <v>Portal</v>
      </c>
      <c r="G184" t="s">
        <v>133</v>
      </c>
      <c r="H184" t="s">
        <v>984</v>
      </c>
      <c r="I184" t="s">
        <v>980</v>
      </c>
      <c r="J184" t="s">
        <v>985</v>
      </c>
      <c r="K184" t="s">
        <v>985</v>
      </c>
      <c r="L184" t="s">
        <v>985</v>
      </c>
      <c r="N184" t="s">
        <v>982</v>
      </c>
      <c r="O184" t="s">
        <v>121</v>
      </c>
      <c r="P184" t="s">
        <v>138</v>
      </c>
      <c r="Q184" t="s">
        <v>659</v>
      </c>
      <c r="R184" t="s">
        <v>180</v>
      </c>
      <c r="S184" t="s">
        <v>140</v>
      </c>
      <c r="T184" t="s">
        <v>471</v>
      </c>
      <c r="U184" t="s">
        <v>986</v>
      </c>
      <c r="V184" t="s">
        <v>143</v>
      </c>
      <c r="W184" t="s">
        <v>67</v>
      </c>
      <c r="X184" t="s">
        <v>987</v>
      </c>
      <c r="Y184">
        <v>0</v>
      </c>
      <c r="AG184">
        <v>13</v>
      </c>
      <c r="AI184" t="s">
        <v>182</v>
      </c>
      <c r="AL184" t="s">
        <v>146</v>
      </c>
      <c r="AM184" t="s">
        <v>266</v>
      </c>
      <c r="AS184" t="s">
        <v>148</v>
      </c>
      <c r="AU184" t="s">
        <v>146</v>
      </c>
      <c r="AW184" t="s">
        <v>245</v>
      </c>
      <c r="BC184" t="s">
        <v>166</v>
      </c>
      <c r="BD184" t="s">
        <v>146</v>
      </c>
      <c r="BE184">
        <v>0</v>
      </c>
      <c r="BG184">
        <v>45</v>
      </c>
      <c r="BM184" t="s">
        <v>213</v>
      </c>
      <c r="BN184">
        <v>0.5</v>
      </c>
      <c r="BP184" t="s">
        <v>278</v>
      </c>
      <c r="DD184" t="s">
        <v>146</v>
      </c>
      <c r="DF184">
        <v>0.5</v>
      </c>
    </row>
    <row r="185" spans="1:110" x14ac:dyDescent="0.2">
      <c r="A185" t="s">
        <v>111</v>
      </c>
      <c r="B185" t="b">
        <v>1</v>
      </c>
      <c r="E185">
        <v>191</v>
      </c>
      <c r="F185" t="str">
        <f>HYPERLINK("https://portal.dnb.de/opac.htm?method=simpleSearch&amp;cqlMode=true&amp;query=idn%3D1066873151", "Portal")</f>
        <v>Portal</v>
      </c>
      <c r="G185" t="s">
        <v>115</v>
      </c>
      <c r="H185" t="s">
        <v>988</v>
      </c>
      <c r="I185" t="s">
        <v>989</v>
      </c>
      <c r="J185" t="s">
        <v>990</v>
      </c>
      <c r="K185" t="s">
        <v>990</v>
      </c>
      <c r="L185" t="s">
        <v>990</v>
      </c>
      <c r="N185" t="s">
        <v>991</v>
      </c>
      <c r="O185" t="s">
        <v>121</v>
      </c>
      <c r="P185" t="s">
        <v>138</v>
      </c>
      <c r="R185" t="s">
        <v>161</v>
      </c>
      <c r="S185" t="s">
        <v>140</v>
      </c>
      <c r="T185" t="s">
        <v>141</v>
      </c>
      <c r="U185" t="s">
        <v>164</v>
      </c>
      <c r="V185" t="s">
        <v>143</v>
      </c>
      <c r="W185" t="s">
        <v>67</v>
      </c>
      <c r="X185" t="s">
        <v>144</v>
      </c>
      <c r="Y185">
        <v>2</v>
      </c>
      <c r="BN185">
        <v>0</v>
      </c>
    </row>
    <row r="186" spans="1:110" x14ac:dyDescent="0.2">
      <c r="A186" t="s">
        <v>111</v>
      </c>
      <c r="B186" t="b">
        <v>1</v>
      </c>
      <c r="E186">
        <v>192</v>
      </c>
      <c r="F186" t="str">
        <f>HYPERLINK("https://portal.dnb.de/opac.htm?method=simpleSearch&amp;cqlMode=true&amp;query=idn%3D1072055228", "Portal")</f>
        <v>Portal</v>
      </c>
      <c r="G186" t="s">
        <v>115</v>
      </c>
      <c r="H186" t="s">
        <v>992</v>
      </c>
      <c r="I186" t="s">
        <v>993</v>
      </c>
      <c r="J186" t="s">
        <v>994</v>
      </c>
      <c r="K186" t="s">
        <v>994</v>
      </c>
      <c r="L186" t="s">
        <v>994</v>
      </c>
      <c r="N186" t="s">
        <v>428</v>
      </c>
      <c r="O186" t="s">
        <v>121</v>
      </c>
      <c r="P186" t="s">
        <v>138</v>
      </c>
      <c r="R186" t="s">
        <v>180</v>
      </c>
      <c r="S186" t="s">
        <v>140</v>
      </c>
      <c r="T186" t="s">
        <v>163</v>
      </c>
      <c r="W186" t="s">
        <v>67</v>
      </c>
      <c r="X186" t="s">
        <v>144</v>
      </c>
      <c r="Y186">
        <v>0</v>
      </c>
      <c r="AA186" t="s">
        <v>416</v>
      </c>
      <c r="BN186">
        <v>0</v>
      </c>
    </row>
    <row r="187" spans="1:110" x14ac:dyDescent="0.2">
      <c r="A187" t="s">
        <v>111</v>
      </c>
      <c r="B187" t="b">
        <v>1</v>
      </c>
      <c r="F187" t="str">
        <f>HYPERLINK("https://portal.dnb.de/opac.htm?method=simpleSearch&amp;cqlMode=true&amp;query=idn%3D1272205118", "Portal")</f>
        <v>Portal</v>
      </c>
      <c r="G187" t="s">
        <v>300</v>
      </c>
      <c r="H187" t="s">
        <v>995</v>
      </c>
      <c r="I187" t="s">
        <v>996</v>
      </c>
      <c r="J187" t="s">
        <v>997</v>
      </c>
      <c r="K187" t="s">
        <v>997</v>
      </c>
      <c r="L187" t="s">
        <v>997</v>
      </c>
      <c r="N187" t="s">
        <v>998</v>
      </c>
      <c r="O187" t="s">
        <v>121</v>
      </c>
      <c r="P187" t="s">
        <v>138</v>
      </c>
      <c r="R187" t="s">
        <v>180</v>
      </c>
      <c r="S187" t="s">
        <v>140</v>
      </c>
      <c r="T187" t="s">
        <v>471</v>
      </c>
      <c r="W187" t="s">
        <v>67</v>
      </c>
      <c r="X187" t="s">
        <v>144</v>
      </c>
      <c r="Y187">
        <v>0</v>
      </c>
      <c r="AA187" t="s">
        <v>416</v>
      </c>
      <c r="BN187">
        <v>0</v>
      </c>
    </row>
    <row r="188" spans="1:110" x14ac:dyDescent="0.2">
      <c r="A188" t="s">
        <v>111</v>
      </c>
      <c r="B188" t="b">
        <v>1</v>
      </c>
      <c r="E188">
        <v>195</v>
      </c>
      <c r="F188" t="str">
        <f>HYPERLINK("https://portal.dnb.de/opac.htm?method=simpleSearch&amp;cqlMode=true&amp;query=idn%3D1066972540", "Portal")</f>
        <v>Portal</v>
      </c>
      <c r="G188" t="s">
        <v>115</v>
      </c>
      <c r="H188" t="s">
        <v>999</v>
      </c>
      <c r="I188" t="s">
        <v>1000</v>
      </c>
      <c r="J188" t="s">
        <v>1001</v>
      </c>
      <c r="K188" t="s">
        <v>1001</v>
      </c>
      <c r="L188" t="s">
        <v>1001</v>
      </c>
      <c r="N188" t="s">
        <v>1002</v>
      </c>
      <c r="O188" t="s">
        <v>121</v>
      </c>
      <c r="P188" t="s">
        <v>138</v>
      </c>
      <c r="R188" t="s">
        <v>180</v>
      </c>
      <c r="S188" t="s">
        <v>140</v>
      </c>
      <c r="T188" t="s">
        <v>163</v>
      </c>
      <c r="U188" t="s">
        <v>660</v>
      </c>
      <c r="V188" t="s">
        <v>143</v>
      </c>
      <c r="W188" t="s">
        <v>67</v>
      </c>
      <c r="X188" t="s">
        <v>144</v>
      </c>
      <c r="Y188">
        <v>2</v>
      </c>
      <c r="BN188">
        <v>0</v>
      </c>
    </row>
    <row r="189" spans="1:110" x14ac:dyDescent="0.2">
      <c r="A189" t="s">
        <v>111</v>
      </c>
      <c r="B189" t="b">
        <v>1</v>
      </c>
      <c r="F189" t="str">
        <f>HYPERLINK("https://portal.dnb.de/opac.htm?method=simpleSearch&amp;cqlMode=true&amp;query=idn%3D1268958271", "Portal")</f>
        <v>Portal</v>
      </c>
      <c r="G189" t="s">
        <v>300</v>
      </c>
      <c r="H189" t="s">
        <v>1003</v>
      </c>
      <c r="I189" t="s">
        <v>1004</v>
      </c>
      <c r="J189" t="s">
        <v>1005</v>
      </c>
      <c r="K189" t="s">
        <v>1006</v>
      </c>
      <c r="L189" t="s">
        <v>1006</v>
      </c>
      <c r="N189" t="s">
        <v>1007</v>
      </c>
      <c r="O189" t="s">
        <v>121</v>
      </c>
      <c r="P189" t="s">
        <v>138</v>
      </c>
      <c r="R189" t="s">
        <v>180</v>
      </c>
      <c r="S189" t="s">
        <v>140</v>
      </c>
      <c r="T189" t="s">
        <v>163</v>
      </c>
      <c r="U189" t="s">
        <v>492</v>
      </c>
      <c r="W189" t="s">
        <v>67</v>
      </c>
      <c r="X189" t="s">
        <v>144</v>
      </c>
      <c r="Y189">
        <v>3</v>
      </c>
      <c r="BN189">
        <v>0</v>
      </c>
    </row>
    <row r="190" spans="1:110" x14ac:dyDescent="0.2">
      <c r="A190" t="s">
        <v>111</v>
      </c>
      <c r="B190" t="b">
        <v>1</v>
      </c>
      <c r="E190">
        <v>198</v>
      </c>
      <c r="F190" t="str">
        <f>HYPERLINK("https://portal.dnb.de/opac.htm?method=simpleSearch&amp;cqlMode=true&amp;query=idn%3D1066967385", "Portal")</f>
        <v>Portal</v>
      </c>
      <c r="G190" t="s">
        <v>115</v>
      </c>
      <c r="H190" t="s">
        <v>1008</v>
      </c>
      <c r="I190" t="s">
        <v>1009</v>
      </c>
      <c r="J190" t="s">
        <v>1010</v>
      </c>
      <c r="K190" t="s">
        <v>1010</v>
      </c>
      <c r="L190" t="s">
        <v>1010</v>
      </c>
      <c r="N190" t="s">
        <v>1011</v>
      </c>
      <c r="O190" t="s">
        <v>121</v>
      </c>
      <c r="R190" t="s">
        <v>188</v>
      </c>
      <c r="S190" t="s">
        <v>140</v>
      </c>
      <c r="T190" t="s">
        <v>141</v>
      </c>
      <c r="U190" t="s">
        <v>172</v>
      </c>
      <c r="W190" t="s">
        <v>67</v>
      </c>
      <c r="X190" t="s">
        <v>144</v>
      </c>
      <c r="Y190">
        <v>0</v>
      </c>
      <c r="BN190">
        <v>0</v>
      </c>
    </row>
    <row r="191" spans="1:110" x14ac:dyDescent="0.2">
      <c r="A191" t="s">
        <v>111</v>
      </c>
      <c r="B191" t="b">
        <v>1</v>
      </c>
      <c r="E191">
        <v>199</v>
      </c>
      <c r="F191" t="str">
        <f>HYPERLINK("https://portal.dnb.de/opac.htm?method=simpleSearch&amp;cqlMode=true&amp;query=idn%3D1066969353", "Portal")</f>
        <v>Portal</v>
      </c>
      <c r="G191" t="s">
        <v>133</v>
      </c>
      <c r="H191" t="s">
        <v>1012</v>
      </c>
      <c r="I191" t="s">
        <v>1013</v>
      </c>
      <c r="J191" t="s">
        <v>1014</v>
      </c>
      <c r="K191" t="s">
        <v>1014</v>
      </c>
      <c r="L191" t="s">
        <v>1014</v>
      </c>
      <c r="N191" t="s">
        <v>1015</v>
      </c>
      <c r="O191" t="s">
        <v>121</v>
      </c>
      <c r="P191" t="s">
        <v>138</v>
      </c>
      <c r="R191" t="s">
        <v>207</v>
      </c>
      <c r="S191" t="s">
        <v>189</v>
      </c>
      <c r="T191" t="s">
        <v>163</v>
      </c>
      <c r="U191" t="s">
        <v>142</v>
      </c>
      <c r="V191" t="s">
        <v>143</v>
      </c>
      <c r="W191" t="s">
        <v>67</v>
      </c>
      <c r="X191" t="s">
        <v>144</v>
      </c>
      <c r="Y191">
        <v>1</v>
      </c>
      <c r="BN191">
        <v>0</v>
      </c>
    </row>
    <row r="192" spans="1:110" x14ac:dyDescent="0.2">
      <c r="A192" t="s">
        <v>111</v>
      </c>
      <c r="B192" t="b">
        <v>1</v>
      </c>
      <c r="E192">
        <v>200</v>
      </c>
      <c r="F192" t="str">
        <f>HYPERLINK("https://portal.dnb.de/opac.htm?method=simpleSearch&amp;cqlMode=true&amp;query=idn%3D1066965765", "Portal")</f>
        <v>Portal</v>
      </c>
      <c r="G192" t="s">
        <v>133</v>
      </c>
      <c r="H192" t="s">
        <v>1016</v>
      </c>
      <c r="I192" t="s">
        <v>1017</v>
      </c>
      <c r="J192" t="s">
        <v>1018</v>
      </c>
      <c r="K192" t="s">
        <v>1018</v>
      </c>
      <c r="L192" t="s">
        <v>1018</v>
      </c>
      <c r="N192" t="s">
        <v>1019</v>
      </c>
      <c r="O192" t="s">
        <v>121</v>
      </c>
      <c r="P192" t="s">
        <v>138</v>
      </c>
      <c r="R192" t="s">
        <v>171</v>
      </c>
      <c r="S192" t="s">
        <v>189</v>
      </c>
      <c r="T192" t="s">
        <v>471</v>
      </c>
      <c r="U192" t="s">
        <v>381</v>
      </c>
      <c r="V192" t="s">
        <v>143</v>
      </c>
      <c r="W192" t="s">
        <v>67</v>
      </c>
      <c r="X192" t="s">
        <v>144</v>
      </c>
      <c r="Y192">
        <v>0</v>
      </c>
      <c r="BN192">
        <v>0</v>
      </c>
    </row>
    <row r="193" spans="1:111" x14ac:dyDescent="0.2">
      <c r="A193" t="s">
        <v>111</v>
      </c>
      <c r="B193" t="b">
        <v>1</v>
      </c>
      <c r="E193">
        <v>201</v>
      </c>
      <c r="F193" t="str">
        <f>HYPERLINK("https://portal.dnb.de/opac.htm?method=simpleSearch&amp;cqlMode=true&amp;query=idn%3D1066967644", "Portal")</f>
        <v>Portal</v>
      </c>
      <c r="G193" t="s">
        <v>133</v>
      </c>
      <c r="H193" t="s">
        <v>1020</v>
      </c>
      <c r="I193" t="s">
        <v>1021</v>
      </c>
      <c r="J193" t="s">
        <v>1022</v>
      </c>
      <c r="K193" t="s">
        <v>1022</v>
      </c>
      <c r="L193" t="s">
        <v>1022</v>
      </c>
      <c r="N193" t="s">
        <v>1023</v>
      </c>
      <c r="O193" t="s">
        <v>121</v>
      </c>
      <c r="P193" t="s">
        <v>138</v>
      </c>
      <c r="R193" t="s">
        <v>207</v>
      </c>
      <c r="S193" t="s">
        <v>189</v>
      </c>
      <c r="T193" t="s">
        <v>163</v>
      </c>
      <c r="U193" t="s">
        <v>142</v>
      </c>
      <c r="V193" t="s">
        <v>143</v>
      </c>
      <c r="W193" t="s">
        <v>67</v>
      </c>
      <c r="X193" t="s">
        <v>144</v>
      </c>
      <c r="Y193">
        <v>0</v>
      </c>
      <c r="BN193">
        <v>0</v>
      </c>
    </row>
    <row r="194" spans="1:111" x14ac:dyDescent="0.2">
      <c r="A194" t="s">
        <v>111</v>
      </c>
      <c r="B194" t="b">
        <v>1</v>
      </c>
      <c r="E194">
        <v>202</v>
      </c>
      <c r="F194" t="str">
        <f>HYPERLINK("https://portal.dnb.de/opac.htm?method=simpleSearch&amp;cqlMode=true&amp;query=idn%3D1079553606", "Portal")</f>
        <v>Portal</v>
      </c>
      <c r="G194" t="s">
        <v>218</v>
      </c>
      <c r="H194" t="s">
        <v>1024</v>
      </c>
      <c r="I194" t="s">
        <v>1025</v>
      </c>
      <c r="J194" t="s">
        <v>1026</v>
      </c>
      <c r="K194" t="s">
        <v>1026</v>
      </c>
      <c r="L194" t="s">
        <v>1026</v>
      </c>
      <c r="N194" t="s">
        <v>1027</v>
      </c>
      <c r="O194" t="s">
        <v>121</v>
      </c>
      <c r="P194" t="s">
        <v>138</v>
      </c>
      <c r="R194" t="s">
        <v>139</v>
      </c>
      <c r="S194" t="s">
        <v>189</v>
      </c>
      <c r="T194" t="s">
        <v>163</v>
      </c>
      <c r="U194" t="s">
        <v>381</v>
      </c>
      <c r="V194" t="s">
        <v>143</v>
      </c>
      <c r="W194" t="s">
        <v>67</v>
      </c>
      <c r="X194" t="s">
        <v>144</v>
      </c>
      <c r="Y194">
        <v>0</v>
      </c>
      <c r="AA194" t="s">
        <v>416</v>
      </c>
      <c r="BN194">
        <v>0</v>
      </c>
    </row>
    <row r="195" spans="1:111" x14ac:dyDescent="0.2">
      <c r="A195" t="s">
        <v>111</v>
      </c>
      <c r="B195" t="b">
        <v>1</v>
      </c>
      <c r="E195">
        <v>203</v>
      </c>
      <c r="F195" t="str">
        <f>HYPERLINK("https://portal.dnb.de/opac.htm?method=simpleSearch&amp;cqlMode=true&amp;query=idn%3D1072057565", "Portal")</f>
        <v>Portal</v>
      </c>
      <c r="G195" t="s">
        <v>115</v>
      </c>
      <c r="H195" t="s">
        <v>1028</v>
      </c>
      <c r="I195" t="s">
        <v>1029</v>
      </c>
      <c r="J195" t="s">
        <v>1030</v>
      </c>
      <c r="K195" t="s">
        <v>1030</v>
      </c>
      <c r="L195" t="s">
        <v>1030</v>
      </c>
      <c r="N195" t="s">
        <v>1031</v>
      </c>
      <c r="O195" t="s">
        <v>121</v>
      </c>
      <c r="P195" t="s">
        <v>138</v>
      </c>
      <c r="R195" t="s">
        <v>180</v>
      </c>
      <c r="S195" t="s">
        <v>140</v>
      </c>
      <c r="T195" t="s">
        <v>471</v>
      </c>
      <c r="U195" t="s">
        <v>381</v>
      </c>
      <c r="V195" t="s">
        <v>143</v>
      </c>
      <c r="W195" t="s">
        <v>67</v>
      </c>
      <c r="X195" t="s">
        <v>144</v>
      </c>
      <c r="Y195">
        <v>0</v>
      </c>
      <c r="AA195" t="s">
        <v>416</v>
      </c>
      <c r="BN195">
        <v>0</v>
      </c>
    </row>
    <row r="196" spans="1:111" x14ac:dyDescent="0.2">
      <c r="A196" t="s">
        <v>111</v>
      </c>
      <c r="B196" t="b">
        <v>1</v>
      </c>
      <c r="C196" t="s">
        <v>146</v>
      </c>
      <c r="E196">
        <v>204</v>
      </c>
      <c r="F196" t="str">
        <f>HYPERLINK("https://portal.dnb.de/opac.htm?method=simpleSearch&amp;cqlMode=true&amp;query=idn%3D1066970262", "Portal")</f>
        <v>Portal</v>
      </c>
      <c r="G196" t="s">
        <v>133</v>
      </c>
      <c r="H196" t="s">
        <v>1032</v>
      </c>
      <c r="I196" t="s">
        <v>1033</v>
      </c>
      <c r="J196" t="s">
        <v>1034</v>
      </c>
      <c r="K196" t="s">
        <v>1034</v>
      </c>
      <c r="L196" t="s">
        <v>1034</v>
      </c>
      <c r="N196" t="s">
        <v>196</v>
      </c>
      <c r="O196" t="s">
        <v>121</v>
      </c>
      <c r="P196" t="s">
        <v>138</v>
      </c>
      <c r="Q196" t="s">
        <v>1035</v>
      </c>
      <c r="R196" t="s">
        <v>161</v>
      </c>
      <c r="S196" t="s">
        <v>140</v>
      </c>
      <c r="T196" t="s">
        <v>163</v>
      </c>
      <c r="U196" t="s">
        <v>1036</v>
      </c>
      <c r="V196" t="s">
        <v>143</v>
      </c>
      <c r="W196" t="s">
        <v>67</v>
      </c>
      <c r="X196" t="s">
        <v>144</v>
      </c>
      <c r="Y196">
        <v>3</v>
      </c>
      <c r="AI196" t="s">
        <v>165</v>
      </c>
      <c r="AK196" t="s">
        <v>146</v>
      </c>
      <c r="AM196" t="s">
        <v>147</v>
      </c>
      <c r="AS196" t="s">
        <v>148</v>
      </c>
      <c r="BC196" t="s">
        <v>166</v>
      </c>
      <c r="BD196" t="s">
        <v>146</v>
      </c>
      <c r="BG196" t="s">
        <v>150</v>
      </c>
      <c r="BM196" t="s">
        <v>213</v>
      </c>
      <c r="BN196">
        <v>0.5</v>
      </c>
      <c r="BP196" t="s">
        <v>152</v>
      </c>
      <c r="BZ196" t="s">
        <v>146</v>
      </c>
      <c r="CA196" t="s">
        <v>146</v>
      </c>
      <c r="CB196" t="s">
        <v>146</v>
      </c>
      <c r="CD196" t="s">
        <v>202</v>
      </c>
      <c r="CM196">
        <v>0.5</v>
      </c>
      <c r="CN196" t="s">
        <v>1037</v>
      </c>
    </row>
    <row r="197" spans="1:111" x14ac:dyDescent="0.2">
      <c r="A197" t="s">
        <v>111</v>
      </c>
      <c r="B197" t="b">
        <v>1</v>
      </c>
      <c r="C197" t="s">
        <v>146</v>
      </c>
      <c r="E197">
        <v>205</v>
      </c>
      <c r="F197" t="str">
        <f>HYPERLINK("https://portal.dnb.de/opac.htm?method=simpleSearch&amp;cqlMode=true&amp;query=idn%3D1066970610", "Portal")</f>
        <v>Portal</v>
      </c>
      <c r="G197" t="s">
        <v>115</v>
      </c>
      <c r="H197" t="s">
        <v>1038</v>
      </c>
      <c r="I197" t="s">
        <v>1039</v>
      </c>
      <c r="J197" t="s">
        <v>1040</v>
      </c>
      <c r="K197" t="s">
        <v>1040</v>
      </c>
      <c r="L197" t="s">
        <v>1040</v>
      </c>
      <c r="N197" t="s">
        <v>1041</v>
      </c>
      <c r="O197" t="s">
        <v>121</v>
      </c>
      <c r="P197" t="s">
        <v>138</v>
      </c>
      <c r="Q197" t="s">
        <v>1042</v>
      </c>
      <c r="R197" t="s">
        <v>207</v>
      </c>
      <c r="S197" t="s">
        <v>162</v>
      </c>
      <c r="T197" t="s">
        <v>163</v>
      </c>
      <c r="U197" t="s">
        <v>164</v>
      </c>
      <c r="V197" t="s">
        <v>143</v>
      </c>
      <c r="X197" t="s">
        <v>250</v>
      </c>
      <c r="Y197">
        <v>1</v>
      </c>
      <c r="AI197" t="s">
        <v>165</v>
      </c>
      <c r="AK197" t="s">
        <v>146</v>
      </c>
      <c r="AM197" t="s">
        <v>313</v>
      </c>
      <c r="AS197" t="s">
        <v>148</v>
      </c>
      <c r="BC197" t="s">
        <v>166</v>
      </c>
      <c r="BD197" t="s">
        <v>146</v>
      </c>
      <c r="BG197">
        <v>110</v>
      </c>
      <c r="BM197" t="s">
        <v>213</v>
      </c>
      <c r="BN197">
        <v>6</v>
      </c>
      <c r="BR197" t="s">
        <v>146</v>
      </c>
      <c r="BZ197" t="s">
        <v>146</v>
      </c>
      <c r="CA197" t="s">
        <v>146</v>
      </c>
      <c r="CD197" t="s">
        <v>202</v>
      </c>
      <c r="CM197">
        <v>6</v>
      </c>
      <c r="CN197" t="s">
        <v>1043</v>
      </c>
    </row>
    <row r="198" spans="1:111" x14ac:dyDescent="0.2">
      <c r="A198" t="s">
        <v>111</v>
      </c>
      <c r="B198" t="b">
        <v>1</v>
      </c>
      <c r="E198">
        <v>206</v>
      </c>
      <c r="F198" t="str">
        <f>HYPERLINK("https://portal.dnb.de/opac.htm?method=simpleSearch&amp;cqlMode=true&amp;query=idn%3D1066970165", "Portal")</f>
        <v>Portal</v>
      </c>
      <c r="G198" t="s">
        <v>133</v>
      </c>
      <c r="H198" t="s">
        <v>1044</v>
      </c>
      <c r="I198" t="s">
        <v>1045</v>
      </c>
      <c r="J198" t="s">
        <v>1046</v>
      </c>
      <c r="K198" t="s">
        <v>1046</v>
      </c>
      <c r="L198" t="s">
        <v>1046</v>
      </c>
      <c r="N198" t="s">
        <v>1047</v>
      </c>
      <c r="O198" t="s">
        <v>121</v>
      </c>
      <c r="P198" t="s">
        <v>138</v>
      </c>
      <c r="R198" t="s">
        <v>1048</v>
      </c>
      <c r="S198" t="s">
        <v>189</v>
      </c>
      <c r="T198" t="s">
        <v>163</v>
      </c>
      <c r="U198" t="s">
        <v>164</v>
      </c>
      <c r="V198" t="s">
        <v>143</v>
      </c>
      <c r="W198" t="s">
        <v>67</v>
      </c>
      <c r="X198" t="s">
        <v>144</v>
      </c>
      <c r="Y198">
        <v>1</v>
      </c>
      <c r="BN198">
        <v>0</v>
      </c>
    </row>
    <row r="199" spans="1:111" x14ac:dyDescent="0.2">
      <c r="A199" t="s">
        <v>111</v>
      </c>
      <c r="B199" t="b">
        <v>1</v>
      </c>
      <c r="E199">
        <v>207</v>
      </c>
      <c r="F199" t="str">
        <f>HYPERLINK("https://portal.dnb.de/opac.htm?method=simpleSearch&amp;cqlMode=true&amp;query=idn%3D1066965617", "Portal")</f>
        <v>Portal</v>
      </c>
      <c r="G199" t="s">
        <v>133</v>
      </c>
      <c r="H199" t="s">
        <v>1049</v>
      </c>
      <c r="I199" t="s">
        <v>1050</v>
      </c>
      <c r="J199" t="s">
        <v>1051</v>
      </c>
      <c r="K199" t="s">
        <v>1051</v>
      </c>
      <c r="L199" t="s">
        <v>1051</v>
      </c>
      <c r="N199" t="s">
        <v>1052</v>
      </c>
      <c r="O199" t="s">
        <v>121</v>
      </c>
      <c r="P199" t="s">
        <v>138</v>
      </c>
      <c r="R199" t="s">
        <v>207</v>
      </c>
      <c r="S199" t="s">
        <v>140</v>
      </c>
      <c r="T199" t="s">
        <v>163</v>
      </c>
      <c r="U199" t="s">
        <v>386</v>
      </c>
      <c r="W199" t="s">
        <v>67</v>
      </c>
      <c r="X199" t="s">
        <v>144</v>
      </c>
      <c r="Y199">
        <v>1</v>
      </c>
      <c r="BN199">
        <v>0</v>
      </c>
    </row>
    <row r="200" spans="1:111" x14ac:dyDescent="0.2">
      <c r="A200" t="s">
        <v>111</v>
      </c>
      <c r="B200" t="b">
        <v>1</v>
      </c>
      <c r="E200">
        <v>208</v>
      </c>
      <c r="F200" t="str">
        <f>HYPERLINK("https://portal.dnb.de/opac.htm?method=simpleSearch&amp;cqlMode=true&amp;query=idn%3D1066965064", "Portal")</f>
        <v>Portal</v>
      </c>
      <c r="G200" t="s">
        <v>133</v>
      </c>
      <c r="H200" t="s">
        <v>1053</v>
      </c>
      <c r="I200" t="s">
        <v>1054</v>
      </c>
      <c r="J200" t="s">
        <v>1055</v>
      </c>
      <c r="K200" t="s">
        <v>1055</v>
      </c>
      <c r="L200" t="s">
        <v>1055</v>
      </c>
      <c r="N200" t="s">
        <v>1056</v>
      </c>
      <c r="O200" t="s">
        <v>121</v>
      </c>
      <c r="P200" t="s">
        <v>138</v>
      </c>
      <c r="R200" t="s">
        <v>171</v>
      </c>
      <c r="S200" t="s">
        <v>189</v>
      </c>
      <c r="T200" t="s">
        <v>163</v>
      </c>
      <c r="W200" t="s">
        <v>67</v>
      </c>
      <c r="X200" t="s">
        <v>144</v>
      </c>
      <c r="Y200">
        <v>0</v>
      </c>
      <c r="AA200" t="s">
        <v>416</v>
      </c>
      <c r="BN200">
        <v>0</v>
      </c>
    </row>
    <row r="201" spans="1:111" x14ac:dyDescent="0.2">
      <c r="A201" t="s">
        <v>111</v>
      </c>
      <c r="B201" t="b">
        <v>1</v>
      </c>
      <c r="E201">
        <v>209</v>
      </c>
      <c r="F201" t="str">
        <f>HYPERLINK("https://portal.dnb.de/opac.htm?method=simpleSearch&amp;cqlMode=true&amp;query=idn%3D1072318075", "Portal")</f>
        <v>Portal</v>
      </c>
      <c r="G201" t="s">
        <v>115</v>
      </c>
      <c r="H201" t="s">
        <v>1057</v>
      </c>
      <c r="I201" t="s">
        <v>1058</v>
      </c>
      <c r="J201" t="s">
        <v>1059</v>
      </c>
      <c r="K201" t="s">
        <v>1059</v>
      </c>
      <c r="L201" t="s">
        <v>1059</v>
      </c>
      <c r="N201" t="s">
        <v>1060</v>
      </c>
      <c r="O201" t="s">
        <v>121</v>
      </c>
      <c r="P201" t="s">
        <v>138</v>
      </c>
      <c r="R201" t="s">
        <v>161</v>
      </c>
      <c r="S201" t="s">
        <v>140</v>
      </c>
      <c r="T201" t="s">
        <v>163</v>
      </c>
      <c r="U201" t="s">
        <v>712</v>
      </c>
      <c r="V201" t="s">
        <v>143</v>
      </c>
      <c r="W201" t="s">
        <v>67</v>
      </c>
      <c r="X201" t="s">
        <v>144</v>
      </c>
      <c r="Y201">
        <v>3</v>
      </c>
      <c r="BN201">
        <v>0</v>
      </c>
    </row>
    <row r="202" spans="1:111" x14ac:dyDescent="0.2">
      <c r="A202" t="s">
        <v>111</v>
      </c>
      <c r="B202" t="b">
        <v>1</v>
      </c>
      <c r="F202" t="str">
        <f>HYPERLINK("https://portal.dnb.de/opac.htm?method=simpleSearch&amp;cqlMode=true&amp;query=idn%3D1272204251", "Portal")</f>
        <v>Portal</v>
      </c>
      <c r="G202" t="s">
        <v>300</v>
      </c>
      <c r="H202" t="s">
        <v>1061</v>
      </c>
      <c r="I202" t="s">
        <v>1062</v>
      </c>
      <c r="J202" t="s">
        <v>1063</v>
      </c>
      <c r="K202" t="s">
        <v>1063</v>
      </c>
      <c r="L202" t="s">
        <v>1063</v>
      </c>
      <c r="N202" t="s">
        <v>998</v>
      </c>
      <c r="O202" t="s">
        <v>121</v>
      </c>
      <c r="P202" t="s">
        <v>146</v>
      </c>
      <c r="R202" t="s">
        <v>180</v>
      </c>
      <c r="S202" t="s">
        <v>189</v>
      </c>
      <c r="T202" t="s">
        <v>163</v>
      </c>
      <c r="U202" t="s">
        <v>164</v>
      </c>
      <c r="V202" t="s">
        <v>143</v>
      </c>
      <c r="W202" t="s">
        <v>67</v>
      </c>
      <c r="X202" t="s">
        <v>144</v>
      </c>
      <c r="Y202">
        <v>1</v>
      </c>
      <c r="BN202">
        <v>0</v>
      </c>
    </row>
    <row r="203" spans="1:111" x14ac:dyDescent="0.2">
      <c r="A203" t="s">
        <v>111</v>
      </c>
      <c r="B203" t="b">
        <v>1</v>
      </c>
      <c r="C203" t="s">
        <v>146</v>
      </c>
      <c r="E203">
        <v>210</v>
      </c>
      <c r="F203" t="str">
        <f>HYPERLINK("https://portal.dnb.de/opac.htm?method=simpleSearch&amp;cqlMode=true&amp;query=idn%3D1066965609", "Portal")</f>
        <v>Portal</v>
      </c>
      <c r="G203" t="s">
        <v>115</v>
      </c>
      <c r="H203" t="s">
        <v>1064</v>
      </c>
      <c r="I203" t="s">
        <v>1065</v>
      </c>
      <c r="J203" t="s">
        <v>1066</v>
      </c>
      <c r="K203" t="s">
        <v>1066</v>
      </c>
      <c r="L203" t="s">
        <v>1066</v>
      </c>
      <c r="N203" t="s">
        <v>1067</v>
      </c>
      <c r="O203" t="s">
        <v>121</v>
      </c>
      <c r="P203" t="s">
        <v>138</v>
      </c>
      <c r="Q203" t="s">
        <v>1068</v>
      </c>
      <c r="R203" t="s">
        <v>161</v>
      </c>
      <c r="S203" t="s">
        <v>162</v>
      </c>
      <c r="T203" t="s">
        <v>471</v>
      </c>
      <c r="U203" t="s">
        <v>386</v>
      </c>
      <c r="X203" t="s">
        <v>250</v>
      </c>
      <c r="Y203">
        <v>0</v>
      </c>
      <c r="AA203" t="s">
        <v>1069</v>
      </c>
      <c r="AI203" t="s">
        <v>165</v>
      </c>
      <c r="AK203" t="s">
        <v>146</v>
      </c>
      <c r="AM203" t="s">
        <v>228</v>
      </c>
      <c r="AS203" t="s">
        <v>148</v>
      </c>
      <c r="BC203" t="s">
        <v>166</v>
      </c>
      <c r="BD203" t="s">
        <v>146</v>
      </c>
      <c r="BG203">
        <v>110</v>
      </c>
      <c r="BM203" t="s">
        <v>213</v>
      </c>
      <c r="BN203">
        <v>9</v>
      </c>
      <c r="BP203" t="s">
        <v>152</v>
      </c>
      <c r="BZ203" t="s">
        <v>146</v>
      </c>
      <c r="CH203" t="s">
        <v>146</v>
      </c>
      <c r="CM203">
        <v>1</v>
      </c>
      <c r="CN203" t="s">
        <v>1070</v>
      </c>
      <c r="CO203" t="s">
        <v>146</v>
      </c>
      <c r="DF203">
        <v>8</v>
      </c>
      <c r="DG203" t="s">
        <v>1071</v>
      </c>
    </row>
    <row r="204" spans="1:111" x14ac:dyDescent="0.2">
      <c r="A204" t="s">
        <v>111</v>
      </c>
      <c r="B204" t="b">
        <v>1</v>
      </c>
      <c r="E204">
        <v>211</v>
      </c>
      <c r="F204" t="str">
        <f>HYPERLINK("https://portal.dnb.de/opac.htm?method=simpleSearch&amp;cqlMode=true&amp;query=idn%3D1066964874", "Portal")</f>
        <v>Portal</v>
      </c>
      <c r="G204" t="s">
        <v>133</v>
      </c>
      <c r="H204" t="s">
        <v>1072</v>
      </c>
      <c r="I204" t="s">
        <v>1073</v>
      </c>
      <c r="J204" t="s">
        <v>1074</v>
      </c>
      <c r="K204" t="s">
        <v>1074</v>
      </c>
      <c r="L204" t="s">
        <v>1074</v>
      </c>
      <c r="N204" t="s">
        <v>1075</v>
      </c>
      <c r="O204" t="s">
        <v>121</v>
      </c>
      <c r="P204" t="s">
        <v>138</v>
      </c>
      <c r="R204" t="s">
        <v>180</v>
      </c>
      <c r="S204" t="s">
        <v>140</v>
      </c>
      <c r="T204" t="s">
        <v>163</v>
      </c>
      <c r="U204" t="s">
        <v>805</v>
      </c>
      <c r="V204" t="s">
        <v>143</v>
      </c>
      <c r="W204" t="s">
        <v>67</v>
      </c>
      <c r="X204" t="s">
        <v>144</v>
      </c>
      <c r="Y204">
        <v>3</v>
      </c>
      <c r="BN204">
        <v>0</v>
      </c>
    </row>
    <row r="205" spans="1:111" x14ac:dyDescent="0.2">
      <c r="A205" t="s">
        <v>111</v>
      </c>
      <c r="B205" t="b">
        <v>1</v>
      </c>
      <c r="E205">
        <v>215</v>
      </c>
      <c r="F205" t="str">
        <f>HYPERLINK("https://portal.dnb.de/opac.htm?method=simpleSearch&amp;cqlMode=true&amp;query=idn%3D1066965102", "Portal")</f>
        <v>Portal</v>
      </c>
      <c r="G205" t="s">
        <v>115</v>
      </c>
      <c r="H205" t="s">
        <v>1076</v>
      </c>
      <c r="I205" t="s">
        <v>1077</v>
      </c>
      <c r="J205" t="s">
        <v>1078</v>
      </c>
      <c r="K205" t="s">
        <v>1078</v>
      </c>
      <c r="L205" t="s">
        <v>1078</v>
      </c>
      <c r="N205" t="s">
        <v>706</v>
      </c>
      <c r="O205" t="s">
        <v>121</v>
      </c>
      <c r="P205" t="s">
        <v>146</v>
      </c>
      <c r="R205" t="s">
        <v>171</v>
      </c>
      <c r="S205" t="s">
        <v>189</v>
      </c>
      <c r="T205" t="s">
        <v>163</v>
      </c>
      <c r="U205" t="s">
        <v>381</v>
      </c>
      <c r="V205" t="s">
        <v>143</v>
      </c>
      <c r="W205" t="s">
        <v>67</v>
      </c>
      <c r="X205" t="s">
        <v>144</v>
      </c>
      <c r="Y205">
        <v>0</v>
      </c>
      <c r="BN205">
        <v>0</v>
      </c>
    </row>
    <row r="206" spans="1:111" x14ac:dyDescent="0.2">
      <c r="A206" t="s">
        <v>111</v>
      </c>
      <c r="B206" t="b">
        <v>1</v>
      </c>
      <c r="E206">
        <v>216</v>
      </c>
      <c r="F206" t="str">
        <f>HYPERLINK("https://portal.dnb.de/opac.htm?method=simpleSearch&amp;cqlMode=true&amp;query=idn%3D1066965110", "Portal")</f>
        <v>Portal</v>
      </c>
      <c r="G206" t="s">
        <v>133</v>
      </c>
      <c r="H206" t="s">
        <v>1079</v>
      </c>
      <c r="I206" t="s">
        <v>1080</v>
      </c>
      <c r="J206" t="s">
        <v>1081</v>
      </c>
      <c r="K206" t="s">
        <v>1081</v>
      </c>
      <c r="L206" t="s">
        <v>1081</v>
      </c>
      <c r="N206" t="s">
        <v>1082</v>
      </c>
      <c r="O206" t="s">
        <v>121</v>
      </c>
      <c r="P206" t="s">
        <v>146</v>
      </c>
      <c r="R206" t="s">
        <v>180</v>
      </c>
      <c r="S206" t="s">
        <v>189</v>
      </c>
      <c r="T206" t="s">
        <v>163</v>
      </c>
      <c r="U206" t="s">
        <v>142</v>
      </c>
      <c r="V206" t="s">
        <v>143</v>
      </c>
      <c r="W206" t="s">
        <v>67</v>
      </c>
      <c r="X206" t="s">
        <v>144</v>
      </c>
      <c r="Y206">
        <v>0</v>
      </c>
      <c r="BN206">
        <v>0</v>
      </c>
    </row>
    <row r="207" spans="1:111" x14ac:dyDescent="0.2">
      <c r="A207" t="s">
        <v>111</v>
      </c>
      <c r="B207" t="b">
        <v>1</v>
      </c>
      <c r="E207">
        <v>217</v>
      </c>
      <c r="F207" t="str">
        <f>HYPERLINK("https://portal.dnb.de/opac.htm?method=simpleSearch&amp;cqlMode=true&amp;query=idn%3D1072057948", "Portal")</f>
        <v>Portal</v>
      </c>
      <c r="G207" t="s">
        <v>115</v>
      </c>
      <c r="H207" t="s">
        <v>1083</v>
      </c>
      <c r="I207" t="s">
        <v>1084</v>
      </c>
      <c r="J207" t="s">
        <v>1085</v>
      </c>
      <c r="K207" t="s">
        <v>1085</v>
      </c>
      <c r="L207" t="s">
        <v>1085</v>
      </c>
      <c r="N207" t="s">
        <v>1086</v>
      </c>
      <c r="O207" t="s">
        <v>121</v>
      </c>
      <c r="P207" t="s">
        <v>138</v>
      </c>
      <c r="R207" t="s">
        <v>171</v>
      </c>
      <c r="S207" t="s">
        <v>189</v>
      </c>
      <c r="T207" t="s">
        <v>163</v>
      </c>
      <c r="U207" t="s">
        <v>142</v>
      </c>
      <c r="V207" t="s">
        <v>143</v>
      </c>
      <c r="W207" t="s">
        <v>67</v>
      </c>
      <c r="X207" t="s">
        <v>144</v>
      </c>
      <c r="Y207">
        <v>0</v>
      </c>
      <c r="AA207" t="s">
        <v>416</v>
      </c>
      <c r="BN207">
        <v>0</v>
      </c>
    </row>
    <row r="208" spans="1:111" x14ac:dyDescent="0.2">
      <c r="A208" t="s">
        <v>111</v>
      </c>
      <c r="B208" t="b">
        <v>1</v>
      </c>
      <c r="E208">
        <v>219</v>
      </c>
      <c r="F208" t="str">
        <f>HYPERLINK("https://portal.dnb.de/opac.htm?method=simpleSearch&amp;cqlMode=true&amp;query=idn%3D1066969000", "Portal")</f>
        <v>Portal</v>
      </c>
      <c r="G208" t="s">
        <v>115</v>
      </c>
      <c r="H208" t="s">
        <v>1087</v>
      </c>
      <c r="I208" t="s">
        <v>1088</v>
      </c>
      <c r="J208" t="s">
        <v>1089</v>
      </c>
      <c r="K208" t="s">
        <v>1089</v>
      </c>
      <c r="L208" t="s">
        <v>1089</v>
      </c>
      <c r="N208" t="s">
        <v>428</v>
      </c>
      <c r="O208" t="s">
        <v>121</v>
      </c>
      <c r="R208" t="s">
        <v>180</v>
      </c>
      <c r="S208" t="s">
        <v>189</v>
      </c>
      <c r="T208" t="s">
        <v>163</v>
      </c>
      <c r="U208" t="s">
        <v>381</v>
      </c>
      <c r="V208" t="s">
        <v>143</v>
      </c>
      <c r="W208" t="s">
        <v>67</v>
      </c>
      <c r="X208" t="s">
        <v>1090</v>
      </c>
      <c r="Y208">
        <v>0</v>
      </c>
      <c r="BN208">
        <v>0</v>
      </c>
    </row>
    <row r="209" spans="1:66" x14ac:dyDescent="0.2">
      <c r="A209" t="s">
        <v>111</v>
      </c>
      <c r="B209" t="b">
        <v>1</v>
      </c>
      <c r="E209">
        <v>220</v>
      </c>
      <c r="F209" t="str">
        <f>HYPERLINK("https://portal.dnb.de/opac.htm?method=simpleSearch&amp;cqlMode=true&amp;query=idn%3D1066970750", "Portal")</f>
        <v>Portal</v>
      </c>
      <c r="G209" t="s">
        <v>133</v>
      </c>
      <c r="H209" t="s">
        <v>1091</v>
      </c>
      <c r="I209" t="s">
        <v>1092</v>
      </c>
      <c r="J209" t="s">
        <v>1093</v>
      </c>
      <c r="K209" t="s">
        <v>1093</v>
      </c>
      <c r="L209" t="s">
        <v>1093</v>
      </c>
      <c r="N209" t="s">
        <v>1094</v>
      </c>
      <c r="O209" t="s">
        <v>121</v>
      </c>
      <c r="R209" t="s">
        <v>207</v>
      </c>
      <c r="S209" t="s">
        <v>189</v>
      </c>
      <c r="T209" t="s">
        <v>163</v>
      </c>
      <c r="U209" t="s">
        <v>386</v>
      </c>
      <c r="W209" t="s">
        <v>67</v>
      </c>
      <c r="X209" t="s">
        <v>144</v>
      </c>
      <c r="Y209">
        <v>0</v>
      </c>
      <c r="BN209">
        <v>0</v>
      </c>
    </row>
    <row r="210" spans="1:66" x14ac:dyDescent="0.2">
      <c r="A210" t="s">
        <v>111</v>
      </c>
      <c r="B210" t="b">
        <v>1</v>
      </c>
      <c r="E210">
        <v>221</v>
      </c>
      <c r="F210" t="str">
        <f>HYPERLINK("https://portal.dnb.de/opac.htm?method=simpleSearch&amp;cqlMode=true&amp;query=idn%3D1066970750", "Portal")</f>
        <v>Portal</v>
      </c>
      <c r="G210" t="s">
        <v>133</v>
      </c>
      <c r="H210" t="s">
        <v>1095</v>
      </c>
      <c r="I210" t="s">
        <v>1092</v>
      </c>
      <c r="J210" t="s">
        <v>1096</v>
      </c>
      <c r="K210" t="s">
        <v>1096</v>
      </c>
      <c r="L210" t="s">
        <v>1096</v>
      </c>
      <c r="N210" t="s">
        <v>1094</v>
      </c>
      <c r="O210" t="s">
        <v>121</v>
      </c>
      <c r="R210" t="s">
        <v>207</v>
      </c>
      <c r="S210" t="s">
        <v>189</v>
      </c>
      <c r="T210" t="s">
        <v>471</v>
      </c>
      <c r="W210" t="s">
        <v>67</v>
      </c>
      <c r="X210" t="s">
        <v>144</v>
      </c>
      <c r="Y210">
        <v>0</v>
      </c>
      <c r="BN210">
        <v>0</v>
      </c>
    </row>
    <row r="211" spans="1:66" x14ac:dyDescent="0.2">
      <c r="A211" t="s">
        <v>111</v>
      </c>
      <c r="B211" t="b">
        <v>1</v>
      </c>
      <c r="F211" t="str">
        <f>HYPERLINK("https://portal.dnb.de/opac.htm?method=simpleSearch&amp;cqlMode=true&amp;query=idn%3D107231830X", "Portal")</f>
        <v>Portal</v>
      </c>
      <c r="G211" t="s">
        <v>115</v>
      </c>
      <c r="H211" t="s">
        <v>1097</v>
      </c>
      <c r="I211" t="s">
        <v>1098</v>
      </c>
      <c r="J211" t="s">
        <v>1099</v>
      </c>
      <c r="K211" t="s">
        <v>1099</v>
      </c>
      <c r="L211" t="s">
        <v>1099</v>
      </c>
      <c r="N211" t="s">
        <v>1100</v>
      </c>
      <c r="O211" t="s">
        <v>121</v>
      </c>
      <c r="P211" t="s">
        <v>146</v>
      </c>
      <c r="R211" t="s">
        <v>1101</v>
      </c>
      <c r="S211" t="s">
        <v>189</v>
      </c>
      <c r="T211" t="s">
        <v>163</v>
      </c>
      <c r="U211" t="s">
        <v>172</v>
      </c>
      <c r="W211" t="s">
        <v>67</v>
      </c>
      <c r="X211" t="s">
        <v>144</v>
      </c>
      <c r="Y211">
        <v>0</v>
      </c>
      <c r="BN211">
        <v>0</v>
      </c>
    </row>
    <row r="212" spans="1:66" x14ac:dyDescent="0.2">
      <c r="A212" t="s">
        <v>111</v>
      </c>
      <c r="B212" t="b">
        <v>1</v>
      </c>
      <c r="F212" t="str">
        <f>HYPERLINK("https://portal.dnb.de/opac.htm?method=simpleSearch&amp;cqlMode=true&amp;query=idn%3D1072318768", "Portal")</f>
        <v>Portal</v>
      </c>
      <c r="G212" t="s">
        <v>115</v>
      </c>
      <c r="H212" t="s">
        <v>1102</v>
      </c>
      <c r="I212" t="s">
        <v>1103</v>
      </c>
      <c r="J212" t="s">
        <v>1104</v>
      </c>
      <c r="K212" t="s">
        <v>1104</v>
      </c>
      <c r="L212" t="s">
        <v>1104</v>
      </c>
      <c r="N212" t="s">
        <v>1105</v>
      </c>
      <c r="O212" t="s">
        <v>121</v>
      </c>
      <c r="P212" t="s">
        <v>138</v>
      </c>
      <c r="R212" t="s">
        <v>161</v>
      </c>
      <c r="S212" t="s">
        <v>189</v>
      </c>
      <c r="T212" t="s">
        <v>163</v>
      </c>
      <c r="U212" t="s">
        <v>172</v>
      </c>
      <c r="W212" t="s">
        <v>67</v>
      </c>
      <c r="X212" t="s">
        <v>144</v>
      </c>
      <c r="Y212">
        <v>1</v>
      </c>
      <c r="BN212">
        <v>0</v>
      </c>
    </row>
    <row r="213" spans="1:66" x14ac:dyDescent="0.2">
      <c r="A213" t="s">
        <v>111</v>
      </c>
      <c r="B213" t="b">
        <v>1</v>
      </c>
      <c r="E213">
        <v>222</v>
      </c>
      <c r="F213" t="str">
        <f>HYPERLINK("https://portal.dnb.de/opac.htm?method=simpleSearch&amp;cqlMode=true&amp;query=idn%3D1066971811", "Portal")</f>
        <v>Portal</v>
      </c>
      <c r="G213" t="s">
        <v>133</v>
      </c>
      <c r="H213" t="s">
        <v>1106</v>
      </c>
      <c r="I213" t="s">
        <v>1107</v>
      </c>
      <c r="J213" t="s">
        <v>1108</v>
      </c>
      <c r="K213" t="s">
        <v>1108</v>
      </c>
      <c r="L213" t="s">
        <v>1108</v>
      </c>
      <c r="N213" t="s">
        <v>623</v>
      </c>
      <c r="O213" t="s">
        <v>121</v>
      </c>
      <c r="R213" t="s">
        <v>180</v>
      </c>
      <c r="S213" t="s">
        <v>140</v>
      </c>
      <c r="T213" t="s">
        <v>163</v>
      </c>
      <c r="U213" t="s">
        <v>164</v>
      </c>
      <c r="V213" t="s">
        <v>143</v>
      </c>
      <c r="W213" t="s">
        <v>67</v>
      </c>
      <c r="X213" t="s">
        <v>144</v>
      </c>
      <c r="Y213">
        <v>1</v>
      </c>
      <c r="BN213">
        <v>0</v>
      </c>
    </row>
    <row r="214" spans="1:66" x14ac:dyDescent="0.2">
      <c r="A214" t="s">
        <v>111</v>
      </c>
      <c r="B214" t="b">
        <v>1</v>
      </c>
      <c r="E214">
        <v>223</v>
      </c>
      <c r="F214" t="str">
        <f>HYPERLINK("https://portal.dnb.de/opac.htm?method=simpleSearch&amp;cqlMode=true&amp;query=idn%3D1066973164", "Portal")</f>
        <v>Portal</v>
      </c>
      <c r="G214" t="s">
        <v>133</v>
      </c>
      <c r="H214" t="s">
        <v>1109</v>
      </c>
      <c r="I214" t="s">
        <v>1110</v>
      </c>
      <c r="J214" t="s">
        <v>1111</v>
      </c>
      <c r="K214" t="s">
        <v>1111</v>
      </c>
      <c r="L214" t="s">
        <v>1111</v>
      </c>
      <c r="N214" t="s">
        <v>1112</v>
      </c>
      <c r="O214" t="s">
        <v>121</v>
      </c>
      <c r="R214" t="s">
        <v>180</v>
      </c>
      <c r="S214" t="s">
        <v>189</v>
      </c>
      <c r="T214" t="s">
        <v>163</v>
      </c>
      <c r="U214" t="s">
        <v>142</v>
      </c>
      <c r="V214" t="s">
        <v>143</v>
      </c>
      <c r="W214" t="s">
        <v>67</v>
      </c>
      <c r="X214" t="s">
        <v>144</v>
      </c>
      <c r="Y214">
        <v>0</v>
      </c>
      <c r="BN214">
        <v>0</v>
      </c>
    </row>
    <row r="215" spans="1:66" x14ac:dyDescent="0.2">
      <c r="A215" t="s">
        <v>111</v>
      </c>
      <c r="B215" t="b">
        <v>1</v>
      </c>
      <c r="E215">
        <v>224</v>
      </c>
      <c r="F215" t="str">
        <f>HYPERLINK("https://portal.dnb.de/opac.htm?method=simpleSearch&amp;cqlMode=true&amp;query=idn%3D1066965471", "Portal")</f>
        <v>Portal</v>
      </c>
      <c r="G215" t="s">
        <v>133</v>
      </c>
      <c r="H215" t="s">
        <v>1113</v>
      </c>
      <c r="I215" t="s">
        <v>1114</v>
      </c>
      <c r="J215" t="s">
        <v>1115</v>
      </c>
      <c r="K215" t="s">
        <v>1115</v>
      </c>
      <c r="L215" t="s">
        <v>1115</v>
      </c>
      <c r="N215" t="s">
        <v>1116</v>
      </c>
      <c r="O215" t="s">
        <v>121</v>
      </c>
      <c r="P215" t="s">
        <v>138</v>
      </c>
      <c r="R215" t="s">
        <v>171</v>
      </c>
      <c r="S215" t="s">
        <v>189</v>
      </c>
      <c r="T215" t="s">
        <v>141</v>
      </c>
      <c r="U215" t="s">
        <v>172</v>
      </c>
      <c r="W215" t="s">
        <v>67</v>
      </c>
      <c r="X215" t="s">
        <v>144</v>
      </c>
      <c r="Y215">
        <v>0</v>
      </c>
      <c r="BN215">
        <v>0</v>
      </c>
    </row>
    <row r="216" spans="1:66" x14ac:dyDescent="0.2">
      <c r="A216" t="s">
        <v>111</v>
      </c>
      <c r="B216" t="b">
        <v>1</v>
      </c>
      <c r="E216">
        <v>225</v>
      </c>
      <c r="F216" t="str">
        <f>HYPERLINK("https://portal.dnb.de/opac.htm?method=simpleSearch&amp;cqlMode=true&amp;query=idn%3D106697277X", "Portal")</f>
        <v>Portal</v>
      </c>
      <c r="G216" t="s">
        <v>133</v>
      </c>
      <c r="H216" t="s">
        <v>1117</v>
      </c>
      <c r="I216" t="s">
        <v>1118</v>
      </c>
      <c r="J216" t="s">
        <v>1119</v>
      </c>
      <c r="K216" t="s">
        <v>1119</v>
      </c>
      <c r="L216" t="s">
        <v>1119</v>
      </c>
      <c r="N216" t="s">
        <v>1120</v>
      </c>
      <c r="O216" t="s">
        <v>121</v>
      </c>
      <c r="R216" t="s">
        <v>139</v>
      </c>
      <c r="S216" t="s">
        <v>189</v>
      </c>
      <c r="T216" t="s">
        <v>163</v>
      </c>
      <c r="W216" t="s">
        <v>67</v>
      </c>
      <c r="X216" t="s">
        <v>144</v>
      </c>
      <c r="BN216">
        <v>0</v>
      </c>
    </row>
    <row r="217" spans="1:66" x14ac:dyDescent="0.2">
      <c r="A217" t="s">
        <v>111</v>
      </c>
      <c r="B217" t="b">
        <v>1</v>
      </c>
      <c r="E217">
        <v>226</v>
      </c>
      <c r="F217" t="str">
        <f>HYPERLINK("https://portal.dnb.de/opac.htm?method=simpleSearch&amp;cqlMode=true&amp;query=idn%3D106697263X", "Portal")</f>
        <v>Portal</v>
      </c>
      <c r="G217" t="s">
        <v>115</v>
      </c>
      <c r="H217" t="s">
        <v>1121</v>
      </c>
      <c r="I217" t="s">
        <v>1122</v>
      </c>
      <c r="J217" t="s">
        <v>1123</v>
      </c>
      <c r="K217" t="s">
        <v>1123</v>
      </c>
      <c r="L217" t="s">
        <v>1123</v>
      </c>
      <c r="N217" t="s">
        <v>1124</v>
      </c>
      <c r="O217" t="s">
        <v>121</v>
      </c>
      <c r="P217" t="s">
        <v>138</v>
      </c>
      <c r="R217" t="s">
        <v>161</v>
      </c>
      <c r="S217" t="s">
        <v>162</v>
      </c>
      <c r="T217" t="s">
        <v>163</v>
      </c>
      <c r="U217" t="s">
        <v>142</v>
      </c>
      <c r="V217" t="s">
        <v>143</v>
      </c>
      <c r="X217" t="s">
        <v>250</v>
      </c>
      <c r="Y217">
        <v>0</v>
      </c>
      <c r="AA217" t="s">
        <v>617</v>
      </c>
      <c r="BN217">
        <v>0</v>
      </c>
    </row>
    <row r="218" spans="1:66" x14ac:dyDescent="0.2">
      <c r="A218" t="s">
        <v>111</v>
      </c>
      <c r="B218" t="b">
        <v>1</v>
      </c>
      <c r="E218">
        <v>227</v>
      </c>
      <c r="F218" t="str">
        <f>HYPERLINK("https://portal.dnb.de/opac.htm?method=simpleSearch&amp;cqlMode=true&amp;query=idn%3D1066972524", "Portal")</f>
        <v>Portal</v>
      </c>
      <c r="G218" t="s">
        <v>133</v>
      </c>
      <c r="H218" t="s">
        <v>1125</v>
      </c>
      <c r="I218" t="s">
        <v>1126</v>
      </c>
      <c r="J218" t="s">
        <v>1127</v>
      </c>
      <c r="K218" t="s">
        <v>1127</v>
      </c>
      <c r="L218" t="s">
        <v>1127</v>
      </c>
      <c r="N218" t="s">
        <v>1128</v>
      </c>
      <c r="O218" t="s">
        <v>121</v>
      </c>
      <c r="P218" t="s">
        <v>138</v>
      </c>
      <c r="R218" t="s">
        <v>161</v>
      </c>
      <c r="S218" t="s">
        <v>140</v>
      </c>
      <c r="T218" t="s">
        <v>163</v>
      </c>
      <c r="U218" t="s">
        <v>1129</v>
      </c>
      <c r="V218" t="s">
        <v>143</v>
      </c>
      <c r="W218" t="s">
        <v>67</v>
      </c>
      <c r="X218" t="s">
        <v>144</v>
      </c>
      <c r="Y218">
        <v>1</v>
      </c>
      <c r="BN218">
        <v>0</v>
      </c>
    </row>
    <row r="219" spans="1:66" x14ac:dyDescent="0.2">
      <c r="A219" t="s">
        <v>111</v>
      </c>
      <c r="B219" t="b">
        <v>1</v>
      </c>
      <c r="E219">
        <v>228</v>
      </c>
      <c r="F219" t="str">
        <f>HYPERLINK("https://portal.dnb.de/opac.htm?method=simpleSearch&amp;cqlMode=true&amp;query=idn%3D1066971293", "Portal")</f>
        <v>Portal</v>
      </c>
      <c r="G219" t="s">
        <v>133</v>
      </c>
      <c r="H219" t="s">
        <v>1130</v>
      </c>
      <c r="I219" t="s">
        <v>1131</v>
      </c>
      <c r="J219" t="s">
        <v>1132</v>
      </c>
      <c r="K219" t="s">
        <v>1132</v>
      </c>
      <c r="L219" t="s">
        <v>1132</v>
      </c>
      <c r="N219" t="s">
        <v>1133</v>
      </c>
      <c r="O219" t="s">
        <v>121</v>
      </c>
      <c r="P219" t="s">
        <v>146</v>
      </c>
      <c r="R219" t="s">
        <v>139</v>
      </c>
      <c r="S219" t="s">
        <v>189</v>
      </c>
      <c r="T219" t="s">
        <v>163</v>
      </c>
      <c r="U219" t="s">
        <v>142</v>
      </c>
      <c r="V219" t="s">
        <v>143</v>
      </c>
      <c r="W219" t="s">
        <v>67</v>
      </c>
      <c r="X219" t="s">
        <v>1134</v>
      </c>
      <c r="Y219">
        <v>0</v>
      </c>
      <c r="BN219">
        <v>0</v>
      </c>
    </row>
    <row r="220" spans="1:66" x14ac:dyDescent="0.2">
      <c r="A220" t="s">
        <v>111</v>
      </c>
      <c r="B220" t="b">
        <v>1</v>
      </c>
      <c r="E220">
        <v>229</v>
      </c>
      <c r="F220" t="str">
        <f>HYPERLINK("https://portal.dnb.de/opac.htm?method=simpleSearch&amp;cqlMode=true&amp;query=idn%3D106696579X", "Portal")</f>
        <v>Portal</v>
      </c>
      <c r="G220" t="s">
        <v>133</v>
      </c>
      <c r="H220" t="s">
        <v>1135</v>
      </c>
      <c r="I220" t="s">
        <v>1136</v>
      </c>
      <c r="J220" t="s">
        <v>1137</v>
      </c>
      <c r="K220" t="s">
        <v>1137</v>
      </c>
      <c r="L220" t="s">
        <v>1137</v>
      </c>
      <c r="N220" t="s">
        <v>1138</v>
      </c>
      <c r="O220" t="s">
        <v>121</v>
      </c>
      <c r="P220" t="s">
        <v>138</v>
      </c>
      <c r="R220" t="s">
        <v>517</v>
      </c>
      <c r="S220" t="s">
        <v>189</v>
      </c>
      <c r="T220" t="s">
        <v>163</v>
      </c>
      <c r="U220" t="s">
        <v>164</v>
      </c>
      <c r="V220" t="s">
        <v>143</v>
      </c>
      <c r="W220" t="s">
        <v>67</v>
      </c>
      <c r="X220" t="s">
        <v>144</v>
      </c>
      <c r="Y220">
        <v>2</v>
      </c>
      <c r="BN220">
        <v>0</v>
      </c>
    </row>
    <row r="221" spans="1:66" x14ac:dyDescent="0.2">
      <c r="A221" t="s">
        <v>111</v>
      </c>
      <c r="B221" t="b">
        <v>1</v>
      </c>
      <c r="E221">
        <v>230</v>
      </c>
      <c r="F221" t="str">
        <f>HYPERLINK("https://portal.dnb.de/opac.htm?method=simpleSearch&amp;cqlMode=true&amp;query=idn%3D1066973229", "Portal")</f>
        <v>Portal</v>
      </c>
      <c r="G221" t="s">
        <v>133</v>
      </c>
      <c r="H221" t="s">
        <v>1139</v>
      </c>
      <c r="I221" t="s">
        <v>1140</v>
      </c>
      <c r="J221" t="s">
        <v>1141</v>
      </c>
      <c r="K221" t="s">
        <v>1141</v>
      </c>
      <c r="L221" t="s">
        <v>1141</v>
      </c>
      <c r="N221" t="s">
        <v>1142</v>
      </c>
      <c r="O221" t="s">
        <v>121</v>
      </c>
      <c r="P221" t="s">
        <v>146</v>
      </c>
      <c r="R221" t="s">
        <v>1143</v>
      </c>
      <c r="S221" t="s">
        <v>140</v>
      </c>
      <c r="T221" t="s">
        <v>163</v>
      </c>
      <c r="U221" t="s">
        <v>142</v>
      </c>
      <c r="V221" t="s">
        <v>143</v>
      </c>
      <c r="W221" t="s">
        <v>67</v>
      </c>
      <c r="X221" t="s">
        <v>144</v>
      </c>
      <c r="Y221">
        <v>1</v>
      </c>
      <c r="BN221">
        <v>0</v>
      </c>
    </row>
    <row r="222" spans="1:66" x14ac:dyDescent="0.2">
      <c r="A222" t="s">
        <v>111</v>
      </c>
      <c r="B222" t="b">
        <v>1</v>
      </c>
      <c r="E222">
        <v>231</v>
      </c>
      <c r="F222" t="str">
        <f>HYPERLINK("https://portal.dnb.de/opac.htm?method=simpleSearch&amp;cqlMode=true&amp;query=idn%3D1066965706", "Portal")</f>
        <v>Portal</v>
      </c>
      <c r="G222" t="s">
        <v>115</v>
      </c>
      <c r="H222" t="s">
        <v>1144</v>
      </c>
      <c r="I222" t="s">
        <v>1145</v>
      </c>
      <c r="J222" t="s">
        <v>1146</v>
      </c>
      <c r="K222" t="s">
        <v>1146</v>
      </c>
      <c r="L222" t="s">
        <v>1146</v>
      </c>
      <c r="N222" t="s">
        <v>654</v>
      </c>
      <c r="O222" t="s">
        <v>121</v>
      </c>
      <c r="P222" t="s">
        <v>138</v>
      </c>
      <c r="R222" t="s">
        <v>180</v>
      </c>
      <c r="S222" t="s">
        <v>140</v>
      </c>
      <c r="T222" t="s">
        <v>163</v>
      </c>
      <c r="U222" t="s">
        <v>508</v>
      </c>
      <c r="V222" t="s">
        <v>143</v>
      </c>
      <c r="W222" t="s">
        <v>67</v>
      </c>
      <c r="X222" t="s">
        <v>144</v>
      </c>
      <c r="Y222">
        <v>0</v>
      </c>
      <c r="AA222" t="s">
        <v>416</v>
      </c>
      <c r="BN222">
        <v>0</v>
      </c>
    </row>
    <row r="223" spans="1:66" x14ac:dyDescent="0.2">
      <c r="A223" t="s">
        <v>111</v>
      </c>
      <c r="B223" t="b">
        <v>1</v>
      </c>
      <c r="E223">
        <v>232</v>
      </c>
      <c r="F223" t="str">
        <f>HYPERLINK("https://portal.dnb.de/opac.htm?method=simpleSearch&amp;cqlMode=true&amp;query=idn%3D1066964866", "Portal")</f>
        <v>Portal</v>
      </c>
      <c r="G223" t="s">
        <v>133</v>
      </c>
      <c r="H223" t="s">
        <v>1147</v>
      </c>
      <c r="I223" t="s">
        <v>1148</v>
      </c>
      <c r="J223" t="s">
        <v>1149</v>
      </c>
      <c r="K223" t="s">
        <v>1149</v>
      </c>
      <c r="L223" t="s">
        <v>1149</v>
      </c>
      <c r="N223" t="s">
        <v>1150</v>
      </c>
      <c r="O223" t="s">
        <v>121</v>
      </c>
      <c r="BN223">
        <v>0</v>
      </c>
    </row>
    <row r="224" spans="1:66" x14ac:dyDescent="0.2">
      <c r="A224" t="s">
        <v>111</v>
      </c>
      <c r="B224" t="b">
        <v>1</v>
      </c>
      <c r="E224">
        <v>233</v>
      </c>
      <c r="F224" t="str">
        <f>HYPERLINK("https://portal.dnb.de/opac.htm?method=simpleSearch&amp;cqlMode=true&amp;query=idn%3D1066968934", "Portal")</f>
        <v>Portal</v>
      </c>
      <c r="G224" t="s">
        <v>133</v>
      </c>
      <c r="H224" t="s">
        <v>1151</v>
      </c>
      <c r="I224" t="s">
        <v>1152</v>
      </c>
      <c r="J224" t="s">
        <v>1153</v>
      </c>
      <c r="K224" t="s">
        <v>1153</v>
      </c>
      <c r="L224" t="s">
        <v>1153</v>
      </c>
      <c r="N224" t="s">
        <v>1154</v>
      </c>
      <c r="O224" t="s">
        <v>121</v>
      </c>
      <c r="R224" t="s">
        <v>171</v>
      </c>
      <c r="S224" t="s">
        <v>140</v>
      </c>
      <c r="T224" t="s">
        <v>163</v>
      </c>
      <c r="U224" t="s">
        <v>142</v>
      </c>
      <c r="V224" t="s">
        <v>143</v>
      </c>
      <c r="W224" t="s">
        <v>67</v>
      </c>
      <c r="X224" t="s">
        <v>144</v>
      </c>
      <c r="Y224">
        <v>0</v>
      </c>
      <c r="BN224">
        <v>0</v>
      </c>
    </row>
    <row r="225" spans="1:111" x14ac:dyDescent="0.2">
      <c r="A225" t="s">
        <v>111</v>
      </c>
      <c r="B225" t="b">
        <v>1</v>
      </c>
      <c r="E225">
        <v>234</v>
      </c>
      <c r="F225" t="str">
        <f>HYPERLINK("https://portal.dnb.de/opac.htm?method=simpleSearch&amp;cqlMode=true&amp;query=idn%3D1066968055", "Portal")</f>
        <v>Portal</v>
      </c>
      <c r="G225" t="s">
        <v>133</v>
      </c>
      <c r="H225" t="s">
        <v>1155</v>
      </c>
      <c r="I225" t="s">
        <v>1156</v>
      </c>
      <c r="J225" t="s">
        <v>1157</v>
      </c>
      <c r="K225" t="s">
        <v>1157</v>
      </c>
      <c r="L225" t="s">
        <v>1157</v>
      </c>
      <c r="N225" t="s">
        <v>1158</v>
      </c>
      <c r="O225" t="s">
        <v>121</v>
      </c>
      <c r="R225" t="s">
        <v>171</v>
      </c>
      <c r="S225" t="s">
        <v>140</v>
      </c>
      <c r="T225" t="s">
        <v>163</v>
      </c>
      <c r="U225" t="s">
        <v>142</v>
      </c>
      <c r="V225" t="s">
        <v>143</v>
      </c>
      <c r="W225" t="s">
        <v>67</v>
      </c>
      <c r="X225" t="s">
        <v>144</v>
      </c>
      <c r="Y225">
        <v>0</v>
      </c>
      <c r="BN225">
        <v>0</v>
      </c>
    </row>
    <row r="226" spans="1:111" x14ac:dyDescent="0.2">
      <c r="A226" t="s">
        <v>111</v>
      </c>
      <c r="B226" t="b">
        <v>1</v>
      </c>
      <c r="E226">
        <v>235</v>
      </c>
      <c r="F226" t="str">
        <f>HYPERLINK("https://portal.dnb.de/opac.htm?method=simpleSearch&amp;cqlMode=true&amp;query=idn%3D1066971994", "Portal")</f>
        <v>Portal</v>
      </c>
      <c r="G226" t="s">
        <v>115</v>
      </c>
      <c r="H226" t="s">
        <v>1159</v>
      </c>
      <c r="I226" t="s">
        <v>1160</v>
      </c>
      <c r="J226" t="s">
        <v>1161</v>
      </c>
      <c r="K226" t="s">
        <v>1161</v>
      </c>
      <c r="L226" t="s">
        <v>1161</v>
      </c>
      <c r="N226" t="s">
        <v>1162</v>
      </c>
      <c r="O226" t="s">
        <v>121</v>
      </c>
      <c r="P226" t="s">
        <v>138</v>
      </c>
      <c r="R226" t="s">
        <v>161</v>
      </c>
      <c r="S226" t="s">
        <v>140</v>
      </c>
      <c r="T226" t="s">
        <v>163</v>
      </c>
      <c r="U226" t="s">
        <v>1163</v>
      </c>
      <c r="V226" t="s">
        <v>143</v>
      </c>
      <c r="W226" t="s">
        <v>67</v>
      </c>
      <c r="X226" t="s">
        <v>144</v>
      </c>
      <c r="Y226">
        <v>0</v>
      </c>
      <c r="BN226">
        <v>0</v>
      </c>
    </row>
    <row r="227" spans="1:111" x14ac:dyDescent="0.2">
      <c r="A227" t="s">
        <v>111</v>
      </c>
      <c r="B227" t="b">
        <v>1</v>
      </c>
      <c r="E227">
        <v>236</v>
      </c>
      <c r="F227" t="str">
        <f>HYPERLINK("https://portal.dnb.de/opac.htm?method=simpleSearch&amp;cqlMode=true&amp;query=idn%3D107205812X", "Portal")</f>
        <v>Portal</v>
      </c>
      <c r="G227" t="s">
        <v>115</v>
      </c>
      <c r="H227" t="s">
        <v>1164</v>
      </c>
      <c r="I227" t="s">
        <v>1165</v>
      </c>
      <c r="J227" t="s">
        <v>1166</v>
      </c>
      <c r="K227" t="s">
        <v>1166</v>
      </c>
      <c r="L227" t="s">
        <v>1166</v>
      </c>
      <c r="N227" t="s">
        <v>1167</v>
      </c>
      <c r="O227" t="s">
        <v>121</v>
      </c>
      <c r="R227" t="s">
        <v>180</v>
      </c>
      <c r="S227" t="s">
        <v>189</v>
      </c>
      <c r="T227" t="s">
        <v>163</v>
      </c>
      <c r="U227" t="s">
        <v>172</v>
      </c>
      <c r="W227" t="s">
        <v>67</v>
      </c>
      <c r="X227" t="s">
        <v>144</v>
      </c>
      <c r="Y227">
        <v>0</v>
      </c>
      <c r="BN227">
        <v>0</v>
      </c>
    </row>
    <row r="228" spans="1:111" x14ac:dyDescent="0.2">
      <c r="A228" t="s">
        <v>111</v>
      </c>
      <c r="B228" t="b">
        <v>1</v>
      </c>
      <c r="E228">
        <v>237</v>
      </c>
      <c r="F228" t="str">
        <f>HYPERLINK("https://portal.dnb.de/opac.htm?method=simpleSearch&amp;cqlMode=true&amp;query=idn%3D1066972001", "Portal")</f>
        <v>Portal</v>
      </c>
      <c r="G228" t="s">
        <v>133</v>
      </c>
      <c r="H228" t="s">
        <v>1168</v>
      </c>
      <c r="I228" t="s">
        <v>1169</v>
      </c>
      <c r="J228" t="s">
        <v>1170</v>
      </c>
      <c r="K228" t="s">
        <v>1170</v>
      </c>
      <c r="L228" t="s">
        <v>1170</v>
      </c>
      <c r="N228" t="s">
        <v>1171</v>
      </c>
      <c r="O228" t="s">
        <v>121</v>
      </c>
      <c r="P228" t="s">
        <v>138</v>
      </c>
      <c r="R228" t="s">
        <v>161</v>
      </c>
      <c r="S228" t="s">
        <v>140</v>
      </c>
      <c r="T228" t="s">
        <v>163</v>
      </c>
      <c r="U228" t="s">
        <v>1172</v>
      </c>
      <c r="V228" t="s">
        <v>143</v>
      </c>
      <c r="W228" t="s">
        <v>67</v>
      </c>
      <c r="X228" t="s">
        <v>144</v>
      </c>
      <c r="Y228">
        <v>3</v>
      </c>
      <c r="BN228">
        <v>0</v>
      </c>
    </row>
    <row r="229" spans="1:111" x14ac:dyDescent="0.2">
      <c r="A229" t="s">
        <v>111</v>
      </c>
      <c r="B229" t="b">
        <v>1</v>
      </c>
      <c r="E229">
        <v>238</v>
      </c>
      <c r="F229" t="str">
        <f>HYPERLINK("https://portal.dnb.de/opac.htm?method=simpleSearch&amp;cqlMode=true&amp;query=idn%3D1066973180", "Portal")</f>
        <v>Portal</v>
      </c>
      <c r="G229" t="s">
        <v>115</v>
      </c>
      <c r="H229" t="s">
        <v>1173</v>
      </c>
      <c r="I229" t="s">
        <v>1174</v>
      </c>
      <c r="J229" t="s">
        <v>1175</v>
      </c>
      <c r="K229" t="s">
        <v>1175</v>
      </c>
      <c r="L229" t="s">
        <v>1175</v>
      </c>
      <c r="N229" t="s">
        <v>485</v>
      </c>
      <c r="O229" t="s">
        <v>121</v>
      </c>
      <c r="R229" t="s">
        <v>161</v>
      </c>
      <c r="S229" t="s">
        <v>140</v>
      </c>
      <c r="T229" t="s">
        <v>163</v>
      </c>
      <c r="U229" t="s">
        <v>172</v>
      </c>
      <c r="W229" t="s">
        <v>67</v>
      </c>
      <c r="X229" t="s">
        <v>144</v>
      </c>
      <c r="Y229">
        <v>2</v>
      </c>
      <c r="BN229">
        <v>0</v>
      </c>
    </row>
    <row r="230" spans="1:111" x14ac:dyDescent="0.2">
      <c r="A230" t="s">
        <v>111</v>
      </c>
      <c r="B230" t="b">
        <v>1</v>
      </c>
      <c r="E230">
        <v>239</v>
      </c>
      <c r="F230" t="str">
        <f>HYPERLINK("https://portal.dnb.de/opac.htm?method=simpleSearch&amp;cqlMode=true&amp;query=idn%3D1066970653", "Portal")</f>
        <v>Portal</v>
      </c>
      <c r="G230" t="s">
        <v>133</v>
      </c>
      <c r="H230" t="s">
        <v>1176</v>
      </c>
      <c r="I230" t="s">
        <v>1177</v>
      </c>
      <c r="J230" t="s">
        <v>1178</v>
      </c>
      <c r="K230" t="s">
        <v>1178</v>
      </c>
      <c r="L230" t="s">
        <v>1178</v>
      </c>
      <c r="N230" t="s">
        <v>577</v>
      </c>
      <c r="O230" t="s">
        <v>121</v>
      </c>
      <c r="P230" t="s">
        <v>146</v>
      </c>
      <c r="R230" t="s">
        <v>188</v>
      </c>
      <c r="S230" t="s">
        <v>140</v>
      </c>
      <c r="T230" t="s">
        <v>163</v>
      </c>
      <c r="U230" t="s">
        <v>142</v>
      </c>
      <c r="V230" t="s">
        <v>143</v>
      </c>
      <c r="W230" t="s">
        <v>67</v>
      </c>
      <c r="X230" t="s">
        <v>144</v>
      </c>
      <c r="Y230">
        <v>0</v>
      </c>
      <c r="BN230">
        <v>0</v>
      </c>
    </row>
    <row r="231" spans="1:111" x14ac:dyDescent="0.2">
      <c r="A231" t="s">
        <v>111</v>
      </c>
      <c r="B231" t="b">
        <v>1</v>
      </c>
      <c r="E231">
        <v>240</v>
      </c>
      <c r="F231" t="str">
        <f>HYPERLINK("https://portal.dnb.de/opac.htm?method=simpleSearch&amp;cqlMode=true&amp;query=idn%3D1066970882", "Portal")</f>
        <v>Portal</v>
      </c>
      <c r="G231" t="s">
        <v>115</v>
      </c>
      <c r="H231" t="s">
        <v>1179</v>
      </c>
      <c r="I231" t="s">
        <v>1180</v>
      </c>
      <c r="J231" t="s">
        <v>1181</v>
      </c>
      <c r="K231" t="s">
        <v>1181</v>
      </c>
      <c r="L231" t="s">
        <v>1181</v>
      </c>
      <c r="N231" t="s">
        <v>1182</v>
      </c>
      <c r="O231" t="s">
        <v>121</v>
      </c>
      <c r="P231" t="s">
        <v>138</v>
      </c>
      <c r="R231" t="s">
        <v>161</v>
      </c>
      <c r="S231" t="s">
        <v>189</v>
      </c>
      <c r="T231" t="s">
        <v>163</v>
      </c>
      <c r="U231" t="s">
        <v>1183</v>
      </c>
      <c r="V231" t="s">
        <v>143</v>
      </c>
      <c r="W231" t="s">
        <v>67</v>
      </c>
      <c r="X231" t="s">
        <v>144</v>
      </c>
      <c r="Y231">
        <v>3</v>
      </c>
      <c r="BN231">
        <v>0</v>
      </c>
    </row>
    <row r="232" spans="1:111" x14ac:dyDescent="0.2">
      <c r="A232" t="s">
        <v>111</v>
      </c>
      <c r="B232" t="b">
        <v>1</v>
      </c>
      <c r="E232">
        <v>241</v>
      </c>
      <c r="F232" t="str">
        <f>HYPERLINK("https://portal.dnb.de/opac.htm?method=simpleSearch&amp;cqlMode=true&amp;query=idn%3D1072058391", "Portal")</f>
        <v>Portal</v>
      </c>
      <c r="G232" t="s">
        <v>115</v>
      </c>
      <c r="H232" t="s">
        <v>1184</v>
      </c>
      <c r="I232" t="s">
        <v>1185</v>
      </c>
      <c r="J232" t="s">
        <v>1186</v>
      </c>
      <c r="K232" t="s">
        <v>1186</v>
      </c>
      <c r="L232" t="s">
        <v>1186</v>
      </c>
      <c r="N232" t="s">
        <v>577</v>
      </c>
      <c r="O232" t="s">
        <v>121</v>
      </c>
      <c r="P232" t="s">
        <v>138</v>
      </c>
      <c r="R232" t="s">
        <v>180</v>
      </c>
      <c r="S232" t="s">
        <v>140</v>
      </c>
      <c r="T232" t="s">
        <v>141</v>
      </c>
      <c r="U232" t="s">
        <v>243</v>
      </c>
      <c r="V232" t="s">
        <v>143</v>
      </c>
      <c r="W232" t="s">
        <v>67</v>
      </c>
      <c r="X232" t="s">
        <v>144</v>
      </c>
      <c r="Y232">
        <v>0</v>
      </c>
      <c r="BN232">
        <v>0</v>
      </c>
    </row>
    <row r="233" spans="1:111" x14ac:dyDescent="0.2">
      <c r="A233" t="s">
        <v>111</v>
      </c>
      <c r="B233" t="b">
        <v>1</v>
      </c>
      <c r="E233">
        <v>242</v>
      </c>
      <c r="F233" t="str">
        <f>HYPERLINK("https://portal.dnb.de/opac.htm?method=simpleSearch&amp;cqlMode=true&amp;query=idn%3D1066968217", "Portal")</f>
        <v>Portal</v>
      </c>
      <c r="G233" t="s">
        <v>133</v>
      </c>
      <c r="H233" t="s">
        <v>1187</v>
      </c>
      <c r="I233" t="s">
        <v>1188</v>
      </c>
      <c r="J233" t="s">
        <v>1189</v>
      </c>
      <c r="K233" t="s">
        <v>1189</v>
      </c>
      <c r="L233" t="s">
        <v>1189</v>
      </c>
      <c r="N233" t="s">
        <v>1190</v>
      </c>
      <c r="O233" t="s">
        <v>121</v>
      </c>
      <c r="P233" t="s">
        <v>138</v>
      </c>
      <c r="R233" t="s">
        <v>517</v>
      </c>
      <c r="S233" t="s">
        <v>140</v>
      </c>
      <c r="T233" t="s">
        <v>141</v>
      </c>
      <c r="U233" t="s">
        <v>172</v>
      </c>
      <c r="W233" t="s">
        <v>67</v>
      </c>
      <c r="X233" t="s">
        <v>144</v>
      </c>
      <c r="Y233">
        <v>0</v>
      </c>
      <c r="BN233">
        <v>0</v>
      </c>
    </row>
    <row r="234" spans="1:111" x14ac:dyDescent="0.2">
      <c r="A234" t="s">
        <v>111</v>
      </c>
      <c r="B234" t="b">
        <v>1</v>
      </c>
      <c r="E234">
        <v>243</v>
      </c>
      <c r="F234" t="str">
        <f>HYPERLINK("https://portal.dnb.de/opac.htm?method=simpleSearch&amp;cqlMode=true&amp;query=idn%3D1066968837", "Portal")</f>
        <v>Portal</v>
      </c>
      <c r="G234" t="s">
        <v>133</v>
      </c>
      <c r="H234" t="s">
        <v>1191</v>
      </c>
      <c r="I234" t="s">
        <v>1192</v>
      </c>
      <c r="J234" t="s">
        <v>1193</v>
      </c>
      <c r="K234" t="s">
        <v>1193</v>
      </c>
      <c r="L234" t="s">
        <v>1193</v>
      </c>
      <c r="N234" t="s">
        <v>1194</v>
      </c>
      <c r="O234" t="s">
        <v>121</v>
      </c>
      <c r="P234" t="s">
        <v>138</v>
      </c>
      <c r="R234" t="s">
        <v>180</v>
      </c>
      <c r="S234" t="s">
        <v>189</v>
      </c>
      <c r="T234" t="s">
        <v>163</v>
      </c>
      <c r="U234" t="s">
        <v>142</v>
      </c>
      <c r="V234" t="s">
        <v>143</v>
      </c>
      <c r="W234" t="s">
        <v>67</v>
      </c>
      <c r="X234" t="s">
        <v>144</v>
      </c>
      <c r="Y234">
        <v>0</v>
      </c>
      <c r="BN234">
        <v>0</v>
      </c>
    </row>
    <row r="235" spans="1:111" x14ac:dyDescent="0.2">
      <c r="A235" t="s">
        <v>111</v>
      </c>
      <c r="B235" t="b">
        <v>1</v>
      </c>
      <c r="C235" t="s">
        <v>146</v>
      </c>
      <c r="E235">
        <v>244</v>
      </c>
      <c r="F235" t="str">
        <f>HYPERLINK("https://portal.dnb.de/opac.htm?method=simpleSearch&amp;cqlMode=true&amp;query=idn%3D1066966095", "Portal")</f>
        <v>Portal</v>
      </c>
      <c r="G235" t="s">
        <v>115</v>
      </c>
      <c r="H235" t="s">
        <v>1195</v>
      </c>
      <c r="I235" t="s">
        <v>1196</v>
      </c>
      <c r="J235" t="s">
        <v>1197</v>
      </c>
      <c r="K235" t="s">
        <v>1197</v>
      </c>
      <c r="L235" t="s">
        <v>1197</v>
      </c>
      <c r="N235" t="s">
        <v>1198</v>
      </c>
      <c r="O235" t="s">
        <v>121</v>
      </c>
      <c r="P235" t="s">
        <v>138</v>
      </c>
      <c r="Q235" t="s">
        <v>1199</v>
      </c>
      <c r="R235" t="s">
        <v>347</v>
      </c>
      <c r="S235" t="s">
        <v>189</v>
      </c>
      <c r="T235" t="s">
        <v>141</v>
      </c>
      <c r="U235" t="s">
        <v>1200</v>
      </c>
      <c r="V235" t="s">
        <v>143</v>
      </c>
      <c r="W235" t="s">
        <v>67</v>
      </c>
      <c r="X235" t="s">
        <v>144</v>
      </c>
      <c r="Y235">
        <v>0</v>
      </c>
      <c r="Z235" t="s">
        <v>1201</v>
      </c>
      <c r="AI235" t="s">
        <v>174</v>
      </c>
      <c r="AK235" t="s">
        <v>146</v>
      </c>
      <c r="AM235" t="s">
        <v>228</v>
      </c>
      <c r="AS235" t="s">
        <v>148</v>
      </c>
      <c r="BC235" t="s">
        <v>166</v>
      </c>
      <c r="BD235" t="s">
        <v>146</v>
      </c>
      <c r="BG235">
        <v>110</v>
      </c>
      <c r="BM235" t="s">
        <v>151</v>
      </c>
      <c r="BN235">
        <v>2</v>
      </c>
      <c r="BP235" t="s">
        <v>152</v>
      </c>
      <c r="BV235" t="s">
        <v>1202</v>
      </c>
      <c r="BZ235" t="s">
        <v>1203</v>
      </c>
      <c r="CR235" t="s">
        <v>146</v>
      </c>
      <c r="CV235" t="s">
        <v>146</v>
      </c>
      <c r="DF235">
        <v>2</v>
      </c>
      <c r="DG235" t="s">
        <v>1204</v>
      </c>
    </row>
    <row r="236" spans="1:111" x14ac:dyDescent="0.2">
      <c r="A236" t="s">
        <v>111</v>
      </c>
      <c r="B236" t="b">
        <v>1</v>
      </c>
      <c r="E236">
        <v>245</v>
      </c>
      <c r="F236" t="str">
        <f>HYPERLINK("https://portal.dnb.de/opac.htm?method=simpleSearch&amp;cqlMode=true&amp;query=idn%3D1066970718", "Portal")</f>
        <v>Portal</v>
      </c>
      <c r="G236" t="s">
        <v>133</v>
      </c>
      <c r="H236" t="s">
        <v>1205</v>
      </c>
      <c r="I236" t="s">
        <v>1206</v>
      </c>
      <c r="J236" t="s">
        <v>1207</v>
      </c>
      <c r="K236" t="s">
        <v>1207</v>
      </c>
      <c r="L236" t="s">
        <v>1207</v>
      </c>
      <c r="N236" t="s">
        <v>1208</v>
      </c>
      <c r="O236" t="s">
        <v>121</v>
      </c>
      <c r="P236" t="s">
        <v>138</v>
      </c>
      <c r="R236" t="s">
        <v>161</v>
      </c>
      <c r="S236" t="s">
        <v>140</v>
      </c>
      <c r="T236" t="s">
        <v>163</v>
      </c>
      <c r="U236" t="s">
        <v>172</v>
      </c>
      <c r="W236" t="s">
        <v>67</v>
      </c>
      <c r="X236" t="s">
        <v>144</v>
      </c>
      <c r="Y236">
        <v>0</v>
      </c>
      <c r="BN236">
        <v>0</v>
      </c>
    </row>
    <row r="237" spans="1:111" x14ac:dyDescent="0.2">
      <c r="A237" t="s">
        <v>111</v>
      </c>
      <c r="B237" t="b">
        <v>1</v>
      </c>
      <c r="E237">
        <v>246</v>
      </c>
      <c r="F237" t="str">
        <f>HYPERLINK("https://portal.dnb.de/opac.htm?method=simpleSearch&amp;cqlMode=true&amp;query=idn%3D1066973288", "Portal")</f>
        <v>Portal</v>
      </c>
      <c r="G237" t="s">
        <v>133</v>
      </c>
      <c r="H237" t="s">
        <v>1209</v>
      </c>
      <c r="I237" t="s">
        <v>1210</v>
      </c>
      <c r="J237" t="s">
        <v>1211</v>
      </c>
      <c r="K237" t="s">
        <v>1211</v>
      </c>
      <c r="L237" t="s">
        <v>1211</v>
      </c>
      <c r="N237" t="s">
        <v>1212</v>
      </c>
      <c r="O237" t="s">
        <v>121</v>
      </c>
      <c r="P237" t="s">
        <v>138</v>
      </c>
      <c r="R237" t="s">
        <v>161</v>
      </c>
      <c r="S237" t="s">
        <v>189</v>
      </c>
      <c r="U237" t="s">
        <v>1213</v>
      </c>
      <c r="W237" t="s">
        <v>67</v>
      </c>
      <c r="X237" t="s">
        <v>144</v>
      </c>
      <c r="Y237">
        <v>0</v>
      </c>
      <c r="BN237">
        <v>0</v>
      </c>
    </row>
    <row r="238" spans="1:111" x14ac:dyDescent="0.2">
      <c r="A238" t="s">
        <v>111</v>
      </c>
      <c r="B238" t="b">
        <v>1</v>
      </c>
      <c r="E238">
        <v>247</v>
      </c>
      <c r="F238" t="str">
        <f>HYPERLINK("https://portal.dnb.de/opac.htm?method=simpleSearch&amp;cqlMode=true&amp;query=idn%3D106697330X", "Portal")</f>
        <v>Portal</v>
      </c>
      <c r="G238" t="s">
        <v>133</v>
      </c>
      <c r="H238" t="s">
        <v>1214</v>
      </c>
      <c r="I238" t="s">
        <v>1215</v>
      </c>
      <c r="J238" t="s">
        <v>1216</v>
      </c>
      <c r="K238" t="s">
        <v>1216</v>
      </c>
      <c r="L238" t="s">
        <v>1216</v>
      </c>
      <c r="N238" t="s">
        <v>1217</v>
      </c>
      <c r="O238" t="s">
        <v>121</v>
      </c>
      <c r="P238" t="s">
        <v>138</v>
      </c>
      <c r="R238" t="s">
        <v>207</v>
      </c>
      <c r="S238" t="s">
        <v>189</v>
      </c>
      <c r="U238" t="s">
        <v>660</v>
      </c>
      <c r="V238" t="s">
        <v>143</v>
      </c>
      <c r="W238" t="s">
        <v>67</v>
      </c>
      <c r="X238" t="s">
        <v>144</v>
      </c>
      <c r="Y238">
        <v>1</v>
      </c>
      <c r="BN238">
        <v>0</v>
      </c>
    </row>
    <row r="239" spans="1:111" x14ac:dyDescent="0.2">
      <c r="A239" t="s">
        <v>111</v>
      </c>
      <c r="B239" t="b">
        <v>1</v>
      </c>
      <c r="E239">
        <v>248</v>
      </c>
      <c r="F239" t="str">
        <f>HYPERLINK("https://portal.dnb.de/opac.htm?method=simpleSearch&amp;cqlMode=true&amp;query=idn%3D1066973377", "Portal")</f>
        <v>Portal</v>
      </c>
      <c r="G239" t="s">
        <v>133</v>
      </c>
      <c r="H239" t="s">
        <v>1218</v>
      </c>
      <c r="I239" t="s">
        <v>1219</v>
      </c>
      <c r="J239" t="s">
        <v>1220</v>
      </c>
      <c r="K239" t="s">
        <v>1220</v>
      </c>
      <c r="L239" t="s">
        <v>1220</v>
      </c>
      <c r="N239" t="s">
        <v>1221</v>
      </c>
      <c r="O239" t="s">
        <v>121</v>
      </c>
      <c r="P239" t="s">
        <v>138</v>
      </c>
      <c r="R239" t="s">
        <v>161</v>
      </c>
      <c r="S239" t="s">
        <v>189</v>
      </c>
      <c r="T239" t="s">
        <v>141</v>
      </c>
      <c r="U239" t="s">
        <v>142</v>
      </c>
      <c r="V239" t="s">
        <v>143</v>
      </c>
      <c r="W239" t="s">
        <v>67</v>
      </c>
      <c r="X239" t="s">
        <v>144</v>
      </c>
      <c r="Y239">
        <v>0</v>
      </c>
      <c r="AA239" t="s">
        <v>1222</v>
      </c>
      <c r="BN239">
        <v>0</v>
      </c>
    </row>
    <row r="240" spans="1:111" x14ac:dyDescent="0.2">
      <c r="A240" t="s">
        <v>111</v>
      </c>
      <c r="B240" t="b">
        <v>1</v>
      </c>
      <c r="E240">
        <v>249</v>
      </c>
      <c r="F240" t="str">
        <f>HYPERLINK("https://portal.dnb.de/opac.htm?method=simpleSearch&amp;cqlMode=true&amp;query=idn%3D106696467X", "Portal")</f>
        <v>Portal</v>
      </c>
      <c r="G240" t="s">
        <v>133</v>
      </c>
      <c r="H240" t="s">
        <v>1223</v>
      </c>
      <c r="I240" t="s">
        <v>1224</v>
      </c>
      <c r="J240" t="s">
        <v>1225</v>
      </c>
      <c r="K240" t="s">
        <v>1225</v>
      </c>
      <c r="L240" t="s">
        <v>1225</v>
      </c>
      <c r="N240" t="s">
        <v>1226</v>
      </c>
      <c r="O240" t="s">
        <v>121</v>
      </c>
      <c r="P240" t="s">
        <v>138</v>
      </c>
      <c r="R240" t="s">
        <v>161</v>
      </c>
      <c r="S240" t="s">
        <v>140</v>
      </c>
      <c r="T240" t="s">
        <v>141</v>
      </c>
      <c r="U240" t="s">
        <v>164</v>
      </c>
      <c r="V240" t="s">
        <v>143</v>
      </c>
      <c r="W240" t="s">
        <v>67</v>
      </c>
      <c r="X240" t="s">
        <v>144</v>
      </c>
      <c r="Y240">
        <v>1</v>
      </c>
      <c r="BN240">
        <v>0</v>
      </c>
    </row>
    <row r="241" spans="1:66" x14ac:dyDescent="0.2">
      <c r="A241" t="s">
        <v>111</v>
      </c>
      <c r="B241" t="b">
        <v>1</v>
      </c>
      <c r="E241">
        <v>250</v>
      </c>
      <c r="F241" t="str">
        <f>HYPERLINK("https://portal.dnb.de/opac.htm?method=simpleSearch&amp;cqlMode=true&amp;query=idn%3D1066972168", "Portal")</f>
        <v>Portal</v>
      </c>
      <c r="G241" t="s">
        <v>115</v>
      </c>
      <c r="H241" t="s">
        <v>1227</v>
      </c>
      <c r="I241" t="s">
        <v>1228</v>
      </c>
      <c r="J241" t="s">
        <v>1229</v>
      </c>
      <c r="K241" t="s">
        <v>1229</v>
      </c>
      <c r="L241" t="s">
        <v>1229</v>
      </c>
      <c r="N241" t="s">
        <v>1230</v>
      </c>
      <c r="O241" t="s">
        <v>121</v>
      </c>
      <c r="P241" t="s">
        <v>138</v>
      </c>
      <c r="R241" t="s">
        <v>207</v>
      </c>
      <c r="S241" t="s">
        <v>189</v>
      </c>
      <c r="U241" t="s">
        <v>172</v>
      </c>
      <c r="W241" t="s">
        <v>67</v>
      </c>
      <c r="X241" t="s">
        <v>144</v>
      </c>
      <c r="Y241">
        <v>1</v>
      </c>
      <c r="BN241">
        <v>0</v>
      </c>
    </row>
    <row r="242" spans="1:66" x14ac:dyDescent="0.2">
      <c r="A242" t="s">
        <v>111</v>
      </c>
      <c r="B242" t="b">
        <v>1</v>
      </c>
      <c r="F242" t="str">
        <f>HYPERLINK("https://portal.dnb.de/opac.htm?method=simpleSearch&amp;cqlMode=true&amp;query=idn%3D1268385603", "Portal")</f>
        <v>Portal</v>
      </c>
      <c r="G242" t="s">
        <v>300</v>
      </c>
      <c r="H242" t="s">
        <v>1231</v>
      </c>
      <c r="I242" t="s">
        <v>1232</v>
      </c>
      <c r="J242" t="s">
        <v>1233</v>
      </c>
      <c r="K242" t="s">
        <v>1233</v>
      </c>
      <c r="L242" t="s">
        <v>1233</v>
      </c>
      <c r="N242" t="s">
        <v>1234</v>
      </c>
      <c r="O242" t="s">
        <v>121</v>
      </c>
      <c r="P242" t="s">
        <v>138</v>
      </c>
      <c r="R242" t="s">
        <v>139</v>
      </c>
      <c r="S242" t="s">
        <v>189</v>
      </c>
      <c r="T242" t="s">
        <v>141</v>
      </c>
      <c r="U242" t="s">
        <v>142</v>
      </c>
      <c r="V242" t="s">
        <v>143</v>
      </c>
      <c r="W242" t="s">
        <v>67</v>
      </c>
      <c r="X242" t="s">
        <v>144</v>
      </c>
      <c r="Y242">
        <v>0</v>
      </c>
      <c r="BN242">
        <v>0</v>
      </c>
    </row>
    <row r="243" spans="1:66" x14ac:dyDescent="0.2">
      <c r="A243" t="s">
        <v>111</v>
      </c>
      <c r="B243" t="b">
        <v>1</v>
      </c>
      <c r="E243">
        <v>253</v>
      </c>
      <c r="F243" t="str">
        <f>HYPERLINK("https://portal.dnb.de/opac.htm?method=simpleSearch&amp;cqlMode=true&amp;query=idn%3D1066965951", "Portal")</f>
        <v>Portal</v>
      </c>
      <c r="G243" t="s">
        <v>133</v>
      </c>
      <c r="H243" t="s">
        <v>1235</v>
      </c>
      <c r="I243" t="s">
        <v>1236</v>
      </c>
      <c r="J243" t="s">
        <v>1237</v>
      </c>
      <c r="K243" t="s">
        <v>1237</v>
      </c>
      <c r="L243" t="s">
        <v>1237</v>
      </c>
      <c r="N243" t="s">
        <v>1238</v>
      </c>
      <c r="O243" t="s">
        <v>121</v>
      </c>
      <c r="P243" t="s">
        <v>138</v>
      </c>
      <c r="R243" t="s">
        <v>207</v>
      </c>
      <c r="S243" t="s">
        <v>189</v>
      </c>
      <c r="T243" t="s">
        <v>141</v>
      </c>
      <c r="U243" t="s">
        <v>142</v>
      </c>
      <c r="V243" t="s">
        <v>143</v>
      </c>
      <c r="W243" t="s">
        <v>67</v>
      </c>
      <c r="X243" t="s">
        <v>144</v>
      </c>
      <c r="Y243">
        <v>0</v>
      </c>
      <c r="BN243">
        <v>0</v>
      </c>
    </row>
    <row r="244" spans="1:66" x14ac:dyDescent="0.2">
      <c r="A244" t="s">
        <v>111</v>
      </c>
      <c r="B244" t="b">
        <v>1</v>
      </c>
      <c r="E244">
        <v>254</v>
      </c>
      <c r="F244" t="str">
        <f>HYPERLINK("https://portal.dnb.de/opac.htm?method=simpleSearch&amp;cqlMode=true&amp;query=idn%3D1066970734", "Portal")</f>
        <v>Portal</v>
      </c>
      <c r="G244" t="s">
        <v>133</v>
      </c>
      <c r="H244" t="s">
        <v>1239</v>
      </c>
      <c r="I244" t="s">
        <v>1240</v>
      </c>
      <c r="J244" t="s">
        <v>1241</v>
      </c>
      <c r="K244" t="s">
        <v>1241</v>
      </c>
      <c r="L244" t="s">
        <v>1241</v>
      </c>
      <c r="N244" t="s">
        <v>1242</v>
      </c>
      <c r="O244" t="s">
        <v>121</v>
      </c>
      <c r="P244" t="s">
        <v>138</v>
      </c>
      <c r="R244" t="s">
        <v>207</v>
      </c>
      <c r="S244" t="s">
        <v>189</v>
      </c>
      <c r="T244" t="s">
        <v>141</v>
      </c>
      <c r="U244" t="s">
        <v>886</v>
      </c>
      <c r="W244" t="s">
        <v>67</v>
      </c>
      <c r="X244" t="s">
        <v>144</v>
      </c>
      <c r="Y244">
        <v>1</v>
      </c>
      <c r="BN244">
        <v>0</v>
      </c>
    </row>
    <row r="245" spans="1:66" x14ac:dyDescent="0.2">
      <c r="A245" t="s">
        <v>111</v>
      </c>
      <c r="B245" t="b">
        <v>1</v>
      </c>
      <c r="E245">
        <v>255</v>
      </c>
      <c r="F245" t="str">
        <f>HYPERLINK("https://portal.dnb.de/opac.htm?method=simpleSearch&amp;cqlMode=true&amp;query=idn%3D1072319012", "Portal")</f>
        <v>Portal</v>
      </c>
      <c r="G245" t="s">
        <v>115</v>
      </c>
      <c r="H245" t="s">
        <v>1243</v>
      </c>
      <c r="I245" t="s">
        <v>1244</v>
      </c>
      <c r="J245" t="s">
        <v>1245</v>
      </c>
      <c r="K245" t="s">
        <v>1245</v>
      </c>
      <c r="L245" t="s">
        <v>1245</v>
      </c>
      <c r="N245" t="s">
        <v>1246</v>
      </c>
      <c r="O245" t="s">
        <v>121</v>
      </c>
      <c r="P245" t="s">
        <v>138</v>
      </c>
      <c r="R245" t="s">
        <v>1048</v>
      </c>
      <c r="S245" t="s">
        <v>189</v>
      </c>
      <c r="T245" t="s">
        <v>141</v>
      </c>
      <c r="U245" t="s">
        <v>172</v>
      </c>
      <c r="W245" t="s">
        <v>67</v>
      </c>
      <c r="X245" t="s">
        <v>144</v>
      </c>
      <c r="Y245">
        <v>0</v>
      </c>
      <c r="BN245">
        <v>0</v>
      </c>
    </row>
    <row r="246" spans="1:66" x14ac:dyDescent="0.2">
      <c r="A246" t="s">
        <v>111</v>
      </c>
      <c r="B246" t="b">
        <v>1</v>
      </c>
      <c r="E246">
        <v>256</v>
      </c>
      <c r="F246" t="str">
        <f>HYPERLINK("https://portal.dnb.de/opac.htm?method=simpleSearch&amp;cqlMode=true&amp;query=idn%3D107205888X", "Portal")</f>
        <v>Portal</v>
      </c>
      <c r="G246" t="s">
        <v>115</v>
      </c>
      <c r="H246" t="s">
        <v>1247</v>
      </c>
      <c r="I246" t="s">
        <v>1248</v>
      </c>
      <c r="J246" t="s">
        <v>1249</v>
      </c>
      <c r="K246" t="s">
        <v>1249</v>
      </c>
      <c r="L246" t="s">
        <v>1249</v>
      </c>
      <c r="N246" t="s">
        <v>179</v>
      </c>
      <c r="O246" t="s">
        <v>121</v>
      </c>
      <c r="P246" t="s">
        <v>138</v>
      </c>
      <c r="R246" t="s">
        <v>517</v>
      </c>
      <c r="S246" t="s">
        <v>140</v>
      </c>
      <c r="T246" t="s">
        <v>141</v>
      </c>
      <c r="U246" t="s">
        <v>243</v>
      </c>
      <c r="V246" t="s">
        <v>143</v>
      </c>
      <c r="W246" t="s">
        <v>67</v>
      </c>
      <c r="X246" t="s">
        <v>144</v>
      </c>
      <c r="Y246">
        <v>0</v>
      </c>
      <c r="BN246">
        <v>0</v>
      </c>
    </row>
    <row r="247" spans="1:66" x14ac:dyDescent="0.2">
      <c r="A247" t="s">
        <v>111</v>
      </c>
      <c r="B247" t="b">
        <v>1</v>
      </c>
      <c r="E247">
        <v>257</v>
      </c>
      <c r="F247" t="str">
        <f>HYPERLINK("https://portal.dnb.de/opac.htm?method=simpleSearch&amp;cqlMode=true&amp;query=idn%3D1066965099", "Portal")</f>
        <v>Portal</v>
      </c>
      <c r="G247" t="s">
        <v>133</v>
      </c>
      <c r="H247" t="s">
        <v>1250</v>
      </c>
      <c r="I247" t="s">
        <v>1251</v>
      </c>
      <c r="J247" t="s">
        <v>1252</v>
      </c>
      <c r="K247" t="s">
        <v>1252</v>
      </c>
      <c r="L247" t="s">
        <v>1252</v>
      </c>
      <c r="N247" t="s">
        <v>1253</v>
      </c>
      <c r="O247" t="s">
        <v>121</v>
      </c>
      <c r="P247" t="s">
        <v>138</v>
      </c>
      <c r="R247" t="s">
        <v>171</v>
      </c>
      <c r="S247" t="s">
        <v>189</v>
      </c>
      <c r="T247" t="s">
        <v>163</v>
      </c>
      <c r="U247" t="s">
        <v>172</v>
      </c>
      <c r="W247" t="s">
        <v>67</v>
      </c>
      <c r="X247" t="s">
        <v>144</v>
      </c>
      <c r="Y247">
        <v>0</v>
      </c>
      <c r="BN247">
        <v>0</v>
      </c>
    </row>
    <row r="248" spans="1:66" x14ac:dyDescent="0.2">
      <c r="A248" t="s">
        <v>111</v>
      </c>
      <c r="B248" t="b">
        <v>1</v>
      </c>
      <c r="E248">
        <v>258</v>
      </c>
      <c r="F248" t="str">
        <f>HYPERLINK("https://portal.dnb.de/opac.htm?method=simpleSearch&amp;cqlMode=true&amp;query=idn%3D1066969663", "Portal")</f>
        <v>Portal</v>
      </c>
      <c r="G248" t="s">
        <v>133</v>
      </c>
      <c r="H248" t="s">
        <v>1254</v>
      </c>
      <c r="I248" t="s">
        <v>1255</v>
      </c>
      <c r="J248" t="s">
        <v>1256</v>
      </c>
      <c r="K248" t="s">
        <v>1256</v>
      </c>
      <c r="L248" t="s">
        <v>1256</v>
      </c>
      <c r="N248" t="s">
        <v>1257</v>
      </c>
      <c r="O248" t="s">
        <v>121</v>
      </c>
      <c r="R248" t="s">
        <v>1048</v>
      </c>
      <c r="S248" t="s">
        <v>189</v>
      </c>
      <c r="T248" t="s">
        <v>141</v>
      </c>
      <c r="U248" t="s">
        <v>243</v>
      </c>
      <c r="V248" t="s">
        <v>143</v>
      </c>
      <c r="W248" t="s">
        <v>67</v>
      </c>
      <c r="X248" t="s">
        <v>144</v>
      </c>
      <c r="Y248">
        <v>0</v>
      </c>
      <c r="BN248">
        <v>0</v>
      </c>
    </row>
    <row r="249" spans="1:66" x14ac:dyDescent="0.2">
      <c r="A249" t="s">
        <v>111</v>
      </c>
      <c r="B249" t="b">
        <v>1</v>
      </c>
      <c r="E249">
        <v>259</v>
      </c>
      <c r="F249" t="str">
        <f>HYPERLINK("https://portal.dnb.de/opac.htm?method=simpleSearch&amp;cqlMode=true&amp;query=idn%3D1066973210", "Portal")</f>
        <v>Portal</v>
      </c>
      <c r="G249" t="s">
        <v>133</v>
      </c>
      <c r="H249" t="s">
        <v>1258</v>
      </c>
      <c r="I249" t="s">
        <v>1259</v>
      </c>
      <c r="J249" t="s">
        <v>1260</v>
      </c>
      <c r="K249" t="s">
        <v>1260</v>
      </c>
      <c r="L249" t="s">
        <v>1260</v>
      </c>
      <c r="N249" t="s">
        <v>1261</v>
      </c>
      <c r="O249" t="s">
        <v>121</v>
      </c>
      <c r="P249" t="s">
        <v>138</v>
      </c>
      <c r="R249" t="s">
        <v>1262</v>
      </c>
      <c r="S249" t="s">
        <v>189</v>
      </c>
      <c r="T249" t="s">
        <v>163</v>
      </c>
      <c r="W249" t="s">
        <v>1263</v>
      </c>
      <c r="X249" t="s">
        <v>144</v>
      </c>
      <c r="Y249">
        <v>0</v>
      </c>
      <c r="AA249" t="s">
        <v>1264</v>
      </c>
      <c r="BN249">
        <v>0</v>
      </c>
    </row>
    <row r="250" spans="1:66" x14ac:dyDescent="0.2">
      <c r="A250" t="s">
        <v>111</v>
      </c>
      <c r="B250" t="b">
        <v>1</v>
      </c>
      <c r="E250">
        <v>260</v>
      </c>
      <c r="F250" t="str">
        <f>HYPERLINK("https://portal.dnb.de/opac.htm?method=simpleSearch&amp;cqlMode=true&amp;query=idn%3D1072320371", "Portal")</f>
        <v>Portal</v>
      </c>
      <c r="G250" t="s">
        <v>115</v>
      </c>
      <c r="H250" t="s">
        <v>1265</v>
      </c>
      <c r="I250" t="s">
        <v>1266</v>
      </c>
      <c r="J250" t="s">
        <v>1267</v>
      </c>
      <c r="K250" t="s">
        <v>1267</v>
      </c>
      <c r="L250" t="s">
        <v>1267</v>
      </c>
      <c r="N250" t="s">
        <v>1268</v>
      </c>
      <c r="O250" t="s">
        <v>121</v>
      </c>
      <c r="P250" t="s">
        <v>138</v>
      </c>
      <c r="R250" t="s">
        <v>1048</v>
      </c>
      <c r="S250" t="s">
        <v>189</v>
      </c>
      <c r="T250" t="s">
        <v>141</v>
      </c>
      <c r="U250" t="s">
        <v>886</v>
      </c>
      <c r="W250" t="s">
        <v>67</v>
      </c>
      <c r="X250" t="s">
        <v>144</v>
      </c>
      <c r="Y250">
        <v>0</v>
      </c>
      <c r="BN250">
        <v>0</v>
      </c>
    </row>
    <row r="251" spans="1:66" x14ac:dyDescent="0.2">
      <c r="A251" t="s">
        <v>111</v>
      </c>
      <c r="B251" t="b">
        <v>1</v>
      </c>
      <c r="E251">
        <v>262</v>
      </c>
      <c r="F251" t="str">
        <f>HYPERLINK("https://portal.dnb.de/opac.htm?method=simpleSearch&amp;cqlMode=true&amp;query=idn%3D1072059312", "Portal")</f>
        <v>Portal</v>
      </c>
      <c r="G251" t="s">
        <v>115</v>
      </c>
      <c r="H251" t="s">
        <v>1269</v>
      </c>
      <c r="I251" t="s">
        <v>1270</v>
      </c>
      <c r="J251" t="s">
        <v>1271</v>
      </c>
      <c r="K251" t="s">
        <v>1271</v>
      </c>
      <c r="L251" t="s">
        <v>1271</v>
      </c>
      <c r="N251" t="s">
        <v>276</v>
      </c>
      <c r="O251" t="s">
        <v>121</v>
      </c>
      <c r="P251" t="s">
        <v>138</v>
      </c>
      <c r="R251" t="s">
        <v>161</v>
      </c>
      <c r="S251" t="s">
        <v>140</v>
      </c>
      <c r="T251" t="s">
        <v>141</v>
      </c>
      <c r="U251" t="s">
        <v>243</v>
      </c>
      <c r="V251" t="s">
        <v>143</v>
      </c>
      <c r="W251" t="s">
        <v>67</v>
      </c>
      <c r="X251" t="s">
        <v>144</v>
      </c>
      <c r="Y251">
        <v>0</v>
      </c>
      <c r="BN251">
        <v>0</v>
      </c>
    </row>
    <row r="252" spans="1:66" x14ac:dyDescent="0.2">
      <c r="A252" t="s">
        <v>111</v>
      </c>
      <c r="B252" t="b">
        <v>1</v>
      </c>
      <c r="E252">
        <v>263</v>
      </c>
      <c r="F252" t="str">
        <f>HYPERLINK("https://portal.dnb.de/opac.htm?method=simpleSearch&amp;cqlMode=true&amp;query=idn%3D1067438289", "Portal")</f>
        <v>Portal</v>
      </c>
      <c r="G252" t="s">
        <v>218</v>
      </c>
      <c r="H252" t="s">
        <v>1272</v>
      </c>
      <c r="I252" t="s">
        <v>1273</v>
      </c>
      <c r="J252" t="s">
        <v>1274</v>
      </c>
      <c r="K252" t="s">
        <v>1274</v>
      </c>
      <c r="L252" t="s">
        <v>1274</v>
      </c>
      <c r="N252" t="s">
        <v>1275</v>
      </c>
      <c r="O252" t="s">
        <v>121</v>
      </c>
      <c r="BN252">
        <v>0</v>
      </c>
    </row>
    <row r="253" spans="1:66" x14ac:dyDescent="0.2">
      <c r="A253" t="s">
        <v>111</v>
      </c>
      <c r="B253" t="b">
        <v>1</v>
      </c>
      <c r="E253">
        <v>264</v>
      </c>
      <c r="F253" t="str">
        <f>HYPERLINK("https://portal.dnb.de/opac.htm?method=simpleSearch&amp;cqlMode=true&amp;query=idn%3D1067438548", "Portal")</f>
        <v>Portal</v>
      </c>
      <c r="G253" t="s">
        <v>218</v>
      </c>
      <c r="H253" t="s">
        <v>1276</v>
      </c>
      <c r="I253" t="s">
        <v>1277</v>
      </c>
      <c r="J253" t="s">
        <v>1278</v>
      </c>
      <c r="K253" t="s">
        <v>1278</v>
      </c>
      <c r="L253" t="s">
        <v>1278</v>
      </c>
      <c r="N253" t="s">
        <v>1279</v>
      </c>
      <c r="O253" t="s">
        <v>121</v>
      </c>
      <c r="BN253">
        <v>0</v>
      </c>
    </row>
    <row r="254" spans="1:66" x14ac:dyDescent="0.2">
      <c r="A254" t="s">
        <v>111</v>
      </c>
      <c r="B254" t="b">
        <v>1</v>
      </c>
      <c r="E254">
        <v>265</v>
      </c>
      <c r="F254" t="str">
        <f>HYPERLINK("https://portal.dnb.de/opac.htm?method=simpleSearch&amp;cqlMode=true&amp;query=idn%3D1067439005", "Portal")</f>
        <v>Portal</v>
      </c>
      <c r="G254" t="s">
        <v>218</v>
      </c>
      <c r="H254" t="s">
        <v>1280</v>
      </c>
      <c r="I254" t="s">
        <v>1281</v>
      </c>
      <c r="J254" t="s">
        <v>1282</v>
      </c>
      <c r="K254" t="s">
        <v>1282</v>
      </c>
      <c r="L254" t="s">
        <v>1282</v>
      </c>
      <c r="N254" t="s">
        <v>1283</v>
      </c>
      <c r="O254" t="s">
        <v>121</v>
      </c>
      <c r="BN254">
        <v>0</v>
      </c>
    </row>
    <row r="255" spans="1:66" x14ac:dyDescent="0.2">
      <c r="A255" t="s">
        <v>111</v>
      </c>
      <c r="B255" t="b">
        <v>1</v>
      </c>
      <c r="E255">
        <v>266</v>
      </c>
      <c r="F255" t="str">
        <f>HYPERLINK("https://portal.dnb.de/opac.htm?method=simpleSearch&amp;cqlMode=true&amp;query=idn%3D1072059665", "Portal")</f>
        <v>Portal</v>
      </c>
      <c r="G255" t="s">
        <v>115</v>
      </c>
      <c r="H255" t="s">
        <v>1284</v>
      </c>
      <c r="I255" t="s">
        <v>1285</v>
      </c>
      <c r="J255" t="s">
        <v>1286</v>
      </c>
      <c r="K255" t="s">
        <v>1286</v>
      </c>
      <c r="L255" t="s">
        <v>1286</v>
      </c>
      <c r="N255" t="s">
        <v>1287</v>
      </c>
      <c r="O255" t="s">
        <v>121</v>
      </c>
      <c r="P255" t="s">
        <v>138</v>
      </c>
      <c r="R255" t="s">
        <v>171</v>
      </c>
      <c r="S255" t="s">
        <v>189</v>
      </c>
      <c r="T255" t="s">
        <v>141</v>
      </c>
      <c r="U255" t="s">
        <v>886</v>
      </c>
      <c r="W255" t="s">
        <v>1263</v>
      </c>
      <c r="X255" t="s">
        <v>144</v>
      </c>
      <c r="Y255">
        <v>0</v>
      </c>
      <c r="BN255">
        <v>0</v>
      </c>
    </row>
    <row r="256" spans="1:66" x14ac:dyDescent="0.2">
      <c r="A256" t="s">
        <v>111</v>
      </c>
      <c r="B256" t="b">
        <v>1</v>
      </c>
      <c r="E256">
        <v>267</v>
      </c>
      <c r="F256" t="str">
        <f>HYPERLINK("https://portal.dnb.de/opac.htm?method=simpleSearch&amp;cqlMode=true&amp;query=idn%3D1066967202", "Portal")</f>
        <v>Portal</v>
      </c>
      <c r="G256" t="s">
        <v>133</v>
      </c>
      <c r="H256" t="s">
        <v>1288</v>
      </c>
      <c r="I256" t="s">
        <v>1289</v>
      </c>
      <c r="J256" t="s">
        <v>1290</v>
      </c>
      <c r="K256" t="s">
        <v>1290</v>
      </c>
      <c r="L256" t="s">
        <v>1291</v>
      </c>
      <c r="N256" t="s">
        <v>1292</v>
      </c>
      <c r="O256" t="s">
        <v>121</v>
      </c>
      <c r="P256" t="s">
        <v>138</v>
      </c>
      <c r="R256" t="s">
        <v>161</v>
      </c>
      <c r="S256" t="s">
        <v>189</v>
      </c>
      <c r="T256" t="s">
        <v>471</v>
      </c>
      <c r="U256" t="s">
        <v>1293</v>
      </c>
      <c r="V256" t="s">
        <v>143</v>
      </c>
      <c r="W256" t="s">
        <v>67</v>
      </c>
      <c r="X256" t="s">
        <v>144</v>
      </c>
      <c r="Y256">
        <v>0</v>
      </c>
      <c r="AA256" t="s">
        <v>1294</v>
      </c>
      <c r="BN256">
        <v>0</v>
      </c>
    </row>
    <row r="257" spans="1:111" x14ac:dyDescent="0.2">
      <c r="A257" t="s">
        <v>111</v>
      </c>
      <c r="B257" t="b">
        <v>0</v>
      </c>
      <c r="F257" t="str">
        <f>HYPERLINK("https://portal.dnb.de/opac.htm?method=simpleSearch&amp;cqlMode=true&amp;query=idn%3D", "Portal")</f>
        <v>Portal</v>
      </c>
      <c r="L257" t="s">
        <v>1295</v>
      </c>
      <c r="P257" t="s">
        <v>138</v>
      </c>
      <c r="R257" t="s">
        <v>161</v>
      </c>
      <c r="S257" t="s">
        <v>189</v>
      </c>
      <c r="T257" t="s">
        <v>163</v>
      </c>
      <c r="U257" t="s">
        <v>660</v>
      </c>
      <c r="V257" t="s">
        <v>143</v>
      </c>
      <c r="W257" t="s">
        <v>67</v>
      </c>
      <c r="X257" t="s">
        <v>144</v>
      </c>
      <c r="Y257">
        <v>0</v>
      </c>
      <c r="BN257">
        <v>0</v>
      </c>
    </row>
    <row r="258" spans="1:111" x14ac:dyDescent="0.2">
      <c r="A258" t="s">
        <v>111</v>
      </c>
      <c r="B258" t="b">
        <v>1</v>
      </c>
      <c r="E258">
        <v>268</v>
      </c>
      <c r="F258" t="str">
        <f>HYPERLINK("https://portal.dnb.de/opac.htm?method=simpleSearch&amp;cqlMode=true&amp;query=idn%3D1066967202", "Portal")</f>
        <v>Portal</v>
      </c>
      <c r="G258" t="s">
        <v>133</v>
      </c>
      <c r="H258" t="s">
        <v>1296</v>
      </c>
      <c r="I258" t="s">
        <v>1289</v>
      </c>
      <c r="J258" t="s">
        <v>1297</v>
      </c>
      <c r="K258" t="s">
        <v>1298</v>
      </c>
      <c r="L258" t="s">
        <v>1298</v>
      </c>
      <c r="N258" t="s">
        <v>1292</v>
      </c>
      <c r="O258" t="s">
        <v>121</v>
      </c>
      <c r="BN258">
        <v>0</v>
      </c>
    </row>
    <row r="259" spans="1:111" x14ac:dyDescent="0.2">
      <c r="A259" t="s">
        <v>111</v>
      </c>
      <c r="B259" t="b">
        <v>1</v>
      </c>
      <c r="E259">
        <v>269</v>
      </c>
      <c r="F259" t="str">
        <f>HYPERLINK("https://portal.dnb.de/opac.htm?method=simpleSearch&amp;cqlMode=true&amp;query=idn%3D1066967636", "Portal")</f>
        <v>Portal</v>
      </c>
      <c r="G259" t="s">
        <v>133</v>
      </c>
      <c r="H259" t="s">
        <v>1299</v>
      </c>
      <c r="I259" t="s">
        <v>1300</v>
      </c>
      <c r="J259" t="s">
        <v>1301</v>
      </c>
      <c r="K259" t="s">
        <v>1301</v>
      </c>
      <c r="L259" t="s">
        <v>1301</v>
      </c>
      <c r="N259" t="s">
        <v>1302</v>
      </c>
      <c r="O259" t="s">
        <v>121</v>
      </c>
      <c r="P259" t="s">
        <v>138</v>
      </c>
      <c r="R259" t="s">
        <v>139</v>
      </c>
      <c r="S259" t="s">
        <v>189</v>
      </c>
      <c r="T259" t="s">
        <v>163</v>
      </c>
      <c r="U259" t="s">
        <v>164</v>
      </c>
      <c r="V259" t="s">
        <v>143</v>
      </c>
      <c r="W259" t="s">
        <v>67</v>
      </c>
      <c r="X259" t="s">
        <v>144</v>
      </c>
      <c r="Y259">
        <v>0</v>
      </c>
      <c r="BN259">
        <v>0</v>
      </c>
    </row>
    <row r="260" spans="1:111" x14ac:dyDescent="0.2">
      <c r="A260" t="s">
        <v>111</v>
      </c>
      <c r="B260" t="b">
        <v>1</v>
      </c>
      <c r="E260">
        <v>270</v>
      </c>
      <c r="F260" t="str">
        <f>HYPERLINK("https://portal.dnb.de/opac.htm?method=simpleSearch&amp;cqlMode=true&amp;query=idn%3D1067300287", "Portal")</f>
        <v>Portal</v>
      </c>
      <c r="G260" t="s">
        <v>218</v>
      </c>
      <c r="H260" t="s">
        <v>1303</v>
      </c>
      <c r="I260" t="s">
        <v>1304</v>
      </c>
      <c r="J260" t="s">
        <v>1305</v>
      </c>
      <c r="K260" t="s">
        <v>1306</v>
      </c>
      <c r="L260" t="s">
        <v>1306</v>
      </c>
      <c r="N260" t="s">
        <v>1292</v>
      </c>
      <c r="O260" t="s">
        <v>121</v>
      </c>
      <c r="BN260">
        <v>0</v>
      </c>
    </row>
    <row r="261" spans="1:111" x14ac:dyDescent="0.2">
      <c r="A261" t="s">
        <v>111</v>
      </c>
      <c r="B261" t="b">
        <v>1</v>
      </c>
      <c r="C261" t="s">
        <v>146</v>
      </c>
      <c r="F261" t="str">
        <f>HYPERLINK("https://portal.dnb.de/opac.htm?method=simpleSearch&amp;cqlMode=true&amp;query=idn%3D1268957623", "Portal")</f>
        <v>Portal</v>
      </c>
      <c r="G261" t="s">
        <v>300</v>
      </c>
      <c r="H261" t="s">
        <v>1307</v>
      </c>
      <c r="I261" t="s">
        <v>1308</v>
      </c>
      <c r="J261" t="s">
        <v>1309</v>
      </c>
      <c r="K261" t="s">
        <v>1309</v>
      </c>
      <c r="L261" t="s">
        <v>1309</v>
      </c>
      <c r="N261" t="s">
        <v>1310</v>
      </c>
      <c r="O261" t="s">
        <v>121</v>
      </c>
      <c r="P261" t="s">
        <v>138</v>
      </c>
      <c r="R261" t="s">
        <v>1311</v>
      </c>
      <c r="S261" t="s">
        <v>189</v>
      </c>
      <c r="T261" t="s">
        <v>163</v>
      </c>
      <c r="U261" t="s">
        <v>1312</v>
      </c>
      <c r="W261" t="s">
        <v>67</v>
      </c>
      <c r="X261" t="s">
        <v>144</v>
      </c>
      <c r="Y261">
        <v>3</v>
      </c>
      <c r="Z261" t="s">
        <v>285</v>
      </c>
      <c r="AA261" t="s">
        <v>1313</v>
      </c>
      <c r="AI261" t="s">
        <v>182</v>
      </c>
      <c r="AK261" t="s">
        <v>146</v>
      </c>
      <c r="AM261" t="s">
        <v>313</v>
      </c>
      <c r="AS261" t="s">
        <v>148</v>
      </c>
      <c r="BG261">
        <v>60</v>
      </c>
      <c r="BH261" t="s">
        <v>1314</v>
      </c>
      <c r="BM261" t="s">
        <v>213</v>
      </c>
      <c r="BN261">
        <v>13.5</v>
      </c>
      <c r="BP261" t="s">
        <v>152</v>
      </c>
      <c r="BZ261" t="s">
        <v>146</v>
      </c>
      <c r="CA261" t="s">
        <v>146</v>
      </c>
      <c r="CB261" t="s">
        <v>146</v>
      </c>
      <c r="CD261" t="s">
        <v>202</v>
      </c>
      <c r="CE261">
        <v>3</v>
      </c>
      <c r="CF261" t="s">
        <v>146</v>
      </c>
      <c r="CL261" t="s">
        <v>837</v>
      </c>
      <c r="CM261">
        <v>7.5</v>
      </c>
      <c r="CN261" t="s">
        <v>1315</v>
      </c>
      <c r="CO261" t="s">
        <v>146</v>
      </c>
      <c r="CS261" t="s">
        <v>146</v>
      </c>
      <c r="CT261" t="s">
        <v>146</v>
      </c>
      <c r="DF261">
        <v>6</v>
      </c>
      <c r="DG261" t="s">
        <v>1316</v>
      </c>
    </row>
    <row r="262" spans="1:111" x14ac:dyDescent="0.2">
      <c r="A262" t="s">
        <v>111</v>
      </c>
      <c r="B262" t="b">
        <v>1</v>
      </c>
      <c r="E262">
        <v>273</v>
      </c>
      <c r="F262" t="str">
        <f>HYPERLINK("https://portal.dnb.de/opac.htm?method=simpleSearch&amp;cqlMode=true&amp;query=idn%3D1066971161", "Portal")</f>
        <v>Portal</v>
      </c>
      <c r="G262" t="s">
        <v>133</v>
      </c>
      <c r="H262" t="s">
        <v>1317</v>
      </c>
      <c r="I262" t="s">
        <v>1318</v>
      </c>
      <c r="J262" t="s">
        <v>1319</v>
      </c>
      <c r="K262" t="s">
        <v>1319</v>
      </c>
      <c r="L262" t="s">
        <v>1319</v>
      </c>
      <c r="N262" t="s">
        <v>1320</v>
      </c>
      <c r="O262" t="s">
        <v>121</v>
      </c>
      <c r="P262" t="s">
        <v>138</v>
      </c>
      <c r="R262" t="s">
        <v>161</v>
      </c>
      <c r="S262" t="s">
        <v>140</v>
      </c>
      <c r="T262" t="s">
        <v>163</v>
      </c>
      <c r="U262" t="s">
        <v>243</v>
      </c>
      <c r="V262" t="s">
        <v>143</v>
      </c>
      <c r="W262" t="s">
        <v>67</v>
      </c>
      <c r="X262" t="s">
        <v>144</v>
      </c>
      <c r="Y262">
        <v>1</v>
      </c>
      <c r="BN262">
        <v>0</v>
      </c>
    </row>
    <row r="263" spans="1:111" x14ac:dyDescent="0.2">
      <c r="A263" t="s">
        <v>111</v>
      </c>
      <c r="B263" t="b">
        <v>1</v>
      </c>
      <c r="E263">
        <v>274</v>
      </c>
      <c r="F263" t="str">
        <f>HYPERLINK("https://portal.dnb.de/opac.htm?method=simpleSearch&amp;cqlMode=true&amp;query=idn%3D1072060000", "Portal")</f>
        <v>Portal</v>
      </c>
      <c r="G263" t="s">
        <v>115</v>
      </c>
      <c r="H263" t="s">
        <v>1321</v>
      </c>
      <c r="I263" t="s">
        <v>1322</v>
      </c>
      <c r="J263" t="s">
        <v>1323</v>
      </c>
      <c r="K263" t="s">
        <v>1323</v>
      </c>
      <c r="L263" t="s">
        <v>1323</v>
      </c>
      <c r="N263" t="s">
        <v>1324</v>
      </c>
      <c r="O263" t="s">
        <v>121</v>
      </c>
      <c r="P263" t="s">
        <v>138</v>
      </c>
      <c r="R263" t="s">
        <v>207</v>
      </c>
      <c r="S263" t="s">
        <v>189</v>
      </c>
      <c r="T263" t="s">
        <v>163</v>
      </c>
      <c r="U263" t="s">
        <v>142</v>
      </c>
      <c r="V263" t="s">
        <v>143</v>
      </c>
      <c r="W263" t="s">
        <v>67</v>
      </c>
      <c r="X263" t="s">
        <v>144</v>
      </c>
      <c r="Y263">
        <v>1</v>
      </c>
      <c r="BN263">
        <v>0</v>
      </c>
    </row>
    <row r="264" spans="1:111" x14ac:dyDescent="0.2">
      <c r="A264" t="s">
        <v>111</v>
      </c>
      <c r="B264" t="b">
        <v>1</v>
      </c>
      <c r="E264">
        <v>275</v>
      </c>
      <c r="F264" t="str">
        <f>HYPERLINK("https://portal.dnb.de/opac.htm?method=simpleSearch&amp;cqlMode=true&amp;query=idn%3D1079559167", "Portal")</f>
        <v>Portal</v>
      </c>
      <c r="G264" t="s">
        <v>218</v>
      </c>
      <c r="H264" t="s">
        <v>1325</v>
      </c>
      <c r="I264" t="s">
        <v>1326</v>
      </c>
      <c r="J264" t="s">
        <v>1327</v>
      </c>
      <c r="K264" t="s">
        <v>1327</v>
      </c>
      <c r="L264" t="s">
        <v>1327</v>
      </c>
      <c r="N264" t="s">
        <v>1328</v>
      </c>
      <c r="O264" t="s">
        <v>121</v>
      </c>
      <c r="P264" t="s">
        <v>138</v>
      </c>
      <c r="R264" t="s">
        <v>180</v>
      </c>
      <c r="S264" t="s">
        <v>189</v>
      </c>
      <c r="T264" t="s">
        <v>163</v>
      </c>
      <c r="U264" t="s">
        <v>1329</v>
      </c>
      <c r="W264" t="s">
        <v>67</v>
      </c>
      <c r="X264" t="s">
        <v>144</v>
      </c>
      <c r="Y264">
        <v>3</v>
      </c>
      <c r="BN264">
        <v>0</v>
      </c>
    </row>
    <row r="265" spans="1:111" x14ac:dyDescent="0.2">
      <c r="A265" t="s">
        <v>111</v>
      </c>
      <c r="B265" t="b">
        <v>1</v>
      </c>
      <c r="E265">
        <v>276</v>
      </c>
      <c r="F265" t="str">
        <f>HYPERLINK("https://portal.dnb.de/opac.htm?method=simpleSearch&amp;cqlMode=true&amp;query=idn%3D1066968454", "Portal")</f>
        <v>Portal</v>
      </c>
      <c r="G265" t="s">
        <v>133</v>
      </c>
      <c r="H265" t="s">
        <v>1330</v>
      </c>
      <c r="I265" t="s">
        <v>1331</v>
      </c>
      <c r="J265" t="s">
        <v>1332</v>
      </c>
      <c r="K265" t="s">
        <v>1332</v>
      </c>
      <c r="L265" t="s">
        <v>1332</v>
      </c>
      <c r="N265" t="s">
        <v>1333</v>
      </c>
      <c r="O265" t="s">
        <v>121</v>
      </c>
      <c r="P265" t="s">
        <v>146</v>
      </c>
      <c r="R265" t="s">
        <v>171</v>
      </c>
      <c r="S265" t="s">
        <v>140</v>
      </c>
      <c r="T265" t="s">
        <v>163</v>
      </c>
      <c r="U265" t="s">
        <v>381</v>
      </c>
      <c r="V265" t="s">
        <v>143</v>
      </c>
      <c r="W265" t="s">
        <v>67</v>
      </c>
      <c r="X265" t="s">
        <v>144</v>
      </c>
      <c r="Y265">
        <v>0</v>
      </c>
      <c r="BN265">
        <v>0</v>
      </c>
    </row>
    <row r="266" spans="1:111" x14ac:dyDescent="0.2">
      <c r="A266" t="s">
        <v>111</v>
      </c>
      <c r="B266" t="b">
        <v>1</v>
      </c>
      <c r="E266">
        <v>277</v>
      </c>
      <c r="F266" t="str">
        <f>HYPERLINK("https://portal.dnb.de/opac.htm?method=simpleSearch&amp;cqlMode=true&amp;query=idn%3D1066966885", "Portal")</f>
        <v>Portal</v>
      </c>
      <c r="G266" t="s">
        <v>115</v>
      </c>
      <c r="H266" t="s">
        <v>1334</v>
      </c>
      <c r="I266" t="s">
        <v>1335</v>
      </c>
      <c r="J266" t="s">
        <v>1336</v>
      </c>
      <c r="K266" t="s">
        <v>1336</v>
      </c>
      <c r="L266" t="s">
        <v>1336</v>
      </c>
      <c r="N266" t="s">
        <v>1337</v>
      </c>
      <c r="O266" t="s">
        <v>121</v>
      </c>
      <c r="P266" t="s">
        <v>138</v>
      </c>
      <c r="R266" t="s">
        <v>161</v>
      </c>
      <c r="S266" t="s">
        <v>140</v>
      </c>
      <c r="T266" t="s">
        <v>163</v>
      </c>
      <c r="U266" t="s">
        <v>142</v>
      </c>
      <c r="V266" t="s">
        <v>143</v>
      </c>
      <c r="W266" t="s">
        <v>67</v>
      </c>
      <c r="X266" t="s">
        <v>144</v>
      </c>
      <c r="Y266">
        <v>1</v>
      </c>
      <c r="BN266">
        <v>0</v>
      </c>
    </row>
    <row r="267" spans="1:111" x14ac:dyDescent="0.2">
      <c r="A267" t="s">
        <v>111</v>
      </c>
      <c r="B267" t="b">
        <v>1</v>
      </c>
      <c r="C267" t="s">
        <v>146</v>
      </c>
      <c r="E267">
        <v>278</v>
      </c>
      <c r="F267" t="str">
        <f>HYPERLINK("https://portal.dnb.de/opac.htm?method=simpleSearch&amp;cqlMode=true&amp;query=idn%3D1048306054", "Portal")</f>
        <v>Portal</v>
      </c>
      <c r="G267" t="s">
        <v>115</v>
      </c>
      <c r="H267" t="s">
        <v>1338</v>
      </c>
      <c r="I267" t="s">
        <v>1339</v>
      </c>
      <c r="J267" t="s">
        <v>1340</v>
      </c>
      <c r="K267" t="s">
        <v>1340</v>
      </c>
      <c r="L267" t="s">
        <v>1341</v>
      </c>
      <c r="N267" t="s">
        <v>1342</v>
      </c>
      <c r="O267" t="s">
        <v>121</v>
      </c>
      <c r="P267" t="s">
        <v>138</v>
      </c>
      <c r="Q267" t="s">
        <v>1343</v>
      </c>
      <c r="R267" t="s">
        <v>180</v>
      </c>
      <c r="S267" t="s">
        <v>162</v>
      </c>
      <c r="T267" t="s">
        <v>163</v>
      </c>
      <c r="U267" t="s">
        <v>445</v>
      </c>
      <c r="X267" t="s">
        <v>250</v>
      </c>
      <c r="Y267">
        <v>3</v>
      </c>
      <c r="AI267" t="s">
        <v>145</v>
      </c>
      <c r="AK267" t="s">
        <v>146</v>
      </c>
      <c r="AM267" t="s">
        <v>313</v>
      </c>
      <c r="AS267" t="s">
        <v>148</v>
      </c>
      <c r="BC267" t="s">
        <v>149</v>
      </c>
      <c r="BD267" t="s">
        <v>146</v>
      </c>
      <c r="BG267">
        <v>45</v>
      </c>
      <c r="BM267" t="s">
        <v>213</v>
      </c>
      <c r="BN267">
        <v>11</v>
      </c>
      <c r="BR267" t="s">
        <v>146</v>
      </c>
      <c r="BZ267" t="s">
        <v>146</v>
      </c>
      <c r="CA267" t="s">
        <v>146</v>
      </c>
      <c r="CB267" t="s">
        <v>146</v>
      </c>
      <c r="CD267" t="s">
        <v>237</v>
      </c>
      <c r="CM267">
        <v>4</v>
      </c>
      <c r="CN267" t="s">
        <v>1344</v>
      </c>
      <c r="CO267" t="s">
        <v>146</v>
      </c>
      <c r="DF267">
        <v>7</v>
      </c>
      <c r="DG267" t="s">
        <v>1345</v>
      </c>
    </row>
    <row r="268" spans="1:111" x14ac:dyDescent="0.2">
      <c r="A268" t="s">
        <v>111</v>
      </c>
      <c r="B268" t="b">
        <v>0</v>
      </c>
      <c r="C268" t="s">
        <v>146</v>
      </c>
      <c r="F268" t="str">
        <f>HYPERLINK("https://portal.dnb.de/opac.htm?method=simpleSearch&amp;cqlMode=true&amp;query=idn%3D", "Portal")</f>
        <v>Portal</v>
      </c>
      <c r="L268" t="s">
        <v>1346</v>
      </c>
      <c r="P268" t="s">
        <v>138</v>
      </c>
      <c r="R268" t="s">
        <v>180</v>
      </c>
      <c r="S268" t="s">
        <v>162</v>
      </c>
      <c r="T268" t="s">
        <v>163</v>
      </c>
      <c r="U268" t="s">
        <v>445</v>
      </c>
      <c r="Y268">
        <v>3</v>
      </c>
      <c r="AI268" t="s">
        <v>145</v>
      </c>
      <c r="AK268" t="s">
        <v>146</v>
      </c>
      <c r="AM268" t="s">
        <v>313</v>
      </c>
      <c r="AS268" t="s">
        <v>148</v>
      </c>
      <c r="BC268" t="s">
        <v>166</v>
      </c>
      <c r="BD268" t="s">
        <v>146</v>
      </c>
      <c r="BG268">
        <v>60</v>
      </c>
      <c r="BM268" t="s">
        <v>213</v>
      </c>
      <c r="BN268">
        <v>3.5</v>
      </c>
      <c r="BR268" t="s">
        <v>146</v>
      </c>
      <c r="BZ268" t="s">
        <v>146</v>
      </c>
      <c r="CA268" t="s">
        <v>146</v>
      </c>
      <c r="CB268" t="s">
        <v>146</v>
      </c>
      <c r="CD268" t="s">
        <v>237</v>
      </c>
      <c r="CM268">
        <v>3.5</v>
      </c>
      <c r="CN268" t="s">
        <v>1347</v>
      </c>
    </row>
    <row r="269" spans="1:111" x14ac:dyDescent="0.2">
      <c r="A269" t="s">
        <v>111</v>
      </c>
      <c r="B269" t="b">
        <v>1</v>
      </c>
      <c r="E269">
        <v>279</v>
      </c>
      <c r="F269" t="str">
        <f>HYPERLINK("https://portal.dnb.de/opac.htm?method=simpleSearch&amp;cqlMode=true&amp;query=idn%3D1066968411", "Portal")</f>
        <v>Portal</v>
      </c>
      <c r="G269" t="s">
        <v>115</v>
      </c>
      <c r="H269" t="s">
        <v>1348</v>
      </c>
      <c r="I269" t="s">
        <v>1349</v>
      </c>
      <c r="J269" t="s">
        <v>1350</v>
      </c>
      <c r="K269" t="s">
        <v>1350</v>
      </c>
      <c r="L269" t="s">
        <v>1350</v>
      </c>
      <c r="N269" t="s">
        <v>531</v>
      </c>
      <c r="O269" t="s">
        <v>121</v>
      </c>
      <c r="R269" t="s">
        <v>171</v>
      </c>
      <c r="S269" t="s">
        <v>140</v>
      </c>
      <c r="T269" t="s">
        <v>471</v>
      </c>
      <c r="U269" t="s">
        <v>381</v>
      </c>
      <c r="V269" t="s">
        <v>143</v>
      </c>
      <c r="W269" t="s">
        <v>67</v>
      </c>
      <c r="X269" t="s">
        <v>144</v>
      </c>
      <c r="Y269">
        <v>0</v>
      </c>
      <c r="BN269">
        <v>0</v>
      </c>
    </row>
    <row r="270" spans="1:111" x14ac:dyDescent="0.2">
      <c r="A270" t="s">
        <v>111</v>
      </c>
      <c r="B270" t="b">
        <v>1</v>
      </c>
      <c r="E270">
        <v>280</v>
      </c>
      <c r="F270" t="str">
        <f>HYPERLINK("https://portal.dnb.de/opac.htm?method=simpleSearch&amp;cqlMode=true&amp;query=idn%3D1066972532", "Portal")</f>
        <v>Portal</v>
      </c>
      <c r="G270" t="s">
        <v>115</v>
      </c>
      <c r="H270" t="s">
        <v>1351</v>
      </c>
      <c r="I270" t="s">
        <v>1352</v>
      </c>
      <c r="J270" t="s">
        <v>1353</v>
      </c>
      <c r="K270" t="s">
        <v>1353</v>
      </c>
      <c r="L270" t="s">
        <v>1353</v>
      </c>
      <c r="N270" t="s">
        <v>1002</v>
      </c>
      <c r="O270" t="s">
        <v>121</v>
      </c>
      <c r="R270" t="s">
        <v>207</v>
      </c>
      <c r="S270" t="s">
        <v>162</v>
      </c>
      <c r="T270" t="s">
        <v>163</v>
      </c>
      <c r="U270" t="s">
        <v>164</v>
      </c>
      <c r="V270" t="s">
        <v>143</v>
      </c>
      <c r="X270" t="s">
        <v>250</v>
      </c>
      <c r="Y270">
        <v>0</v>
      </c>
      <c r="BN270">
        <v>0</v>
      </c>
    </row>
    <row r="271" spans="1:111" x14ac:dyDescent="0.2">
      <c r="A271" t="s">
        <v>111</v>
      </c>
      <c r="B271" t="b">
        <v>1</v>
      </c>
      <c r="E271">
        <v>281</v>
      </c>
      <c r="F271" t="str">
        <f>HYPERLINK("https://portal.dnb.de/opac.htm?method=simpleSearch&amp;cqlMode=true&amp;query=idn%3D1067300988", "Portal")</f>
        <v>Portal</v>
      </c>
      <c r="G271" t="s">
        <v>755</v>
      </c>
      <c r="H271" t="s">
        <v>1354</v>
      </c>
      <c r="I271" t="s">
        <v>1355</v>
      </c>
      <c r="J271" t="s">
        <v>1356</v>
      </c>
      <c r="K271" t="s">
        <v>1356</v>
      </c>
      <c r="L271" t="s">
        <v>1356</v>
      </c>
      <c r="N271" t="s">
        <v>1357</v>
      </c>
      <c r="O271" t="s">
        <v>1358</v>
      </c>
      <c r="BN271">
        <v>0</v>
      </c>
    </row>
    <row r="272" spans="1:111" x14ac:dyDescent="0.2">
      <c r="A272" t="s">
        <v>111</v>
      </c>
      <c r="B272" t="b">
        <v>1</v>
      </c>
      <c r="E272">
        <v>282</v>
      </c>
      <c r="F272" t="str">
        <f>HYPERLINK("https://portal.dnb.de/opac.htm?method=simpleSearch&amp;cqlMode=true&amp;query=idn%3D1066970491", "Portal")</f>
        <v>Portal</v>
      </c>
      <c r="G272" t="s">
        <v>133</v>
      </c>
      <c r="H272" t="s">
        <v>1359</v>
      </c>
      <c r="I272" t="s">
        <v>1360</v>
      </c>
      <c r="J272" t="s">
        <v>1361</v>
      </c>
      <c r="K272" t="s">
        <v>1361</v>
      </c>
      <c r="L272" t="s">
        <v>1361</v>
      </c>
      <c r="N272" t="s">
        <v>1362</v>
      </c>
      <c r="O272" t="s">
        <v>121</v>
      </c>
      <c r="P272" t="s">
        <v>138</v>
      </c>
      <c r="R272" t="s">
        <v>180</v>
      </c>
      <c r="S272" t="s">
        <v>162</v>
      </c>
      <c r="T272" t="s">
        <v>163</v>
      </c>
      <c r="U272" t="s">
        <v>386</v>
      </c>
      <c r="Y272">
        <v>0</v>
      </c>
      <c r="AA272" t="s">
        <v>1363</v>
      </c>
      <c r="AG272" t="s">
        <v>146</v>
      </c>
      <c r="AI272" t="s">
        <v>182</v>
      </c>
      <c r="AK272" t="s">
        <v>146</v>
      </c>
      <c r="AM272" t="s">
        <v>228</v>
      </c>
      <c r="AS272" t="s">
        <v>148</v>
      </c>
      <c r="AX272" t="s">
        <v>146</v>
      </c>
      <c r="BG272">
        <v>110</v>
      </c>
      <c r="BM272" t="s">
        <v>151</v>
      </c>
      <c r="BN272">
        <v>0</v>
      </c>
      <c r="BP272" t="s">
        <v>152</v>
      </c>
    </row>
    <row r="273" spans="1:111" x14ac:dyDescent="0.2">
      <c r="A273" t="s">
        <v>111</v>
      </c>
      <c r="B273" t="b">
        <v>1</v>
      </c>
      <c r="E273">
        <v>283</v>
      </c>
      <c r="F273" t="str">
        <f>HYPERLINK("https://portal.dnb.de/opac.htm?method=simpleSearch&amp;cqlMode=true&amp;query=idn%3D106696646X", "Portal")</f>
        <v>Portal</v>
      </c>
      <c r="G273" t="s">
        <v>133</v>
      </c>
      <c r="H273" t="s">
        <v>1364</v>
      </c>
      <c r="I273" t="s">
        <v>1365</v>
      </c>
      <c r="J273" t="s">
        <v>1366</v>
      </c>
      <c r="K273" t="s">
        <v>1366</v>
      </c>
      <c r="L273" t="s">
        <v>1366</v>
      </c>
      <c r="N273" t="s">
        <v>132</v>
      </c>
      <c r="O273" t="s">
        <v>121</v>
      </c>
      <c r="P273" t="s">
        <v>138</v>
      </c>
      <c r="R273" t="s">
        <v>161</v>
      </c>
      <c r="S273" t="s">
        <v>162</v>
      </c>
      <c r="T273" t="s">
        <v>471</v>
      </c>
      <c r="U273" t="s">
        <v>164</v>
      </c>
      <c r="V273" t="s">
        <v>143</v>
      </c>
      <c r="Y273">
        <v>0</v>
      </c>
      <c r="AA273" t="s">
        <v>617</v>
      </c>
      <c r="AG273" t="s">
        <v>146</v>
      </c>
      <c r="AI273" t="s">
        <v>182</v>
      </c>
      <c r="AK273" t="s">
        <v>146</v>
      </c>
      <c r="AM273" t="s">
        <v>228</v>
      </c>
      <c r="AQ273" t="s">
        <v>146</v>
      </c>
      <c r="AS273" t="s">
        <v>148</v>
      </c>
      <c r="AX273" t="s">
        <v>146</v>
      </c>
      <c r="BC273" t="s">
        <v>166</v>
      </c>
      <c r="BD273" t="s">
        <v>146</v>
      </c>
      <c r="BG273">
        <v>110</v>
      </c>
      <c r="BM273" t="s">
        <v>151</v>
      </c>
      <c r="BN273">
        <v>0</v>
      </c>
      <c r="BP273" t="s">
        <v>152</v>
      </c>
    </row>
    <row r="274" spans="1:111" x14ac:dyDescent="0.2">
      <c r="A274" t="s">
        <v>111</v>
      </c>
      <c r="B274" t="b">
        <v>1</v>
      </c>
      <c r="C274" t="s">
        <v>146</v>
      </c>
      <c r="E274">
        <v>284</v>
      </c>
      <c r="F274" t="str">
        <f>HYPERLINK("https://portal.dnb.de/opac.htm?method=simpleSearch&amp;cqlMode=true&amp;query=idn%3D1066967873", "Portal")</f>
        <v>Portal</v>
      </c>
      <c r="G274" t="s">
        <v>133</v>
      </c>
      <c r="H274" t="s">
        <v>1367</v>
      </c>
      <c r="I274" t="s">
        <v>1368</v>
      </c>
      <c r="J274" t="s">
        <v>1369</v>
      </c>
      <c r="K274" t="s">
        <v>1369</v>
      </c>
      <c r="L274" t="s">
        <v>1369</v>
      </c>
      <c r="N274" t="s">
        <v>1370</v>
      </c>
      <c r="O274" t="s">
        <v>121</v>
      </c>
      <c r="P274" t="s">
        <v>138</v>
      </c>
      <c r="Q274" t="s">
        <v>1371</v>
      </c>
      <c r="R274" t="s">
        <v>161</v>
      </c>
      <c r="S274" t="s">
        <v>162</v>
      </c>
      <c r="T274" t="s">
        <v>163</v>
      </c>
      <c r="U274" t="s">
        <v>142</v>
      </c>
      <c r="V274" t="s">
        <v>143</v>
      </c>
      <c r="X274" t="s">
        <v>250</v>
      </c>
      <c r="Y274">
        <v>1</v>
      </c>
      <c r="AI274" t="s">
        <v>165</v>
      </c>
      <c r="AK274" t="s">
        <v>146</v>
      </c>
      <c r="AM274" t="s">
        <v>147</v>
      </c>
      <c r="AS274" t="s">
        <v>148</v>
      </c>
      <c r="BC274" t="s">
        <v>166</v>
      </c>
      <c r="BD274" t="s">
        <v>146</v>
      </c>
      <c r="BG274">
        <v>110</v>
      </c>
      <c r="BM274" t="s">
        <v>213</v>
      </c>
      <c r="BN274">
        <v>3</v>
      </c>
      <c r="BP274" t="s">
        <v>152</v>
      </c>
      <c r="BZ274" t="s">
        <v>146</v>
      </c>
      <c r="CA274" t="s">
        <v>146</v>
      </c>
      <c r="CB274" t="s">
        <v>146</v>
      </c>
      <c r="CD274" t="s">
        <v>237</v>
      </c>
      <c r="CM274">
        <v>2</v>
      </c>
      <c r="CN274" t="s">
        <v>1372</v>
      </c>
      <c r="CO274" t="s">
        <v>146</v>
      </c>
      <c r="CV274" t="s">
        <v>146</v>
      </c>
      <c r="DF274">
        <v>1</v>
      </c>
      <c r="DG274" t="s">
        <v>1373</v>
      </c>
    </row>
    <row r="275" spans="1:111" x14ac:dyDescent="0.2">
      <c r="A275" t="s">
        <v>111</v>
      </c>
      <c r="B275" t="b">
        <v>1</v>
      </c>
      <c r="E275">
        <v>286</v>
      </c>
      <c r="F275" t="str">
        <f>HYPERLINK("https://portal.dnb.de/opac.htm?method=simpleSearch&amp;cqlMode=true&amp;query=idn%3D1067336133", "Portal")</f>
        <v>Portal</v>
      </c>
      <c r="G275" t="s">
        <v>755</v>
      </c>
      <c r="H275" t="s">
        <v>1374</v>
      </c>
      <c r="I275" t="s">
        <v>1375</v>
      </c>
      <c r="J275" t="s">
        <v>1376</v>
      </c>
      <c r="K275" t="s">
        <v>1376</v>
      </c>
      <c r="L275" t="s">
        <v>1376</v>
      </c>
      <c r="N275" t="s">
        <v>1377</v>
      </c>
      <c r="O275" t="s">
        <v>1378</v>
      </c>
      <c r="P275" t="s">
        <v>138</v>
      </c>
      <c r="R275" t="s">
        <v>161</v>
      </c>
      <c r="S275" t="s">
        <v>181</v>
      </c>
      <c r="T275" t="s">
        <v>141</v>
      </c>
      <c r="U275" t="s">
        <v>142</v>
      </c>
      <c r="V275" t="s">
        <v>143</v>
      </c>
      <c r="X275" t="s">
        <v>250</v>
      </c>
      <c r="Y275">
        <v>1</v>
      </c>
      <c r="BN275">
        <v>0</v>
      </c>
    </row>
    <row r="276" spans="1:111" x14ac:dyDescent="0.2">
      <c r="A276" t="s">
        <v>111</v>
      </c>
      <c r="B276" t="b">
        <v>1</v>
      </c>
      <c r="E276">
        <v>287</v>
      </c>
      <c r="F276" t="str">
        <f>HYPERLINK("https://portal.dnb.de/opac.htm?method=simpleSearch&amp;cqlMode=true&amp;query=idn%3D1067336222", "Portal")</f>
        <v>Portal</v>
      </c>
      <c r="G276" t="s">
        <v>755</v>
      </c>
      <c r="H276" t="s">
        <v>1379</v>
      </c>
      <c r="I276" t="s">
        <v>1380</v>
      </c>
      <c r="J276" t="s">
        <v>1381</v>
      </c>
      <c r="K276" t="s">
        <v>1381</v>
      </c>
      <c r="L276" t="s">
        <v>1381</v>
      </c>
      <c r="N276" t="s">
        <v>1377</v>
      </c>
      <c r="O276" t="s">
        <v>1382</v>
      </c>
      <c r="P276" t="s">
        <v>138</v>
      </c>
      <c r="R276" t="s">
        <v>161</v>
      </c>
      <c r="S276" t="s">
        <v>181</v>
      </c>
      <c r="T276" t="s">
        <v>141</v>
      </c>
      <c r="U276" t="s">
        <v>142</v>
      </c>
      <c r="X276" t="s">
        <v>250</v>
      </c>
      <c r="Y276">
        <v>0</v>
      </c>
      <c r="BN276">
        <v>0</v>
      </c>
    </row>
    <row r="277" spans="1:111" x14ac:dyDescent="0.2">
      <c r="A277" t="s">
        <v>111</v>
      </c>
      <c r="B277" t="b">
        <v>1</v>
      </c>
      <c r="F277" t="str">
        <f>HYPERLINK("https://portal.dnb.de/opac.htm?method=simpleSearch&amp;cqlMode=true&amp;query=idn%3D1268961159", "Portal")</f>
        <v>Portal</v>
      </c>
      <c r="G277" t="s">
        <v>300</v>
      </c>
      <c r="H277" t="s">
        <v>1383</v>
      </c>
      <c r="I277" t="s">
        <v>1384</v>
      </c>
      <c r="J277" t="s">
        <v>1385</v>
      </c>
      <c r="K277" t="s">
        <v>1385</v>
      </c>
      <c r="L277" t="s">
        <v>1385</v>
      </c>
      <c r="N277" t="s">
        <v>1386</v>
      </c>
      <c r="O277" t="s">
        <v>121</v>
      </c>
      <c r="P277" t="s">
        <v>138</v>
      </c>
      <c r="R277" t="s">
        <v>161</v>
      </c>
      <c r="S277" t="s">
        <v>140</v>
      </c>
      <c r="T277" t="s">
        <v>163</v>
      </c>
      <c r="U277" t="s">
        <v>538</v>
      </c>
      <c r="V277" t="s">
        <v>143</v>
      </c>
      <c r="W277" t="s">
        <v>1263</v>
      </c>
      <c r="X277" t="s">
        <v>144</v>
      </c>
      <c r="Y277">
        <v>0</v>
      </c>
      <c r="BN277">
        <v>0</v>
      </c>
    </row>
    <row r="278" spans="1:111" x14ac:dyDescent="0.2">
      <c r="A278" t="s">
        <v>111</v>
      </c>
      <c r="B278" t="b">
        <v>1</v>
      </c>
      <c r="C278" t="s">
        <v>146</v>
      </c>
      <c r="E278">
        <v>290</v>
      </c>
      <c r="F278" t="str">
        <f>HYPERLINK("https://portal.dnb.de/opac.htm?method=simpleSearch&amp;cqlMode=true&amp;query=idn%3D1067336257", "Portal")</f>
        <v>Portal</v>
      </c>
      <c r="G278" t="s">
        <v>755</v>
      </c>
      <c r="H278" t="s">
        <v>1387</v>
      </c>
      <c r="I278" t="s">
        <v>1388</v>
      </c>
      <c r="J278" t="s">
        <v>1389</v>
      </c>
      <c r="K278" t="s">
        <v>1389</v>
      </c>
      <c r="L278" t="s">
        <v>1389</v>
      </c>
      <c r="N278" t="s">
        <v>1377</v>
      </c>
      <c r="O278" t="s">
        <v>1390</v>
      </c>
      <c r="P278" t="s">
        <v>138</v>
      </c>
      <c r="Q278" t="s">
        <v>1391</v>
      </c>
      <c r="R278" t="s">
        <v>161</v>
      </c>
      <c r="S278" t="s">
        <v>181</v>
      </c>
      <c r="T278" t="s">
        <v>471</v>
      </c>
      <c r="U278" t="s">
        <v>381</v>
      </c>
      <c r="X278" t="s">
        <v>250</v>
      </c>
      <c r="Y278">
        <v>1</v>
      </c>
      <c r="AI278" t="s">
        <v>182</v>
      </c>
      <c r="AK278" t="s">
        <v>146</v>
      </c>
      <c r="AM278" t="s">
        <v>228</v>
      </c>
      <c r="AS278" t="s">
        <v>148</v>
      </c>
      <c r="AW278" t="s">
        <v>146</v>
      </c>
      <c r="AX278" t="s">
        <v>146</v>
      </c>
      <c r="BC278" t="s">
        <v>166</v>
      </c>
      <c r="BD278" t="s">
        <v>146</v>
      </c>
      <c r="BG278">
        <v>110</v>
      </c>
      <c r="BM278" t="s">
        <v>213</v>
      </c>
      <c r="BN278">
        <v>6.5</v>
      </c>
      <c r="BR278" t="s">
        <v>146</v>
      </c>
      <c r="BZ278" t="s">
        <v>146</v>
      </c>
      <c r="CA278" t="s">
        <v>146</v>
      </c>
      <c r="CB278" t="s">
        <v>146</v>
      </c>
      <c r="CD278" t="s">
        <v>202</v>
      </c>
      <c r="CH278" t="s">
        <v>1392</v>
      </c>
      <c r="CM278">
        <v>5</v>
      </c>
      <c r="CN278" t="s">
        <v>1393</v>
      </c>
      <c r="CO278" t="s">
        <v>146</v>
      </c>
      <c r="DF278">
        <v>1.5</v>
      </c>
      <c r="DG278" t="s">
        <v>1394</v>
      </c>
    </row>
    <row r="279" spans="1:111" x14ac:dyDescent="0.2">
      <c r="A279" t="s">
        <v>111</v>
      </c>
      <c r="B279" t="b">
        <v>1</v>
      </c>
      <c r="E279">
        <v>291</v>
      </c>
      <c r="F279" t="str">
        <f>HYPERLINK("https://portal.dnb.de/opac.htm?method=simpleSearch&amp;cqlMode=true&amp;query=idn%3D1067339086", "Portal")</f>
        <v>Portal</v>
      </c>
      <c r="G279" t="s">
        <v>218</v>
      </c>
      <c r="H279" t="s">
        <v>1395</v>
      </c>
      <c r="I279" t="s">
        <v>1396</v>
      </c>
      <c r="J279" t="s">
        <v>1397</v>
      </c>
      <c r="K279" t="s">
        <v>1398</v>
      </c>
      <c r="L279" t="s">
        <v>1398</v>
      </c>
      <c r="N279" t="s">
        <v>1399</v>
      </c>
      <c r="O279" t="s">
        <v>121</v>
      </c>
      <c r="BN279">
        <v>0</v>
      </c>
    </row>
    <row r="280" spans="1:111" x14ac:dyDescent="0.2">
      <c r="A280" t="s">
        <v>111</v>
      </c>
      <c r="B280" t="b">
        <v>1</v>
      </c>
      <c r="E280">
        <v>292</v>
      </c>
      <c r="F280" t="str">
        <f>HYPERLINK("https://portal.dnb.de/opac.htm?method=simpleSearch&amp;cqlMode=true&amp;query=idn%3D1067336257", "Portal")</f>
        <v>Portal</v>
      </c>
      <c r="G280" t="s">
        <v>755</v>
      </c>
      <c r="H280" t="s">
        <v>1400</v>
      </c>
      <c r="I280" t="s">
        <v>1388</v>
      </c>
      <c r="J280" t="s">
        <v>1401</v>
      </c>
      <c r="K280" t="s">
        <v>1401</v>
      </c>
      <c r="L280" t="s">
        <v>1401</v>
      </c>
      <c r="N280" t="s">
        <v>1377</v>
      </c>
      <c r="O280" t="s">
        <v>1390</v>
      </c>
      <c r="BN280">
        <v>0</v>
      </c>
    </row>
    <row r="281" spans="1:111" x14ac:dyDescent="0.2">
      <c r="A281" t="s">
        <v>111</v>
      </c>
      <c r="B281" t="b">
        <v>1</v>
      </c>
      <c r="E281">
        <v>293</v>
      </c>
      <c r="F281" t="str">
        <f>HYPERLINK("https://portal.dnb.de/opac.htm?method=simpleSearch&amp;cqlMode=true&amp;query=idn%3D1067336281", "Portal")</f>
        <v>Portal</v>
      </c>
      <c r="G281" t="s">
        <v>755</v>
      </c>
      <c r="H281" t="s">
        <v>1402</v>
      </c>
      <c r="I281" t="s">
        <v>1403</v>
      </c>
      <c r="J281" t="s">
        <v>1404</v>
      </c>
      <c r="K281" t="s">
        <v>1404</v>
      </c>
      <c r="L281" t="s">
        <v>1404</v>
      </c>
      <c r="N281" t="s">
        <v>1377</v>
      </c>
      <c r="O281" t="s">
        <v>1405</v>
      </c>
      <c r="P281" t="s">
        <v>138</v>
      </c>
      <c r="R281" t="s">
        <v>161</v>
      </c>
      <c r="S281" t="s">
        <v>181</v>
      </c>
      <c r="T281" t="s">
        <v>163</v>
      </c>
      <c r="U281" t="s">
        <v>142</v>
      </c>
      <c r="X281" t="s">
        <v>250</v>
      </c>
      <c r="Y281">
        <v>0</v>
      </c>
      <c r="BN281">
        <v>0</v>
      </c>
    </row>
    <row r="282" spans="1:111" x14ac:dyDescent="0.2">
      <c r="A282" t="s">
        <v>111</v>
      </c>
      <c r="B282" t="b">
        <v>1</v>
      </c>
      <c r="E282">
        <v>294</v>
      </c>
      <c r="F282" t="str">
        <f>HYPERLINK("https://portal.dnb.de/opac.htm?method=simpleSearch&amp;cqlMode=true&amp;query=idn%3D1066971544", "Portal")</f>
        <v>Portal</v>
      </c>
      <c r="G282" t="s">
        <v>115</v>
      </c>
      <c r="H282" t="s">
        <v>1406</v>
      </c>
      <c r="I282" t="s">
        <v>1407</v>
      </c>
      <c r="J282" t="s">
        <v>1408</v>
      </c>
      <c r="K282" t="s">
        <v>1408</v>
      </c>
      <c r="L282" t="s">
        <v>1408</v>
      </c>
      <c r="N282" t="s">
        <v>788</v>
      </c>
      <c r="O282" t="s">
        <v>121</v>
      </c>
      <c r="R282" t="s">
        <v>180</v>
      </c>
      <c r="S282" t="s">
        <v>140</v>
      </c>
      <c r="T282" t="s">
        <v>163</v>
      </c>
      <c r="U282" t="s">
        <v>381</v>
      </c>
      <c r="V282" t="s">
        <v>143</v>
      </c>
      <c r="W282" t="s">
        <v>67</v>
      </c>
      <c r="X282" t="s">
        <v>144</v>
      </c>
      <c r="BN282">
        <v>0</v>
      </c>
    </row>
    <row r="283" spans="1:111" x14ac:dyDescent="0.2">
      <c r="A283" t="s">
        <v>111</v>
      </c>
      <c r="B283" t="b">
        <v>1</v>
      </c>
      <c r="E283">
        <v>295</v>
      </c>
      <c r="F283" t="str">
        <f>HYPERLINK("https://portal.dnb.de/opac.htm?method=simpleSearch&amp;cqlMode=true&amp;query=idn%3D1066967954", "Portal")</f>
        <v>Portal</v>
      </c>
      <c r="G283" t="s">
        <v>133</v>
      </c>
      <c r="H283" t="s">
        <v>1409</v>
      </c>
      <c r="I283" t="s">
        <v>1410</v>
      </c>
      <c r="J283" t="s">
        <v>1411</v>
      </c>
      <c r="K283" t="s">
        <v>1411</v>
      </c>
      <c r="L283" t="s">
        <v>1411</v>
      </c>
      <c r="N283" t="s">
        <v>128</v>
      </c>
      <c r="O283" t="s">
        <v>121</v>
      </c>
      <c r="R283" t="s">
        <v>180</v>
      </c>
      <c r="S283" t="s">
        <v>140</v>
      </c>
      <c r="T283" t="s">
        <v>163</v>
      </c>
      <c r="U283" t="s">
        <v>773</v>
      </c>
      <c r="W283" t="s">
        <v>67</v>
      </c>
      <c r="X283" t="s">
        <v>144</v>
      </c>
      <c r="Y283">
        <v>0</v>
      </c>
      <c r="BN283">
        <v>0</v>
      </c>
    </row>
    <row r="284" spans="1:111" x14ac:dyDescent="0.2">
      <c r="A284" t="s">
        <v>111</v>
      </c>
      <c r="B284" t="b">
        <v>1</v>
      </c>
      <c r="E284">
        <v>296</v>
      </c>
      <c r="F284" t="str">
        <f>HYPERLINK("https://portal.dnb.de/opac.htm?method=simpleSearch&amp;cqlMode=true&amp;query=idn%3D1066971110", "Portal")</f>
        <v>Portal</v>
      </c>
      <c r="G284" t="s">
        <v>115</v>
      </c>
      <c r="H284" t="s">
        <v>1412</v>
      </c>
      <c r="I284" t="s">
        <v>1413</v>
      </c>
      <c r="J284" t="s">
        <v>1414</v>
      </c>
      <c r="K284" t="s">
        <v>1414</v>
      </c>
      <c r="L284" t="s">
        <v>1415</v>
      </c>
      <c r="N284" t="s">
        <v>1416</v>
      </c>
      <c r="O284" t="s">
        <v>121</v>
      </c>
      <c r="P284" t="s">
        <v>138</v>
      </c>
      <c r="R284" t="s">
        <v>161</v>
      </c>
      <c r="S284" t="s">
        <v>162</v>
      </c>
      <c r="T284" t="s">
        <v>163</v>
      </c>
      <c r="U284" t="s">
        <v>381</v>
      </c>
      <c r="V284" t="s">
        <v>143</v>
      </c>
      <c r="X284" t="s">
        <v>250</v>
      </c>
      <c r="Y284">
        <v>0</v>
      </c>
      <c r="BN284">
        <v>0</v>
      </c>
    </row>
    <row r="285" spans="1:111" x14ac:dyDescent="0.2">
      <c r="A285" t="s">
        <v>111</v>
      </c>
      <c r="B285" t="b">
        <v>0</v>
      </c>
      <c r="F285" t="str">
        <f>HYPERLINK("https://portal.dnb.de/opac.htm?method=simpleSearch&amp;cqlMode=true&amp;query=idn%3D", "Portal")</f>
        <v>Portal</v>
      </c>
      <c r="L285" t="s">
        <v>1417</v>
      </c>
      <c r="P285" t="s">
        <v>138</v>
      </c>
      <c r="R285" t="s">
        <v>161</v>
      </c>
      <c r="S285" t="s">
        <v>162</v>
      </c>
      <c r="T285" t="s">
        <v>163</v>
      </c>
      <c r="U285" t="s">
        <v>381</v>
      </c>
      <c r="V285" t="s">
        <v>143</v>
      </c>
      <c r="Y285">
        <v>1</v>
      </c>
      <c r="BN285">
        <v>0</v>
      </c>
    </row>
    <row r="286" spans="1:111" x14ac:dyDescent="0.2">
      <c r="A286" t="s">
        <v>111</v>
      </c>
      <c r="B286" t="b">
        <v>0</v>
      </c>
      <c r="F286" t="str">
        <f>HYPERLINK("https://portal.dnb.de/opac.htm?method=simpleSearch&amp;cqlMode=true&amp;query=idn%3D", "Portal")</f>
        <v>Portal</v>
      </c>
      <c r="L286" t="s">
        <v>1418</v>
      </c>
      <c r="P286" t="s">
        <v>138</v>
      </c>
      <c r="R286" t="s">
        <v>161</v>
      </c>
      <c r="S286" t="s">
        <v>162</v>
      </c>
      <c r="T286" t="s">
        <v>163</v>
      </c>
      <c r="U286" t="s">
        <v>381</v>
      </c>
      <c r="V286" t="s">
        <v>143</v>
      </c>
      <c r="X286" t="s">
        <v>250</v>
      </c>
      <c r="Y286">
        <v>1</v>
      </c>
      <c r="BN286">
        <v>0</v>
      </c>
    </row>
    <row r="287" spans="1:111" x14ac:dyDescent="0.2">
      <c r="A287" t="s">
        <v>111</v>
      </c>
      <c r="B287" t="b">
        <v>1</v>
      </c>
      <c r="E287">
        <v>297</v>
      </c>
      <c r="F287" t="str">
        <f>HYPERLINK("https://portal.dnb.de/opac.htm?method=simpleSearch&amp;cqlMode=true&amp;query=idn%3D1066966621", "Portal")</f>
        <v>Portal</v>
      </c>
      <c r="G287" t="s">
        <v>115</v>
      </c>
      <c r="H287" t="s">
        <v>1419</v>
      </c>
      <c r="I287" t="s">
        <v>1420</v>
      </c>
      <c r="J287" t="s">
        <v>1421</v>
      </c>
      <c r="K287" t="s">
        <v>1421</v>
      </c>
      <c r="L287" t="s">
        <v>1422</v>
      </c>
      <c r="N287" t="s">
        <v>132</v>
      </c>
      <c r="O287" t="s">
        <v>121</v>
      </c>
      <c r="R287" t="s">
        <v>171</v>
      </c>
      <c r="S287" t="s">
        <v>189</v>
      </c>
      <c r="T287" t="s">
        <v>163</v>
      </c>
      <c r="U287" t="s">
        <v>1423</v>
      </c>
      <c r="V287" t="s">
        <v>143</v>
      </c>
      <c r="W287" t="s">
        <v>67</v>
      </c>
      <c r="X287" t="s">
        <v>987</v>
      </c>
      <c r="Y287">
        <v>0</v>
      </c>
      <c r="BN287">
        <v>0</v>
      </c>
    </row>
    <row r="288" spans="1:111" x14ac:dyDescent="0.2">
      <c r="A288" t="s">
        <v>111</v>
      </c>
      <c r="B288" t="b">
        <v>0</v>
      </c>
      <c r="F288" t="str">
        <f>HYPERLINK("https://portal.dnb.de/opac.htm?method=simpleSearch&amp;cqlMode=true&amp;query=idn%3D", "Portal")</f>
        <v>Portal</v>
      </c>
      <c r="L288" t="s">
        <v>1424</v>
      </c>
      <c r="R288" t="s">
        <v>171</v>
      </c>
      <c r="S288" t="s">
        <v>140</v>
      </c>
      <c r="T288" t="s">
        <v>163</v>
      </c>
      <c r="U288" t="s">
        <v>1425</v>
      </c>
      <c r="W288" t="s">
        <v>67</v>
      </c>
      <c r="X288" t="s">
        <v>144</v>
      </c>
      <c r="Y288">
        <v>0</v>
      </c>
      <c r="BN288">
        <v>0</v>
      </c>
    </row>
    <row r="289" spans="1:111" x14ac:dyDescent="0.2">
      <c r="A289" t="s">
        <v>111</v>
      </c>
      <c r="B289" t="b">
        <v>0</v>
      </c>
      <c r="F289" t="str">
        <f>HYPERLINK("https://portal.dnb.de/opac.htm?method=simpleSearch&amp;cqlMode=true&amp;query=idn%3D", "Portal")</f>
        <v>Portal</v>
      </c>
      <c r="L289" t="s">
        <v>1426</v>
      </c>
      <c r="R289" t="s">
        <v>171</v>
      </c>
      <c r="S289" t="s">
        <v>140</v>
      </c>
      <c r="T289" t="s">
        <v>471</v>
      </c>
      <c r="U289" t="s">
        <v>1425</v>
      </c>
      <c r="W289" t="s">
        <v>67</v>
      </c>
      <c r="X289" t="s">
        <v>144</v>
      </c>
      <c r="Y289">
        <v>0</v>
      </c>
      <c r="BN289">
        <v>0</v>
      </c>
    </row>
    <row r="290" spans="1:111" x14ac:dyDescent="0.2">
      <c r="A290" t="s">
        <v>111</v>
      </c>
      <c r="B290" t="b">
        <v>1</v>
      </c>
      <c r="E290">
        <v>298</v>
      </c>
      <c r="F290" t="str">
        <f>HYPERLINK("https://portal.dnb.de/opac.htm?method=simpleSearch&amp;cqlMode=true&amp;query=idn%3D1066967962", "Portal")</f>
        <v>Portal</v>
      </c>
      <c r="G290" t="s">
        <v>133</v>
      </c>
      <c r="H290" t="s">
        <v>1427</v>
      </c>
      <c r="I290" t="s">
        <v>1428</v>
      </c>
      <c r="J290" t="s">
        <v>1429</v>
      </c>
      <c r="K290" t="s">
        <v>1429</v>
      </c>
      <c r="L290" t="s">
        <v>1429</v>
      </c>
      <c r="N290" t="s">
        <v>128</v>
      </c>
      <c r="O290" t="s">
        <v>121</v>
      </c>
      <c r="P290" t="s">
        <v>146</v>
      </c>
      <c r="R290" t="s">
        <v>180</v>
      </c>
      <c r="S290" t="s">
        <v>140</v>
      </c>
      <c r="T290" t="s">
        <v>163</v>
      </c>
      <c r="U290" t="s">
        <v>381</v>
      </c>
      <c r="V290" t="s">
        <v>143</v>
      </c>
      <c r="W290" t="s">
        <v>67</v>
      </c>
      <c r="X290" t="s">
        <v>144</v>
      </c>
      <c r="Y290">
        <v>0</v>
      </c>
      <c r="AA290" t="s">
        <v>1430</v>
      </c>
      <c r="BN290">
        <v>0</v>
      </c>
    </row>
    <row r="291" spans="1:111" x14ac:dyDescent="0.2">
      <c r="A291" t="s">
        <v>111</v>
      </c>
      <c r="B291" t="b">
        <v>1</v>
      </c>
      <c r="E291">
        <v>299</v>
      </c>
      <c r="F291" t="str">
        <f>HYPERLINK("https://portal.dnb.de/opac.htm?method=simpleSearch&amp;cqlMode=true&amp;query=idn%3D1066970238", "Portal")</f>
        <v>Portal</v>
      </c>
      <c r="G291" t="s">
        <v>115</v>
      </c>
      <c r="H291" t="s">
        <v>1431</v>
      </c>
      <c r="I291" t="s">
        <v>1432</v>
      </c>
      <c r="J291" t="s">
        <v>1433</v>
      </c>
      <c r="K291" t="s">
        <v>1433</v>
      </c>
      <c r="L291" t="s">
        <v>1433</v>
      </c>
      <c r="N291" t="s">
        <v>326</v>
      </c>
      <c r="O291" t="s">
        <v>121</v>
      </c>
      <c r="P291" t="s">
        <v>138</v>
      </c>
      <c r="R291" t="s">
        <v>161</v>
      </c>
      <c r="S291" t="s">
        <v>140</v>
      </c>
      <c r="T291" t="s">
        <v>163</v>
      </c>
      <c r="U291" t="s">
        <v>381</v>
      </c>
      <c r="V291" t="s">
        <v>143</v>
      </c>
      <c r="X291" t="s">
        <v>250</v>
      </c>
      <c r="Y291">
        <v>2</v>
      </c>
      <c r="AI291" t="s">
        <v>182</v>
      </c>
      <c r="AM291" t="s">
        <v>266</v>
      </c>
      <c r="AR291" t="s">
        <v>146</v>
      </c>
      <c r="AS291" t="s">
        <v>148</v>
      </c>
      <c r="BC291" t="s">
        <v>166</v>
      </c>
      <c r="BD291" t="s">
        <v>146</v>
      </c>
      <c r="BG291">
        <v>60</v>
      </c>
      <c r="BM291" t="s">
        <v>151</v>
      </c>
      <c r="BN291">
        <v>0</v>
      </c>
      <c r="BP291" t="s">
        <v>152</v>
      </c>
      <c r="BV291" t="s">
        <v>230</v>
      </c>
    </row>
    <row r="292" spans="1:111" x14ac:dyDescent="0.2">
      <c r="A292" t="s">
        <v>111</v>
      </c>
      <c r="B292" t="b">
        <v>1</v>
      </c>
      <c r="F292" t="str">
        <f>HYPERLINK("https://portal.dnb.de/opac.htm?method=simpleSearch&amp;cqlMode=true&amp;query=idn%3D1066964912", "Portal")</f>
        <v>Portal</v>
      </c>
      <c r="H292" t="s">
        <v>1434</v>
      </c>
      <c r="I292" t="s">
        <v>1435</v>
      </c>
      <c r="K292" t="s">
        <v>1436</v>
      </c>
      <c r="L292" t="s">
        <v>1436</v>
      </c>
      <c r="N292" t="s">
        <v>132</v>
      </c>
      <c r="O292" t="s">
        <v>121</v>
      </c>
      <c r="Q292" t="s">
        <v>1437</v>
      </c>
    </row>
    <row r="293" spans="1:111" x14ac:dyDescent="0.2">
      <c r="A293" t="s">
        <v>111</v>
      </c>
      <c r="B293" t="b">
        <v>1</v>
      </c>
      <c r="C293" t="s">
        <v>146</v>
      </c>
      <c r="F293" t="str">
        <f>HYPERLINK("https://portal.dnb.de/opac.htm?method=simpleSearch&amp;cqlMode=true&amp;query=idn%3D1272536750", "Portal")</f>
        <v>Portal</v>
      </c>
      <c r="G293" t="s">
        <v>755</v>
      </c>
      <c r="H293" t="s">
        <v>1438</v>
      </c>
      <c r="I293" t="s">
        <v>1439</v>
      </c>
      <c r="J293" t="s">
        <v>1440</v>
      </c>
      <c r="K293" t="s">
        <v>1440</v>
      </c>
      <c r="L293" t="s">
        <v>1440</v>
      </c>
      <c r="N293" t="s">
        <v>631</v>
      </c>
      <c r="O293" t="s">
        <v>544</v>
      </c>
      <c r="P293" t="s">
        <v>138</v>
      </c>
      <c r="Q293" t="s">
        <v>1441</v>
      </c>
      <c r="R293" t="s">
        <v>180</v>
      </c>
      <c r="S293" t="s">
        <v>140</v>
      </c>
      <c r="T293" t="s">
        <v>163</v>
      </c>
      <c r="U293" t="s">
        <v>805</v>
      </c>
      <c r="V293" t="s">
        <v>143</v>
      </c>
      <c r="W293" t="s">
        <v>67</v>
      </c>
      <c r="X293" t="s">
        <v>144</v>
      </c>
      <c r="Y293">
        <v>3</v>
      </c>
      <c r="AI293" t="s">
        <v>145</v>
      </c>
      <c r="AK293" t="s">
        <v>146</v>
      </c>
      <c r="AM293" t="s">
        <v>313</v>
      </c>
      <c r="AS293" t="s">
        <v>148</v>
      </c>
      <c r="BC293" t="s">
        <v>149</v>
      </c>
      <c r="BD293" t="s">
        <v>146</v>
      </c>
      <c r="BG293">
        <v>45</v>
      </c>
      <c r="BM293" t="s">
        <v>213</v>
      </c>
      <c r="BN293">
        <v>10.5</v>
      </c>
      <c r="BP293" t="s">
        <v>152</v>
      </c>
      <c r="BZ293" t="s">
        <v>146</v>
      </c>
      <c r="CA293" t="s">
        <v>146</v>
      </c>
      <c r="CB293" t="s">
        <v>146</v>
      </c>
      <c r="CD293" t="s">
        <v>202</v>
      </c>
      <c r="CE293">
        <v>5</v>
      </c>
      <c r="CL293" t="s">
        <v>780</v>
      </c>
      <c r="CM293">
        <v>9</v>
      </c>
      <c r="CN293" t="s">
        <v>1442</v>
      </c>
      <c r="CO293" t="s">
        <v>146</v>
      </c>
      <c r="CV293" t="s">
        <v>146</v>
      </c>
      <c r="DF293">
        <v>1.5</v>
      </c>
      <c r="DG293" t="s">
        <v>1443</v>
      </c>
    </row>
    <row r="294" spans="1:111" x14ac:dyDescent="0.2">
      <c r="A294" t="s">
        <v>111</v>
      </c>
      <c r="B294" t="b">
        <v>1</v>
      </c>
      <c r="C294" t="s">
        <v>146</v>
      </c>
      <c r="F294" t="str">
        <f>HYPERLINK("https://portal.dnb.de/opac.htm?method=simpleSearch&amp;cqlMode=true&amp;query=idn%3D1272536858", "Portal")</f>
        <v>Portal</v>
      </c>
      <c r="G294" t="s">
        <v>755</v>
      </c>
      <c r="H294" t="s">
        <v>1444</v>
      </c>
      <c r="I294" t="s">
        <v>1445</v>
      </c>
      <c r="J294" t="s">
        <v>1446</v>
      </c>
      <c r="K294" t="s">
        <v>1446</v>
      </c>
      <c r="L294" t="s">
        <v>1446</v>
      </c>
      <c r="N294" t="s">
        <v>631</v>
      </c>
      <c r="O294" t="s">
        <v>548</v>
      </c>
      <c r="Q294" t="s">
        <v>1437</v>
      </c>
      <c r="S294" t="s">
        <v>140</v>
      </c>
      <c r="AI294" t="s">
        <v>145</v>
      </c>
      <c r="AK294" t="s">
        <v>146</v>
      </c>
      <c r="AM294" t="s">
        <v>313</v>
      </c>
      <c r="AS294" t="s">
        <v>148</v>
      </c>
      <c r="BC294" t="s">
        <v>166</v>
      </c>
      <c r="BD294" t="s">
        <v>146</v>
      </c>
      <c r="BG294">
        <v>60</v>
      </c>
      <c r="BM294" t="s">
        <v>213</v>
      </c>
      <c r="BN294">
        <v>5.5</v>
      </c>
      <c r="BP294" t="s">
        <v>152</v>
      </c>
      <c r="BZ294" t="s">
        <v>146</v>
      </c>
      <c r="CA294" t="s">
        <v>146</v>
      </c>
      <c r="CB294" t="s">
        <v>146</v>
      </c>
      <c r="CD294" t="s">
        <v>202</v>
      </c>
      <c r="CM294">
        <v>4.5</v>
      </c>
      <c r="CN294" t="s">
        <v>1447</v>
      </c>
      <c r="CO294" t="s">
        <v>146</v>
      </c>
      <c r="CP294" t="s">
        <v>146</v>
      </c>
      <c r="DF294">
        <v>1</v>
      </c>
      <c r="DG294" t="s">
        <v>1448</v>
      </c>
    </row>
    <row r="295" spans="1:111" x14ac:dyDescent="0.2">
      <c r="A295" t="s">
        <v>111</v>
      </c>
      <c r="B295" t="b">
        <v>1</v>
      </c>
      <c r="C295" t="s">
        <v>146</v>
      </c>
      <c r="F295" t="str">
        <f>HYPERLINK("https://portal.dnb.de/opac.htm?method=simpleSearch&amp;cqlMode=true&amp;query=idn%3D1272536912", "Portal")</f>
        <v>Portal</v>
      </c>
      <c r="G295" t="s">
        <v>755</v>
      </c>
      <c r="H295" t="s">
        <v>1449</v>
      </c>
      <c r="I295" t="s">
        <v>1450</v>
      </c>
      <c r="J295" t="s">
        <v>1451</v>
      </c>
      <c r="K295" t="s">
        <v>1451</v>
      </c>
      <c r="L295" t="s">
        <v>1451</v>
      </c>
      <c r="N295" t="s">
        <v>631</v>
      </c>
      <c r="O295" t="s">
        <v>1452</v>
      </c>
      <c r="P295" t="s">
        <v>138</v>
      </c>
      <c r="Q295" t="s">
        <v>1441</v>
      </c>
      <c r="R295" t="s">
        <v>180</v>
      </c>
      <c r="S295" t="s">
        <v>140</v>
      </c>
      <c r="T295" t="s">
        <v>163</v>
      </c>
      <c r="U295" t="s">
        <v>805</v>
      </c>
      <c r="V295" t="s">
        <v>143</v>
      </c>
      <c r="W295" t="s">
        <v>67</v>
      </c>
      <c r="X295" t="s">
        <v>144</v>
      </c>
      <c r="Y295">
        <v>3</v>
      </c>
      <c r="AI295" t="s">
        <v>145</v>
      </c>
      <c r="AK295" t="s">
        <v>146</v>
      </c>
      <c r="AM295" t="s">
        <v>313</v>
      </c>
      <c r="AS295" t="s">
        <v>148</v>
      </c>
      <c r="BC295" t="s">
        <v>166</v>
      </c>
      <c r="BD295" t="s">
        <v>146</v>
      </c>
      <c r="BG295">
        <v>45</v>
      </c>
      <c r="BM295" t="s">
        <v>213</v>
      </c>
      <c r="BN295">
        <v>8.5</v>
      </c>
      <c r="BP295" t="s">
        <v>152</v>
      </c>
      <c r="BZ295" t="s">
        <v>146</v>
      </c>
      <c r="CA295" t="s">
        <v>146</v>
      </c>
      <c r="CB295" t="s">
        <v>146</v>
      </c>
      <c r="CD295" t="s">
        <v>202</v>
      </c>
      <c r="CL295" t="s">
        <v>837</v>
      </c>
      <c r="CM295">
        <v>6.5</v>
      </c>
      <c r="CN295" t="s">
        <v>1453</v>
      </c>
      <c r="CO295" t="s">
        <v>146</v>
      </c>
      <c r="CP295" t="s">
        <v>146</v>
      </c>
      <c r="CV295" t="s">
        <v>146</v>
      </c>
      <c r="CX295" t="s">
        <v>146</v>
      </c>
      <c r="DA295" t="s">
        <v>146</v>
      </c>
      <c r="DF295">
        <v>2</v>
      </c>
      <c r="DG295" t="s">
        <v>1454</v>
      </c>
    </row>
    <row r="296" spans="1:111" x14ac:dyDescent="0.2">
      <c r="A296" t="s">
        <v>111</v>
      </c>
      <c r="B296" t="b">
        <v>1</v>
      </c>
      <c r="E296">
        <v>301</v>
      </c>
      <c r="F296" t="str">
        <f>HYPERLINK("https://portal.dnb.de/opac.htm?method=simpleSearch&amp;cqlMode=true&amp;query=idn%3D106697022X", "Portal")</f>
        <v>Portal</v>
      </c>
      <c r="G296" t="s">
        <v>115</v>
      </c>
      <c r="H296" t="s">
        <v>1455</v>
      </c>
      <c r="I296" t="s">
        <v>1456</v>
      </c>
      <c r="J296" t="s">
        <v>1457</v>
      </c>
      <c r="K296" t="s">
        <v>1457</v>
      </c>
      <c r="L296" t="s">
        <v>1457</v>
      </c>
      <c r="N296" t="s">
        <v>326</v>
      </c>
      <c r="O296" t="s">
        <v>121</v>
      </c>
      <c r="P296" t="s">
        <v>138</v>
      </c>
      <c r="R296" t="s">
        <v>180</v>
      </c>
      <c r="S296" t="s">
        <v>162</v>
      </c>
      <c r="T296" t="s">
        <v>163</v>
      </c>
      <c r="X296" t="s">
        <v>250</v>
      </c>
      <c r="Y296">
        <v>0</v>
      </c>
      <c r="BN296">
        <v>0</v>
      </c>
    </row>
    <row r="297" spans="1:111" x14ac:dyDescent="0.2">
      <c r="A297" t="s">
        <v>111</v>
      </c>
      <c r="B297" t="b">
        <v>1</v>
      </c>
      <c r="C297" t="s">
        <v>146</v>
      </c>
      <c r="E297">
        <v>302</v>
      </c>
      <c r="F297" t="str">
        <f>HYPERLINK("https://portal.dnb.de/opac.htm?method=simpleSearch&amp;cqlMode=true&amp;query=idn%3D1066970866", "Portal")</f>
        <v>Portal</v>
      </c>
      <c r="G297" t="s">
        <v>115</v>
      </c>
      <c r="H297" t="s">
        <v>1458</v>
      </c>
      <c r="I297" t="s">
        <v>1459</v>
      </c>
      <c r="J297" t="s">
        <v>1460</v>
      </c>
      <c r="K297" t="s">
        <v>1460</v>
      </c>
      <c r="L297" t="s">
        <v>1460</v>
      </c>
      <c r="N297" t="s">
        <v>1461</v>
      </c>
      <c r="O297" t="s">
        <v>121</v>
      </c>
      <c r="P297" t="s">
        <v>138</v>
      </c>
      <c r="Q297" t="s">
        <v>711</v>
      </c>
      <c r="R297" t="s">
        <v>180</v>
      </c>
      <c r="S297" t="s">
        <v>162</v>
      </c>
      <c r="T297" t="s">
        <v>163</v>
      </c>
      <c r="U297" t="s">
        <v>386</v>
      </c>
      <c r="X297" t="s">
        <v>250</v>
      </c>
      <c r="Y297">
        <v>1</v>
      </c>
      <c r="AI297" t="s">
        <v>182</v>
      </c>
      <c r="AK297" t="s">
        <v>146</v>
      </c>
      <c r="AM297" t="s">
        <v>266</v>
      </c>
      <c r="AS297" t="s">
        <v>148</v>
      </c>
      <c r="BG297">
        <v>45</v>
      </c>
      <c r="BM297" t="s">
        <v>213</v>
      </c>
      <c r="BN297">
        <v>1</v>
      </c>
      <c r="BP297" t="s">
        <v>152</v>
      </c>
      <c r="BZ297" t="s">
        <v>146</v>
      </c>
      <c r="CA297" t="s">
        <v>146</v>
      </c>
      <c r="CB297" t="s">
        <v>146</v>
      </c>
      <c r="CM297">
        <v>0.5</v>
      </c>
      <c r="CO297" t="s">
        <v>146</v>
      </c>
      <c r="DF297">
        <v>0.5</v>
      </c>
      <c r="DG297" t="s">
        <v>1462</v>
      </c>
    </row>
    <row r="298" spans="1:111" x14ac:dyDescent="0.2">
      <c r="A298" t="s">
        <v>111</v>
      </c>
      <c r="B298" t="b">
        <v>1</v>
      </c>
      <c r="E298">
        <v>303</v>
      </c>
      <c r="F298" t="str">
        <f>HYPERLINK("https://portal.dnb.de/opac.htm?method=simpleSearch&amp;cqlMode=true&amp;query=idn%3D1066966028", "Portal")</f>
        <v>Portal</v>
      </c>
      <c r="G298" t="s">
        <v>133</v>
      </c>
      <c r="H298" t="s">
        <v>1463</v>
      </c>
      <c r="I298" t="s">
        <v>1464</v>
      </c>
      <c r="J298" t="s">
        <v>1465</v>
      </c>
      <c r="K298" t="s">
        <v>1465</v>
      </c>
      <c r="L298" t="s">
        <v>1465</v>
      </c>
      <c r="N298" t="s">
        <v>1466</v>
      </c>
      <c r="O298" t="s">
        <v>121</v>
      </c>
      <c r="R298" t="s">
        <v>180</v>
      </c>
      <c r="S298" t="s">
        <v>140</v>
      </c>
      <c r="T298" t="s">
        <v>163</v>
      </c>
      <c r="U298" t="s">
        <v>1467</v>
      </c>
      <c r="V298" t="s">
        <v>143</v>
      </c>
      <c r="W298" t="s">
        <v>67</v>
      </c>
      <c r="X298" t="s">
        <v>144</v>
      </c>
      <c r="Y298">
        <v>0</v>
      </c>
      <c r="BN298">
        <v>0</v>
      </c>
    </row>
    <row r="299" spans="1:111" x14ac:dyDescent="0.2">
      <c r="A299" t="s">
        <v>111</v>
      </c>
      <c r="B299" t="b">
        <v>1</v>
      </c>
      <c r="E299">
        <v>304</v>
      </c>
      <c r="F299" t="str">
        <f>HYPERLINK("https://portal.dnb.de/opac.htm?method=simpleSearch&amp;cqlMode=true&amp;query=idn%3D1066966028", "Portal")</f>
        <v>Portal</v>
      </c>
      <c r="G299" t="s">
        <v>133</v>
      </c>
      <c r="H299" t="s">
        <v>1468</v>
      </c>
      <c r="I299" t="s">
        <v>1464</v>
      </c>
      <c r="J299" t="s">
        <v>1469</v>
      </c>
      <c r="K299" t="s">
        <v>1469</v>
      </c>
      <c r="L299" t="s">
        <v>1469</v>
      </c>
      <c r="N299" t="s">
        <v>1466</v>
      </c>
      <c r="O299" t="s">
        <v>121</v>
      </c>
      <c r="R299" t="s">
        <v>180</v>
      </c>
      <c r="S299" t="s">
        <v>140</v>
      </c>
      <c r="T299" t="s">
        <v>163</v>
      </c>
      <c r="U299" t="s">
        <v>381</v>
      </c>
      <c r="V299" t="s">
        <v>143</v>
      </c>
      <c r="W299" t="s">
        <v>67</v>
      </c>
      <c r="X299" t="s">
        <v>144</v>
      </c>
      <c r="Y299">
        <v>0</v>
      </c>
      <c r="BN299">
        <v>0</v>
      </c>
    </row>
    <row r="300" spans="1:111" x14ac:dyDescent="0.2">
      <c r="A300" t="s">
        <v>111</v>
      </c>
      <c r="B300" t="b">
        <v>1</v>
      </c>
      <c r="C300" t="s">
        <v>146</v>
      </c>
      <c r="E300">
        <v>305</v>
      </c>
      <c r="F300" t="str">
        <f>HYPERLINK("https://portal.dnb.de/opac.htm?method=simpleSearch&amp;cqlMode=true&amp;query=idn%3D1066973016", "Portal")</f>
        <v>Portal</v>
      </c>
      <c r="G300" t="s">
        <v>133</v>
      </c>
      <c r="H300" t="s">
        <v>1470</v>
      </c>
      <c r="I300" t="s">
        <v>1471</v>
      </c>
      <c r="J300" t="s">
        <v>1472</v>
      </c>
      <c r="K300" t="s">
        <v>1472</v>
      </c>
      <c r="L300" t="s">
        <v>1472</v>
      </c>
      <c r="N300" t="s">
        <v>1473</v>
      </c>
      <c r="O300" t="s">
        <v>121</v>
      </c>
      <c r="P300" t="s">
        <v>138</v>
      </c>
      <c r="Q300" t="s">
        <v>1474</v>
      </c>
      <c r="R300" t="s">
        <v>180</v>
      </c>
      <c r="S300" t="s">
        <v>140</v>
      </c>
      <c r="T300" t="s">
        <v>163</v>
      </c>
      <c r="U300" t="s">
        <v>1475</v>
      </c>
      <c r="W300" t="s">
        <v>67</v>
      </c>
      <c r="X300" t="s">
        <v>144</v>
      </c>
      <c r="Y300">
        <v>3</v>
      </c>
      <c r="AI300" t="s">
        <v>145</v>
      </c>
      <c r="AK300" t="s">
        <v>146</v>
      </c>
      <c r="AM300" t="s">
        <v>147</v>
      </c>
      <c r="AS300" t="s">
        <v>148</v>
      </c>
      <c r="BE300">
        <v>2</v>
      </c>
      <c r="BF300" t="s">
        <v>146</v>
      </c>
      <c r="BG300" t="s">
        <v>1476</v>
      </c>
      <c r="BI300" t="s">
        <v>146</v>
      </c>
      <c r="BJ300" t="s">
        <v>1477</v>
      </c>
      <c r="BM300" t="s">
        <v>1478</v>
      </c>
      <c r="BN300">
        <v>3</v>
      </c>
      <c r="BP300" t="s">
        <v>152</v>
      </c>
      <c r="BZ300" t="s">
        <v>146</v>
      </c>
      <c r="CA300" t="s">
        <v>146</v>
      </c>
      <c r="CB300" t="s">
        <v>146</v>
      </c>
      <c r="CD300" t="s">
        <v>202</v>
      </c>
      <c r="CE300">
        <v>3</v>
      </c>
      <c r="CF300" t="s">
        <v>146</v>
      </c>
      <c r="CM300">
        <v>3</v>
      </c>
      <c r="CN300" t="s">
        <v>1479</v>
      </c>
    </row>
    <row r="301" spans="1:111" x14ac:dyDescent="0.2">
      <c r="A301" t="s">
        <v>111</v>
      </c>
      <c r="B301" t="b">
        <v>1</v>
      </c>
      <c r="C301" t="s">
        <v>146</v>
      </c>
      <c r="E301">
        <v>306</v>
      </c>
      <c r="F301" t="str">
        <f>HYPERLINK("https://portal.dnb.de/opac.htm?method=simpleSearch&amp;cqlMode=true&amp;query=idn%3D1066972141", "Portal")</f>
        <v>Portal</v>
      </c>
      <c r="G301" t="s">
        <v>115</v>
      </c>
      <c r="H301" t="s">
        <v>1480</v>
      </c>
      <c r="I301" t="s">
        <v>1481</v>
      </c>
      <c r="J301" t="s">
        <v>1482</v>
      </c>
      <c r="K301" t="s">
        <v>1482</v>
      </c>
      <c r="L301" t="s">
        <v>1482</v>
      </c>
      <c r="N301" t="s">
        <v>1483</v>
      </c>
      <c r="O301" t="s">
        <v>121</v>
      </c>
      <c r="P301" t="s">
        <v>138</v>
      </c>
      <c r="Q301" t="s">
        <v>1484</v>
      </c>
      <c r="R301" t="s">
        <v>180</v>
      </c>
      <c r="S301" t="s">
        <v>162</v>
      </c>
      <c r="T301" t="s">
        <v>163</v>
      </c>
      <c r="U301" t="s">
        <v>1485</v>
      </c>
      <c r="Y301">
        <v>1</v>
      </c>
      <c r="AI301" t="s">
        <v>182</v>
      </c>
      <c r="AK301" t="s">
        <v>146</v>
      </c>
      <c r="AM301" t="s">
        <v>313</v>
      </c>
      <c r="AS301" t="s">
        <v>148</v>
      </c>
      <c r="AZ301" t="s">
        <v>1486</v>
      </c>
      <c r="BG301">
        <v>110</v>
      </c>
      <c r="BM301" t="s">
        <v>213</v>
      </c>
      <c r="BN301">
        <v>3</v>
      </c>
      <c r="BR301" t="s">
        <v>146</v>
      </c>
      <c r="BZ301" t="s">
        <v>146</v>
      </c>
      <c r="CB301" t="s">
        <v>146</v>
      </c>
      <c r="CL301" t="s">
        <v>780</v>
      </c>
      <c r="CM301">
        <v>3</v>
      </c>
      <c r="CN301" t="s">
        <v>1487</v>
      </c>
    </row>
    <row r="302" spans="1:111" x14ac:dyDescent="0.2">
      <c r="A302" t="s">
        <v>111</v>
      </c>
      <c r="B302" t="b">
        <v>1</v>
      </c>
      <c r="E302">
        <v>307</v>
      </c>
      <c r="F302" t="str">
        <f>HYPERLINK("https://portal.dnb.de/opac.htm?method=simpleSearch&amp;cqlMode=true&amp;query=idn%3D1066969426", "Portal")</f>
        <v>Portal</v>
      </c>
      <c r="G302" t="s">
        <v>115</v>
      </c>
      <c r="H302" t="s">
        <v>1488</v>
      </c>
      <c r="I302" t="s">
        <v>1489</v>
      </c>
      <c r="J302" t="s">
        <v>1490</v>
      </c>
      <c r="K302" t="s">
        <v>1490</v>
      </c>
      <c r="L302" t="s">
        <v>1490</v>
      </c>
      <c r="N302" t="s">
        <v>1491</v>
      </c>
      <c r="O302" t="s">
        <v>121</v>
      </c>
      <c r="P302" t="s">
        <v>146</v>
      </c>
      <c r="R302" t="s">
        <v>180</v>
      </c>
      <c r="S302" t="s">
        <v>189</v>
      </c>
      <c r="T302" t="s">
        <v>471</v>
      </c>
      <c r="U302" t="s">
        <v>660</v>
      </c>
      <c r="V302" t="s">
        <v>143</v>
      </c>
      <c r="W302" t="s">
        <v>67</v>
      </c>
      <c r="X302" t="s">
        <v>144</v>
      </c>
      <c r="Y302">
        <v>1</v>
      </c>
      <c r="BN302">
        <v>0</v>
      </c>
    </row>
    <row r="303" spans="1:111" x14ac:dyDescent="0.2">
      <c r="A303" t="s">
        <v>111</v>
      </c>
      <c r="B303" t="b">
        <v>1</v>
      </c>
      <c r="E303">
        <v>308</v>
      </c>
      <c r="F303" t="str">
        <f>HYPERLINK("https://portal.dnb.de/opac.htm?method=simpleSearch&amp;cqlMode=true&amp;query=idn%3D1066971617", "Portal")</f>
        <v>Portal</v>
      </c>
      <c r="G303" t="s">
        <v>115</v>
      </c>
      <c r="H303" t="s">
        <v>1492</v>
      </c>
      <c r="I303" t="s">
        <v>1493</v>
      </c>
      <c r="J303" t="s">
        <v>1494</v>
      </c>
      <c r="K303" t="s">
        <v>1494</v>
      </c>
      <c r="L303" t="s">
        <v>1494</v>
      </c>
      <c r="N303" t="s">
        <v>1495</v>
      </c>
      <c r="O303" t="s">
        <v>121</v>
      </c>
      <c r="R303" t="s">
        <v>139</v>
      </c>
      <c r="S303" t="s">
        <v>189</v>
      </c>
      <c r="T303" t="s">
        <v>163</v>
      </c>
      <c r="U303" t="s">
        <v>381</v>
      </c>
      <c r="V303" t="s">
        <v>143</v>
      </c>
      <c r="W303" t="s">
        <v>67</v>
      </c>
      <c r="Y303">
        <v>0</v>
      </c>
      <c r="BN303">
        <v>0</v>
      </c>
    </row>
    <row r="304" spans="1:111" x14ac:dyDescent="0.2">
      <c r="A304" t="s">
        <v>111</v>
      </c>
      <c r="B304" t="b">
        <v>1</v>
      </c>
      <c r="E304">
        <v>309</v>
      </c>
      <c r="F304" t="str">
        <f>HYPERLINK("https://portal.dnb.de/opac.htm?method=simpleSearch&amp;cqlMode=true&amp;query=idn%3D1066965188", "Portal")</f>
        <v>Portal</v>
      </c>
      <c r="G304" t="s">
        <v>133</v>
      </c>
      <c r="H304" t="s">
        <v>1496</v>
      </c>
      <c r="I304" t="s">
        <v>1497</v>
      </c>
      <c r="J304" t="s">
        <v>1498</v>
      </c>
      <c r="K304" t="s">
        <v>1498</v>
      </c>
      <c r="L304" t="s">
        <v>1498</v>
      </c>
      <c r="N304" t="s">
        <v>1499</v>
      </c>
      <c r="O304" t="s">
        <v>121</v>
      </c>
      <c r="R304" t="s">
        <v>180</v>
      </c>
      <c r="S304" t="s">
        <v>140</v>
      </c>
      <c r="T304" t="s">
        <v>163</v>
      </c>
      <c r="U304" t="s">
        <v>824</v>
      </c>
      <c r="W304" t="s">
        <v>67</v>
      </c>
      <c r="X304" t="s">
        <v>144</v>
      </c>
      <c r="BN304">
        <v>0</v>
      </c>
    </row>
    <row r="305" spans="1:66" x14ac:dyDescent="0.2">
      <c r="A305" t="s">
        <v>111</v>
      </c>
      <c r="B305" t="b">
        <v>1</v>
      </c>
      <c r="E305">
        <v>310</v>
      </c>
      <c r="F305" t="str">
        <f>HYPERLINK("https://portal.dnb.de/opac.htm?method=simpleSearch&amp;cqlMode=true&amp;query=idn%3D1066969612", "Portal")</f>
        <v>Portal</v>
      </c>
      <c r="G305" t="s">
        <v>133</v>
      </c>
      <c r="H305" t="s">
        <v>1500</v>
      </c>
      <c r="I305" t="s">
        <v>1501</v>
      </c>
      <c r="J305" t="s">
        <v>1502</v>
      </c>
      <c r="K305" t="s">
        <v>1502</v>
      </c>
      <c r="L305" t="s">
        <v>1502</v>
      </c>
      <c r="N305" t="s">
        <v>1503</v>
      </c>
      <c r="O305" t="s">
        <v>121</v>
      </c>
      <c r="P305" t="s">
        <v>138</v>
      </c>
      <c r="R305" t="s">
        <v>161</v>
      </c>
      <c r="S305" t="s">
        <v>140</v>
      </c>
      <c r="T305" t="s">
        <v>163</v>
      </c>
      <c r="U305" t="s">
        <v>386</v>
      </c>
      <c r="W305" t="s">
        <v>67</v>
      </c>
      <c r="X305" t="s">
        <v>144</v>
      </c>
      <c r="Y305">
        <v>0</v>
      </c>
      <c r="BN305">
        <v>0</v>
      </c>
    </row>
    <row r="306" spans="1:66" x14ac:dyDescent="0.2">
      <c r="A306" t="s">
        <v>111</v>
      </c>
      <c r="B306" t="b">
        <v>1</v>
      </c>
      <c r="E306">
        <v>311</v>
      </c>
      <c r="F306" t="str">
        <f>HYPERLINK("https://portal.dnb.de/opac.htm?method=simpleSearch&amp;cqlMode=true&amp;query=idn%3D1060137496", "Portal")</f>
        <v>Portal</v>
      </c>
      <c r="G306" t="s">
        <v>115</v>
      </c>
      <c r="H306" t="s">
        <v>1504</v>
      </c>
      <c r="I306" t="s">
        <v>1505</v>
      </c>
      <c r="J306" t="s">
        <v>1506</v>
      </c>
      <c r="K306" t="s">
        <v>1506</v>
      </c>
      <c r="L306" t="s">
        <v>1506</v>
      </c>
      <c r="N306" t="s">
        <v>1507</v>
      </c>
      <c r="O306" t="s">
        <v>121</v>
      </c>
      <c r="BN306">
        <v>0</v>
      </c>
    </row>
    <row r="307" spans="1:66" x14ac:dyDescent="0.2">
      <c r="A307" t="s">
        <v>111</v>
      </c>
      <c r="B307" t="b">
        <v>1</v>
      </c>
      <c r="E307">
        <v>312</v>
      </c>
      <c r="F307" t="str">
        <f>HYPERLINK("https://portal.dnb.de/opac.htm?method=simpleSearch&amp;cqlMode=true&amp;query=idn%3D1060136910", "Portal")</f>
        <v>Portal</v>
      </c>
      <c r="G307" t="s">
        <v>115</v>
      </c>
      <c r="H307" t="s">
        <v>1508</v>
      </c>
      <c r="I307" t="s">
        <v>1509</v>
      </c>
      <c r="J307" t="s">
        <v>1510</v>
      </c>
      <c r="K307" t="s">
        <v>1510</v>
      </c>
      <c r="L307" t="s">
        <v>1510</v>
      </c>
      <c r="N307" t="s">
        <v>1511</v>
      </c>
      <c r="O307" t="s">
        <v>121</v>
      </c>
      <c r="BN307">
        <v>0</v>
      </c>
    </row>
    <row r="308" spans="1:66" x14ac:dyDescent="0.2">
      <c r="A308" t="s">
        <v>111</v>
      </c>
      <c r="B308" t="b">
        <v>1</v>
      </c>
      <c r="E308">
        <v>313</v>
      </c>
      <c r="F308" t="str">
        <f>HYPERLINK("https://portal.dnb.de/opac.htm?method=simpleSearch&amp;cqlMode=true&amp;query=idn%3D1066965056", "Portal")</f>
        <v>Portal</v>
      </c>
      <c r="G308" t="s">
        <v>133</v>
      </c>
      <c r="H308" t="s">
        <v>1512</v>
      </c>
      <c r="I308" t="s">
        <v>1513</v>
      </c>
      <c r="J308" t="s">
        <v>1514</v>
      </c>
      <c r="K308" t="s">
        <v>1514</v>
      </c>
      <c r="L308" t="s">
        <v>1514</v>
      </c>
      <c r="N308" t="s">
        <v>1515</v>
      </c>
      <c r="O308" t="s">
        <v>121</v>
      </c>
      <c r="P308" t="s">
        <v>146</v>
      </c>
      <c r="R308" t="s">
        <v>161</v>
      </c>
      <c r="S308" t="s">
        <v>189</v>
      </c>
      <c r="T308" t="s">
        <v>163</v>
      </c>
      <c r="U308" t="s">
        <v>198</v>
      </c>
      <c r="V308" t="s">
        <v>143</v>
      </c>
      <c r="W308" t="s">
        <v>67</v>
      </c>
      <c r="X308" t="s">
        <v>144</v>
      </c>
      <c r="Y308">
        <v>3</v>
      </c>
      <c r="BN308">
        <v>0</v>
      </c>
    </row>
    <row r="309" spans="1:66" x14ac:dyDescent="0.2">
      <c r="A309" t="s">
        <v>111</v>
      </c>
      <c r="B309" t="b">
        <v>1</v>
      </c>
      <c r="E309">
        <v>314</v>
      </c>
      <c r="F309" t="str">
        <f>HYPERLINK("https://portal.dnb.de/opac.htm?method=simpleSearch&amp;cqlMode=true&amp;query=idn%3D1066969094", "Portal")</f>
        <v>Portal</v>
      </c>
      <c r="G309" t="s">
        <v>133</v>
      </c>
      <c r="H309" t="s">
        <v>1516</v>
      </c>
      <c r="I309" t="s">
        <v>1517</v>
      </c>
      <c r="J309" t="s">
        <v>1518</v>
      </c>
      <c r="K309" t="s">
        <v>1518</v>
      </c>
      <c r="L309" t="s">
        <v>1518</v>
      </c>
      <c r="N309" t="s">
        <v>1519</v>
      </c>
      <c r="O309" t="s">
        <v>121</v>
      </c>
      <c r="P309" t="s">
        <v>138</v>
      </c>
      <c r="R309" t="s">
        <v>161</v>
      </c>
      <c r="S309" t="s">
        <v>162</v>
      </c>
      <c r="T309" t="s">
        <v>163</v>
      </c>
      <c r="U309" t="s">
        <v>172</v>
      </c>
      <c r="X309" t="s">
        <v>250</v>
      </c>
      <c r="Y309">
        <v>1</v>
      </c>
      <c r="BN309">
        <v>0</v>
      </c>
    </row>
    <row r="310" spans="1:66" x14ac:dyDescent="0.2">
      <c r="A310" t="s">
        <v>111</v>
      </c>
      <c r="B310" t="b">
        <v>1</v>
      </c>
      <c r="E310">
        <v>315</v>
      </c>
      <c r="F310" t="str">
        <f>HYPERLINK("https://portal.dnb.de/opac.htm?method=simpleSearch&amp;cqlMode=true&amp;query=idn%3D1066969825", "Portal")</f>
        <v>Portal</v>
      </c>
      <c r="G310" t="s">
        <v>133</v>
      </c>
      <c r="H310" t="s">
        <v>1520</v>
      </c>
      <c r="I310" t="s">
        <v>1521</v>
      </c>
      <c r="J310" t="s">
        <v>1522</v>
      </c>
      <c r="K310" t="s">
        <v>1522</v>
      </c>
      <c r="L310" t="s">
        <v>1522</v>
      </c>
      <c r="N310" t="s">
        <v>1523</v>
      </c>
      <c r="O310" t="s">
        <v>121</v>
      </c>
      <c r="P310" t="s">
        <v>138</v>
      </c>
      <c r="R310" t="s">
        <v>517</v>
      </c>
      <c r="S310" t="s">
        <v>140</v>
      </c>
      <c r="T310" t="s">
        <v>141</v>
      </c>
      <c r="U310" t="s">
        <v>824</v>
      </c>
      <c r="W310" t="s">
        <v>67</v>
      </c>
      <c r="X310" t="s">
        <v>144</v>
      </c>
      <c r="Y310">
        <v>2</v>
      </c>
      <c r="BN310">
        <v>0</v>
      </c>
    </row>
    <row r="311" spans="1:66" x14ac:dyDescent="0.2">
      <c r="A311" t="s">
        <v>111</v>
      </c>
      <c r="B311" t="b">
        <v>1</v>
      </c>
      <c r="E311">
        <v>316</v>
      </c>
      <c r="F311" t="str">
        <f>HYPERLINK("https://portal.dnb.de/opac.htm?method=simpleSearch&amp;cqlMode=true&amp;query=idn%3D1066971897", "Portal")</f>
        <v>Portal</v>
      </c>
      <c r="G311" t="s">
        <v>115</v>
      </c>
      <c r="H311" t="s">
        <v>1524</v>
      </c>
      <c r="I311" t="s">
        <v>1525</v>
      </c>
      <c r="J311" t="s">
        <v>1526</v>
      </c>
      <c r="K311" t="s">
        <v>1526</v>
      </c>
      <c r="L311" t="s">
        <v>1526</v>
      </c>
      <c r="N311" t="s">
        <v>1527</v>
      </c>
      <c r="O311" t="s">
        <v>121</v>
      </c>
      <c r="P311" t="s">
        <v>138</v>
      </c>
      <c r="R311" t="s">
        <v>171</v>
      </c>
      <c r="S311" t="s">
        <v>140</v>
      </c>
      <c r="T311" t="s">
        <v>163</v>
      </c>
      <c r="U311" t="s">
        <v>142</v>
      </c>
      <c r="V311" t="s">
        <v>143</v>
      </c>
      <c r="W311" t="s">
        <v>67</v>
      </c>
      <c r="X311" t="s">
        <v>144</v>
      </c>
      <c r="Y311">
        <v>0</v>
      </c>
      <c r="BN311">
        <v>0</v>
      </c>
    </row>
    <row r="312" spans="1:66" x14ac:dyDescent="0.2">
      <c r="A312" t="s">
        <v>111</v>
      </c>
      <c r="B312" t="b">
        <v>1</v>
      </c>
      <c r="E312">
        <v>317</v>
      </c>
      <c r="F312" t="str">
        <f>HYPERLINK("https://portal.dnb.de/opac.htm?method=simpleSearch&amp;cqlMode=true&amp;query=idn%3D106697280X", "Portal")</f>
        <v>Portal</v>
      </c>
      <c r="G312" t="s">
        <v>133</v>
      </c>
      <c r="H312" t="s">
        <v>1528</v>
      </c>
      <c r="I312" t="s">
        <v>1529</v>
      </c>
      <c r="J312" t="s">
        <v>1530</v>
      </c>
      <c r="K312" t="s">
        <v>1530</v>
      </c>
      <c r="L312" t="s">
        <v>1530</v>
      </c>
      <c r="N312" t="s">
        <v>1531</v>
      </c>
      <c r="O312" t="s">
        <v>121</v>
      </c>
      <c r="R312" t="s">
        <v>171</v>
      </c>
      <c r="S312" t="s">
        <v>140</v>
      </c>
      <c r="T312" t="s">
        <v>163</v>
      </c>
      <c r="U312" t="s">
        <v>1532</v>
      </c>
      <c r="V312" t="s">
        <v>143</v>
      </c>
      <c r="W312" t="s">
        <v>67</v>
      </c>
      <c r="X312" t="s">
        <v>144</v>
      </c>
      <c r="Y312">
        <v>0</v>
      </c>
      <c r="BN312">
        <v>0</v>
      </c>
    </row>
    <row r="313" spans="1:66" x14ac:dyDescent="0.2">
      <c r="A313" t="s">
        <v>111</v>
      </c>
      <c r="B313" t="b">
        <v>1</v>
      </c>
      <c r="E313">
        <v>318</v>
      </c>
      <c r="F313" t="str">
        <f>HYPERLINK("https://portal.dnb.de/opac.htm?method=simpleSearch&amp;cqlMode=true&amp;query=idn%3D1066971900", "Portal")</f>
        <v>Portal</v>
      </c>
      <c r="G313" t="s">
        <v>133</v>
      </c>
      <c r="H313" t="s">
        <v>1533</v>
      </c>
      <c r="I313" t="s">
        <v>1534</v>
      </c>
      <c r="J313" t="s">
        <v>1535</v>
      </c>
      <c r="K313" t="s">
        <v>1535</v>
      </c>
      <c r="L313" t="s">
        <v>1535</v>
      </c>
      <c r="N313" t="s">
        <v>1536</v>
      </c>
      <c r="O313" t="s">
        <v>121</v>
      </c>
      <c r="P313" t="s">
        <v>138</v>
      </c>
      <c r="R313" t="s">
        <v>1537</v>
      </c>
      <c r="S313" t="s">
        <v>189</v>
      </c>
      <c r="T313" t="s">
        <v>163</v>
      </c>
      <c r="U313" t="s">
        <v>243</v>
      </c>
      <c r="V313" t="s">
        <v>143</v>
      </c>
      <c r="W313" t="s">
        <v>67</v>
      </c>
      <c r="X313" t="s">
        <v>144</v>
      </c>
      <c r="Y313">
        <v>0</v>
      </c>
      <c r="BN313">
        <v>0</v>
      </c>
    </row>
    <row r="314" spans="1:66" x14ac:dyDescent="0.2">
      <c r="A314" t="s">
        <v>111</v>
      </c>
      <c r="B314" t="b">
        <v>1</v>
      </c>
      <c r="E314">
        <v>319</v>
      </c>
      <c r="F314" t="str">
        <f>HYPERLINK("https://portal.dnb.de/opac.htm?method=simpleSearch&amp;cqlMode=true&amp;query=idn%3D1072060566", "Portal")</f>
        <v>Portal</v>
      </c>
      <c r="G314" t="s">
        <v>115</v>
      </c>
      <c r="H314" t="s">
        <v>1538</v>
      </c>
      <c r="I314" t="s">
        <v>1539</v>
      </c>
      <c r="J314" t="s">
        <v>1540</v>
      </c>
      <c r="K314" t="s">
        <v>1540</v>
      </c>
      <c r="L314" t="s">
        <v>1540</v>
      </c>
      <c r="N314" t="s">
        <v>1541</v>
      </c>
      <c r="O314" t="s">
        <v>121</v>
      </c>
      <c r="P314" t="s">
        <v>138</v>
      </c>
      <c r="R314" t="s">
        <v>161</v>
      </c>
      <c r="S314" t="s">
        <v>189</v>
      </c>
      <c r="T314" t="s">
        <v>141</v>
      </c>
      <c r="U314" t="s">
        <v>142</v>
      </c>
      <c r="V314" t="s">
        <v>143</v>
      </c>
      <c r="W314" t="s">
        <v>67</v>
      </c>
      <c r="X314" t="s">
        <v>144</v>
      </c>
      <c r="Y314">
        <v>0</v>
      </c>
      <c r="BN314">
        <v>0</v>
      </c>
    </row>
    <row r="315" spans="1:66" x14ac:dyDescent="0.2">
      <c r="A315" t="s">
        <v>111</v>
      </c>
      <c r="B315" t="b">
        <v>1</v>
      </c>
      <c r="E315">
        <v>320</v>
      </c>
      <c r="F315" t="str">
        <f>HYPERLINK("https://portal.dnb.de/opac.htm?method=simpleSearch&amp;cqlMode=true&amp;query=idn%3D1066973105", "Portal")</f>
        <v>Portal</v>
      </c>
      <c r="G315" t="s">
        <v>115</v>
      </c>
      <c r="H315" t="s">
        <v>1542</v>
      </c>
      <c r="I315" t="s">
        <v>1543</v>
      </c>
      <c r="J315" t="s">
        <v>1544</v>
      </c>
      <c r="K315" t="s">
        <v>1544</v>
      </c>
      <c r="L315" t="s">
        <v>1544</v>
      </c>
      <c r="N315" t="s">
        <v>1545</v>
      </c>
      <c r="O315" t="s">
        <v>121</v>
      </c>
      <c r="P315" t="s">
        <v>138</v>
      </c>
      <c r="R315" t="s">
        <v>207</v>
      </c>
      <c r="S315" t="s">
        <v>189</v>
      </c>
      <c r="T315" t="s">
        <v>141</v>
      </c>
      <c r="U315" t="s">
        <v>386</v>
      </c>
      <c r="W315" t="s">
        <v>67</v>
      </c>
      <c r="X315" t="s">
        <v>144</v>
      </c>
      <c r="Y315">
        <v>0</v>
      </c>
      <c r="BN315">
        <v>0</v>
      </c>
    </row>
    <row r="316" spans="1:66" x14ac:dyDescent="0.2">
      <c r="A316" t="s">
        <v>111</v>
      </c>
      <c r="B316" t="b">
        <v>1</v>
      </c>
      <c r="E316">
        <v>321</v>
      </c>
      <c r="F316" t="str">
        <f>HYPERLINK("https://portal.dnb.de/opac.htm?method=simpleSearch&amp;cqlMode=true&amp;query=idn%3D1066972834", "Portal")</f>
        <v>Portal</v>
      </c>
      <c r="G316" t="s">
        <v>115</v>
      </c>
      <c r="H316" t="s">
        <v>1546</v>
      </c>
      <c r="I316" t="s">
        <v>1547</v>
      </c>
      <c r="J316" t="s">
        <v>1548</v>
      </c>
      <c r="K316" t="s">
        <v>1548</v>
      </c>
      <c r="L316" t="s">
        <v>1548</v>
      </c>
      <c r="N316" t="s">
        <v>1549</v>
      </c>
      <c r="O316" t="s">
        <v>121</v>
      </c>
      <c r="P316" t="s">
        <v>138</v>
      </c>
      <c r="R316" t="s">
        <v>161</v>
      </c>
      <c r="S316" t="s">
        <v>189</v>
      </c>
      <c r="T316" t="s">
        <v>163</v>
      </c>
      <c r="U316" t="s">
        <v>142</v>
      </c>
      <c r="V316" t="s">
        <v>143</v>
      </c>
      <c r="W316" t="s">
        <v>67</v>
      </c>
      <c r="X316" t="s">
        <v>144</v>
      </c>
      <c r="Y316">
        <v>0</v>
      </c>
      <c r="BN316">
        <v>0</v>
      </c>
    </row>
    <row r="317" spans="1:66" x14ac:dyDescent="0.2">
      <c r="A317" t="s">
        <v>111</v>
      </c>
      <c r="B317" t="b">
        <v>1</v>
      </c>
      <c r="E317">
        <v>322</v>
      </c>
      <c r="F317" t="str">
        <f>HYPERLINK("https://portal.dnb.de/opac.htm?method=simpleSearch&amp;cqlMode=true&amp;query=idn%3D1066973091", "Portal")</f>
        <v>Portal</v>
      </c>
      <c r="G317" t="s">
        <v>133</v>
      </c>
      <c r="H317" t="s">
        <v>1550</v>
      </c>
      <c r="I317" t="s">
        <v>1551</v>
      </c>
      <c r="J317" t="s">
        <v>1552</v>
      </c>
      <c r="K317" t="s">
        <v>1552</v>
      </c>
      <c r="L317" t="s">
        <v>1552</v>
      </c>
      <c r="N317" t="s">
        <v>1545</v>
      </c>
      <c r="O317" t="s">
        <v>121</v>
      </c>
      <c r="P317" t="s">
        <v>138</v>
      </c>
      <c r="R317" t="s">
        <v>517</v>
      </c>
      <c r="S317" t="s">
        <v>189</v>
      </c>
      <c r="T317" t="s">
        <v>141</v>
      </c>
      <c r="U317" t="s">
        <v>142</v>
      </c>
      <c r="V317" t="s">
        <v>143</v>
      </c>
      <c r="W317" t="s">
        <v>67</v>
      </c>
      <c r="X317" t="s">
        <v>144</v>
      </c>
      <c r="Y317">
        <v>0</v>
      </c>
      <c r="BN317">
        <v>0</v>
      </c>
    </row>
    <row r="318" spans="1:66" x14ac:dyDescent="0.2">
      <c r="A318" t="s">
        <v>111</v>
      </c>
      <c r="B318" t="b">
        <v>1</v>
      </c>
      <c r="E318">
        <v>323</v>
      </c>
      <c r="F318" t="str">
        <f>HYPERLINK("https://portal.dnb.de/opac.htm?method=simpleSearch&amp;cqlMode=true&amp;query=idn%3D1066973113", "Portal")</f>
        <v>Portal</v>
      </c>
      <c r="G318" t="s">
        <v>133</v>
      </c>
      <c r="H318" t="s">
        <v>1553</v>
      </c>
      <c r="I318" t="s">
        <v>1554</v>
      </c>
      <c r="J318" t="s">
        <v>1555</v>
      </c>
      <c r="K318" t="s">
        <v>1555</v>
      </c>
      <c r="L318" t="s">
        <v>1555</v>
      </c>
      <c r="N318" t="s">
        <v>1556</v>
      </c>
      <c r="O318" t="s">
        <v>121</v>
      </c>
      <c r="P318" t="s">
        <v>138</v>
      </c>
      <c r="R318" t="s">
        <v>161</v>
      </c>
      <c r="S318" t="s">
        <v>189</v>
      </c>
      <c r="T318" t="s">
        <v>163</v>
      </c>
      <c r="U318" t="s">
        <v>243</v>
      </c>
      <c r="V318" t="s">
        <v>143</v>
      </c>
      <c r="W318" t="s">
        <v>67</v>
      </c>
      <c r="X318" t="s">
        <v>144</v>
      </c>
      <c r="Y318">
        <v>0</v>
      </c>
      <c r="BN318">
        <v>0</v>
      </c>
    </row>
    <row r="319" spans="1:66" x14ac:dyDescent="0.2">
      <c r="A319" t="s">
        <v>111</v>
      </c>
      <c r="B319" t="b">
        <v>1</v>
      </c>
      <c r="E319">
        <v>324</v>
      </c>
      <c r="F319" t="str">
        <f>HYPERLINK("https://portal.dnb.de/opac.htm?method=simpleSearch&amp;cqlMode=true&amp;query=idn%3D1066970874", "Portal")</f>
        <v>Portal</v>
      </c>
      <c r="G319" t="s">
        <v>133</v>
      </c>
      <c r="H319" t="s">
        <v>1557</v>
      </c>
      <c r="I319" t="s">
        <v>1558</v>
      </c>
      <c r="J319" t="s">
        <v>1559</v>
      </c>
      <c r="K319" t="s">
        <v>1559</v>
      </c>
      <c r="L319" t="s">
        <v>1559</v>
      </c>
      <c r="N319" t="s">
        <v>1182</v>
      </c>
      <c r="O319" t="s">
        <v>121</v>
      </c>
      <c r="P319" t="s">
        <v>138</v>
      </c>
      <c r="R319" t="s">
        <v>139</v>
      </c>
      <c r="S319" t="s">
        <v>189</v>
      </c>
      <c r="T319" t="s">
        <v>163</v>
      </c>
      <c r="U319" t="s">
        <v>243</v>
      </c>
      <c r="V319" t="s">
        <v>143</v>
      </c>
      <c r="W319" t="s">
        <v>67</v>
      </c>
      <c r="X319" t="s">
        <v>144</v>
      </c>
      <c r="Y319">
        <v>0</v>
      </c>
      <c r="BN319">
        <v>0</v>
      </c>
    </row>
    <row r="320" spans="1:66" x14ac:dyDescent="0.2">
      <c r="A320" t="s">
        <v>111</v>
      </c>
      <c r="B320" t="b">
        <v>1</v>
      </c>
      <c r="E320">
        <v>325</v>
      </c>
      <c r="F320" t="str">
        <f>HYPERLINK("https://portal.dnb.de/opac.htm?method=simpleSearch&amp;cqlMode=true&amp;query=idn%3D1066967784", "Portal")</f>
        <v>Portal</v>
      </c>
      <c r="G320" t="s">
        <v>133</v>
      </c>
      <c r="H320" t="s">
        <v>1560</v>
      </c>
      <c r="I320" t="s">
        <v>1561</v>
      </c>
      <c r="J320" t="s">
        <v>1562</v>
      </c>
      <c r="K320" t="s">
        <v>1562</v>
      </c>
      <c r="L320" t="s">
        <v>1563</v>
      </c>
      <c r="N320" t="s">
        <v>1564</v>
      </c>
      <c r="O320" t="s">
        <v>121</v>
      </c>
      <c r="P320" t="s">
        <v>138</v>
      </c>
      <c r="R320" t="s">
        <v>139</v>
      </c>
      <c r="S320" t="s">
        <v>189</v>
      </c>
      <c r="T320" t="s">
        <v>163</v>
      </c>
      <c r="U320" t="s">
        <v>243</v>
      </c>
      <c r="V320" t="s">
        <v>143</v>
      </c>
      <c r="W320" t="s">
        <v>67</v>
      </c>
      <c r="X320" t="s">
        <v>144</v>
      </c>
      <c r="Y320">
        <v>0</v>
      </c>
      <c r="BN320">
        <v>0</v>
      </c>
    </row>
    <row r="321" spans="1:111" x14ac:dyDescent="0.2">
      <c r="A321" t="s">
        <v>111</v>
      </c>
      <c r="B321" t="b">
        <v>1</v>
      </c>
      <c r="E321">
        <v>326</v>
      </c>
      <c r="F321" t="str">
        <f>HYPERLINK("https://portal.dnb.de/opac.htm?method=simpleSearch&amp;cqlMode=true&amp;query=idn%3D1066973024", "Portal")</f>
        <v>Portal</v>
      </c>
      <c r="G321" t="s">
        <v>133</v>
      </c>
      <c r="H321" t="s">
        <v>1565</v>
      </c>
      <c r="I321" t="s">
        <v>1566</v>
      </c>
      <c r="J321" t="s">
        <v>1567</v>
      </c>
      <c r="K321" t="s">
        <v>1567</v>
      </c>
      <c r="L321" t="s">
        <v>1567</v>
      </c>
      <c r="N321" t="s">
        <v>1568</v>
      </c>
      <c r="O321" t="s">
        <v>121</v>
      </c>
      <c r="P321" t="s">
        <v>138</v>
      </c>
      <c r="R321" t="s">
        <v>139</v>
      </c>
      <c r="S321" t="s">
        <v>189</v>
      </c>
      <c r="T321" t="s">
        <v>141</v>
      </c>
      <c r="U321" t="s">
        <v>1036</v>
      </c>
      <c r="V321" t="s">
        <v>143</v>
      </c>
      <c r="W321" t="s">
        <v>67</v>
      </c>
      <c r="X321" t="s">
        <v>144</v>
      </c>
      <c r="Y321">
        <v>2</v>
      </c>
      <c r="BN321">
        <v>0</v>
      </c>
    </row>
    <row r="322" spans="1:111" x14ac:dyDescent="0.2">
      <c r="A322" t="s">
        <v>111</v>
      </c>
      <c r="B322" t="b">
        <v>1</v>
      </c>
      <c r="E322">
        <v>327</v>
      </c>
      <c r="F322" t="str">
        <f>HYPERLINK("https://portal.dnb.de/opac.htm?method=simpleSearch&amp;cqlMode=true&amp;query=idn%3D1048166694", "Portal")</f>
        <v>Portal</v>
      </c>
      <c r="G322" t="s">
        <v>115</v>
      </c>
      <c r="H322" t="s">
        <v>1569</v>
      </c>
      <c r="I322" t="s">
        <v>1570</v>
      </c>
      <c r="J322" t="s">
        <v>1571</v>
      </c>
      <c r="K322" t="s">
        <v>1571</v>
      </c>
      <c r="L322" t="s">
        <v>1571</v>
      </c>
      <c r="N322" t="s">
        <v>1572</v>
      </c>
      <c r="O322" t="s">
        <v>121</v>
      </c>
      <c r="P322" t="s">
        <v>138</v>
      </c>
      <c r="R322" t="s">
        <v>180</v>
      </c>
      <c r="S322" t="s">
        <v>189</v>
      </c>
      <c r="T322" t="s">
        <v>163</v>
      </c>
      <c r="U322" t="s">
        <v>1036</v>
      </c>
      <c r="V322" t="s">
        <v>143</v>
      </c>
      <c r="W322" t="s">
        <v>67</v>
      </c>
      <c r="X322" t="s">
        <v>144</v>
      </c>
      <c r="Y322">
        <v>1</v>
      </c>
      <c r="BN322">
        <v>0</v>
      </c>
    </row>
    <row r="323" spans="1:111" x14ac:dyDescent="0.2">
      <c r="A323" t="s">
        <v>111</v>
      </c>
      <c r="B323" t="b">
        <v>1</v>
      </c>
      <c r="E323">
        <v>328</v>
      </c>
      <c r="F323" t="str">
        <f>HYPERLINK("https://portal.dnb.de/opac.htm?method=simpleSearch&amp;cqlMode=true&amp;query=idn%3D1066970289", "Portal")</f>
        <v>Portal</v>
      </c>
      <c r="G323" t="s">
        <v>133</v>
      </c>
      <c r="H323" t="s">
        <v>1573</v>
      </c>
      <c r="I323" t="s">
        <v>1574</v>
      </c>
      <c r="J323" t="s">
        <v>1575</v>
      </c>
      <c r="K323" t="s">
        <v>1575</v>
      </c>
      <c r="L323" t="s">
        <v>1575</v>
      </c>
      <c r="N323" t="s">
        <v>196</v>
      </c>
      <c r="O323" t="s">
        <v>121</v>
      </c>
      <c r="P323" t="s">
        <v>138</v>
      </c>
      <c r="R323" t="s">
        <v>207</v>
      </c>
      <c r="S323" t="s">
        <v>189</v>
      </c>
      <c r="T323" t="s">
        <v>163</v>
      </c>
      <c r="U323" t="s">
        <v>243</v>
      </c>
      <c r="V323" t="s">
        <v>143</v>
      </c>
      <c r="W323" t="s">
        <v>67</v>
      </c>
      <c r="X323" t="s">
        <v>144</v>
      </c>
      <c r="Y323">
        <v>2</v>
      </c>
      <c r="BN323">
        <v>0</v>
      </c>
    </row>
    <row r="324" spans="1:111" x14ac:dyDescent="0.2">
      <c r="A324" t="s">
        <v>111</v>
      </c>
      <c r="B324" t="b">
        <v>1</v>
      </c>
      <c r="E324">
        <v>329</v>
      </c>
      <c r="F324" t="str">
        <f>HYPERLINK("https://portal.dnb.de/opac.htm?method=simpleSearch&amp;cqlMode=true&amp;query=idn%3D1072060930", "Portal")</f>
        <v>Portal</v>
      </c>
      <c r="G324" t="s">
        <v>115</v>
      </c>
      <c r="H324" t="s">
        <v>1576</v>
      </c>
      <c r="I324" t="s">
        <v>1577</v>
      </c>
      <c r="J324" t="s">
        <v>1578</v>
      </c>
      <c r="K324" t="s">
        <v>1578</v>
      </c>
      <c r="L324" t="s">
        <v>1578</v>
      </c>
      <c r="N324" t="s">
        <v>1579</v>
      </c>
      <c r="O324" t="s">
        <v>121</v>
      </c>
      <c r="P324" t="s">
        <v>138</v>
      </c>
      <c r="R324" t="s">
        <v>180</v>
      </c>
      <c r="S324" t="s">
        <v>162</v>
      </c>
      <c r="T324" t="s">
        <v>471</v>
      </c>
      <c r="U324" t="s">
        <v>164</v>
      </c>
      <c r="V324" t="s">
        <v>143</v>
      </c>
      <c r="X324" t="s">
        <v>250</v>
      </c>
      <c r="Y324">
        <v>2</v>
      </c>
      <c r="AA324" t="s">
        <v>617</v>
      </c>
      <c r="BN324">
        <v>0</v>
      </c>
    </row>
    <row r="325" spans="1:111" x14ac:dyDescent="0.2">
      <c r="A325" t="s">
        <v>111</v>
      </c>
      <c r="B325" t="b">
        <v>1</v>
      </c>
      <c r="E325">
        <v>330</v>
      </c>
      <c r="F325" t="str">
        <f>HYPERLINK("https://portal.dnb.de/opac.htm?method=simpleSearch&amp;cqlMode=true&amp;query=idn%3D1067439137", "Portal")</f>
        <v>Portal</v>
      </c>
      <c r="G325" t="s">
        <v>218</v>
      </c>
      <c r="H325" t="s">
        <v>1580</v>
      </c>
      <c r="I325" t="s">
        <v>1581</v>
      </c>
      <c r="J325" t="s">
        <v>1582</v>
      </c>
      <c r="K325" t="s">
        <v>1582</v>
      </c>
      <c r="L325" t="s">
        <v>1582</v>
      </c>
      <c r="N325" t="s">
        <v>1583</v>
      </c>
      <c r="O325" t="s">
        <v>121</v>
      </c>
      <c r="BN325">
        <v>0</v>
      </c>
    </row>
    <row r="326" spans="1:111" x14ac:dyDescent="0.2">
      <c r="A326" t="s">
        <v>111</v>
      </c>
      <c r="B326" t="b">
        <v>1</v>
      </c>
      <c r="E326">
        <v>331</v>
      </c>
      <c r="F326" t="str">
        <f>HYPERLINK("https://portal.dnb.de/opac.htm?method=simpleSearch&amp;cqlMode=true&amp;query=idn%3D1067439188", "Portal")</f>
        <v>Portal</v>
      </c>
      <c r="G326" t="s">
        <v>218</v>
      </c>
      <c r="H326" t="s">
        <v>1584</v>
      </c>
      <c r="I326" t="s">
        <v>1585</v>
      </c>
      <c r="J326" t="s">
        <v>1586</v>
      </c>
      <c r="K326" t="s">
        <v>1586</v>
      </c>
      <c r="L326" t="s">
        <v>1586</v>
      </c>
      <c r="N326" t="s">
        <v>1587</v>
      </c>
      <c r="O326" t="s">
        <v>121</v>
      </c>
      <c r="BN326">
        <v>0</v>
      </c>
    </row>
    <row r="327" spans="1:111" x14ac:dyDescent="0.2">
      <c r="A327" t="s">
        <v>111</v>
      </c>
      <c r="B327" t="b">
        <v>1</v>
      </c>
      <c r="F327" t="str">
        <f>HYPERLINK("https://portal.dnb.de/opac.htm?method=simpleSearch&amp;cqlMode=true&amp;query=idn%3D106760877X", "Portal")</f>
        <v>Portal</v>
      </c>
      <c r="G327" t="s">
        <v>115</v>
      </c>
      <c r="H327" t="s">
        <v>1588</v>
      </c>
      <c r="I327" t="s">
        <v>1589</v>
      </c>
      <c r="J327" t="s">
        <v>1590</v>
      </c>
      <c r="K327" t="s">
        <v>1590</v>
      </c>
      <c r="L327" t="s">
        <v>1590</v>
      </c>
      <c r="N327" t="s">
        <v>1591</v>
      </c>
      <c r="O327" t="s">
        <v>121</v>
      </c>
    </row>
    <row r="328" spans="1:111" x14ac:dyDescent="0.2">
      <c r="A328" t="s">
        <v>111</v>
      </c>
      <c r="B328" t="b">
        <v>1</v>
      </c>
      <c r="E328">
        <v>332</v>
      </c>
      <c r="F328" t="str">
        <f>HYPERLINK("https://portal.dnb.de/opac.htm?method=simpleSearch&amp;cqlMode=true&amp;query=idn%3D106696890X", "Portal")</f>
        <v>Portal</v>
      </c>
      <c r="G328" t="s">
        <v>115</v>
      </c>
      <c r="H328" t="s">
        <v>1592</v>
      </c>
      <c r="I328" t="s">
        <v>1593</v>
      </c>
      <c r="J328" t="s">
        <v>1594</v>
      </c>
      <c r="K328" t="s">
        <v>1594</v>
      </c>
      <c r="L328" t="s">
        <v>1594</v>
      </c>
      <c r="N328" t="s">
        <v>1473</v>
      </c>
      <c r="O328" t="s">
        <v>121</v>
      </c>
      <c r="P328" t="s">
        <v>138</v>
      </c>
      <c r="R328" t="s">
        <v>180</v>
      </c>
      <c r="S328" t="s">
        <v>140</v>
      </c>
      <c r="T328" t="s">
        <v>163</v>
      </c>
      <c r="U328" t="s">
        <v>660</v>
      </c>
      <c r="V328" t="s">
        <v>143</v>
      </c>
      <c r="W328" t="s">
        <v>67</v>
      </c>
      <c r="X328" t="s">
        <v>144</v>
      </c>
      <c r="Y328">
        <v>0</v>
      </c>
      <c r="BN328">
        <v>0</v>
      </c>
    </row>
    <row r="329" spans="1:111" x14ac:dyDescent="0.2">
      <c r="A329" t="s">
        <v>111</v>
      </c>
      <c r="B329" t="b">
        <v>1</v>
      </c>
      <c r="E329">
        <v>333</v>
      </c>
      <c r="F329" t="str">
        <f>HYPERLINK("https://portal.dnb.de/opac.htm?method=simpleSearch&amp;cqlMode=true&amp;query=idn%3D106696484X", "Portal")</f>
        <v>Portal</v>
      </c>
      <c r="G329" t="s">
        <v>133</v>
      </c>
      <c r="H329" t="s">
        <v>1595</v>
      </c>
      <c r="I329" t="s">
        <v>1596</v>
      </c>
      <c r="J329" t="s">
        <v>1597</v>
      </c>
      <c r="K329" t="s">
        <v>1597</v>
      </c>
      <c r="L329" t="s">
        <v>1597</v>
      </c>
      <c r="N329" t="s">
        <v>1598</v>
      </c>
      <c r="O329" t="s">
        <v>121</v>
      </c>
      <c r="P329" t="s">
        <v>138</v>
      </c>
      <c r="R329" t="s">
        <v>207</v>
      </c>
      <c r="S329" t="s">
        <v>189</v>
      </c>
      <c r="T329" t="s">
        <v>141</v>
      </c>
      <c r="U329" t="s">
        <v>1599</v>
      </c>
      <c r="W329" t="s">
        <v>67</v>
      </c>
      <c r="X329" t="s">
        <v>144</v>
      </c>
      <c r="Y329">
        <v>0</v>
      </c>
      <c r="BN329">
        <v>0</v>
      </c>
    </row>
    <row r="330" spans="1:111" x14ac:dyDescent="0.2">
      <c r="A330" t="s">
        <v>111</v>
      </c>
      <c r="B330" t="b">
        <v>1</v>
      </c>
      <c r="E330">
        <v>334</v>
      </c>
      <c r="F330" t="str">
        <f>HYPERLINK("https://portal.dnb.de/opac.htm?method=simpleSearch&amp;cqlMode=true&amp;query=idn%3D1066969205", "Portal")</f>
        <v>Portal</v>
      </c>
      <c r="G330" t="s">
        <v>133</v>
      </c>
      <c r="H330" t="s">
        <v>1600</v>
      </c>
      <c r="I330" t="s">
        <v>1601</v>
      </c>
      <c r="J330" t="s">
        <v>1602</v>
      </c>
      <c r="K330" t="s">
        <v>1602</v>
      </c>
      <c r="L330" t="s">
        <v>1602</v>
      </c>
      <c r="N330" t="s">
        <v>1603</v>
      </c>
      <c r="O330" t="s">
        <v>121</v>
      </c>
      <c r="P330" t="s">
        <v>138</v>
      </c>
      <c r="R330" t="s">
        <v>161</v>
      </c>
      <c r="S330" t="s">
        <v>189</v>
      </c>
      <c r="T330" t="s">
        <v>163</v>
      </c>
      <c r="U330" t="s">
        <v>172</v>
      </c>
      <c r="W330" t="s">
        <v>67</v>
      </c>
      <c r="X330" t="s">
        <v>144</v>
      </c>
      <c r="Y330">
        <v>1</v>
      </c>
      <c r="BN330">
        <v>0</v>
      </c>
    </row>
    <row r="331" spans="1:111" x14ac:dyDescent="0.2">
      <c r="A331" t="s">
        <v>111</v>
      </c>
      <c r="B331" t="b">
        <v>1</v>
      </c>
      <c r="C331" t="s">
        <v>146</v>
      </c>
      <c r="E331">
        <v>335</v>
      </c>
      <c r="F331" t="str">
        <f>HYPERLINK("https://portal.dnb.de/opac.htm?method=simpleSearch&amp;cqlMode=true&amp;query=idn%3D1066967377", "Portal")</f>
        <v>Portal</v>
      </c>
      <c r="G331" t="s">
        <v>133</v>
      </c>
      <c r="H331" t="s">
        <v>1604</v>
      </c>
      <c r="I331" t="s">
        <v>1605</v>
      </c>
      <c r="J331" t="s">
        <v>1606</v>
      </c>
      <c r="K331" t="s">
        <v>1606</v>
      </c>
      <c r="L331" t="s">
        <v>1606</v>
      </c>
      <c r="N331" t="s">
        <v>1607</v>
      </c>
      <c r="O331" t="s">
        <v>121</v>
      </c>
      <c r="P331" t="s">
        <v>138</v>
      </c>
      <c r="Q331" t="s">
        <v>1199</v>
      </c>
      <c r="R331" t="s">
        <v>180</v>
      </c>
      <c r="S331" t="s">
        <v>189</v>
      </c>
      <c r="T331" t="s">
        <v>163</v>
      </c>
      <c r="U331" t="s">
        <v>142</v>
      </c>
      <c r="V331" t="s">
        <v>143</v>
      </c>
      <c r="W331" t="s">
        <v>67</v>
      </c>
      <c r="X331" t="s">
        <v>144</v>
      </c>
      <c r="Y331">
        <v>1</v>
      </c>
      <c r="AI331" t="s">
        <v>145</v>
      </c>
      <c r="AK331" t="s">
        <v>146</v>
      </c>
      <c r="AM331" t="s">
        <v>147</v>
      </c>
      <c r="AS331" t="s">
        <v>148</v>
      </c>
      <c r="BC331" t="s">
        <v>166</v>
      </c>
      <c r="BD331" t="s">
        <v>146</v>
      </c>
      <c r="BG331">
        <v>110</v>
      </c>
      <c r="BM331" t="s">
        <v>213</v>
      </c>
      <c r="BN331">
        <v>0.5</v>
      </c>
      <c r="BP331" t="s">
        <v>152</v>
      </c>
      <c r="BZ331" t="s">
        <v>146</v>
      </c>
      <c r="CA331" t="s">
        <v>146</v>
      </c>
      <c r="CB331" t="s">
        <v>146</v>
      </c>
      <c r="CM331">
        <v>0.5</v>
      </c>
      <c r="CN331" t="s">
        <v>1608</v>
      </c>
    </row>
    <row r="332" spans="1:111" x14ac:dyDescent="0.2">
      <c r="A332" t="s">
        <v>111</v>
      </c>
      <c r="B332" t="b">
        <v>1</v>
      </c>
      <c r="E332">
        <v>336</v>
      </c>
      <c r="F332" t="str">
        <f>HYPERLINK("https://portal.dnb.de/opac.htm?method=simpleSearch&amp;cqlMode=true&amp;query=idn%3D1066968128", "Portal")</f>
        <v>Portal</v>
      </c>
      <c r="G332" t="s">
        <v>133</v>
      </c>
      <c r="H332" t="s">
        <v>1609</v>
      </c>
      <c r="I332" t="s">
        <v>1610</v>
      </c>
      <c r="J332" t="s">
        <v>1611</v>
      </c>
      <c r="K332" t="s">
        <v>1611</v>
      </c>
      <c r="L332" t="s">
        <v>1611</v>
      </c>
      <c r="N332" t="s">
        <v>1612</v>
      </c>
      <c r="O332" t="s">
        <v>121</v>
      </c>
      <c r="P332" t="s">
        <v>138</v>
      </c>
      <c r="R332" t="s">
        <v>161</v>
      </c>
      <c r="S332" t="s">
        <v>189</v>
      </c>
      <c r="T332" t="s">
        <v>141</v>
      </c>
      <c r="U332" t="s">
        <v>142</v>
      </c>
      <c r="V332" t="s">
        <v>143</v>
      </c>
      <c r="W332" t="s">
        <v>67</v>
      </c>
      <c r="X332" t="s">
        <v>144</v>
      </c>
      <c r="Y332">
        <v>0</v>
      </c>
      <c r="BN332">
        <v>0</v>
      </c>
    </row>
    <row r="333" spans="1:111" x14ac:dyDescent="0.2">
      <c r="A333" t="s">
        <v>111</v>
      </c>
      <c r="B333" t="b">
        <v>1</v>
      </c>
      <c r="E333">
        <v>337</v>
      </c>
      <c r="F333" t="str">
        <f>HYPERLINK("https://portal.dnb.de/opac.htm?method=simpleSearch&amp;cqlMode=true&amp;query=idn%3D1072320673", "Portal")</f>
        <v>Portal</v>
      </c>
      <c r="G333" t="s">
        <v>115</v>
      </c>
      <c r="H333" t="s">
        <v>1613</v>
      </c>
      <c r="I333" t="s">
        <v>1614</v>
      </c>
      <c r="J333" t="s">
        <v>1615</v>
      </c>
      <c r="K333" t="s">
        <v>1615</v>
      </c>
      <c r="L333" t="s">
        <v>1615</v>
      </c>
      <c r="N333" t="s">
        <v>1616</v>
      </c>
      <c r="O333" t="s">
        <v>121</v>
      </c>
      <c r="P333" t="s">
        <v>138</v>
      </c>
      <c r="R333" t="s">
        <v>161</v>
      </c>
      <c r="S333" t="s">
        <v>189</v>
      </c>
      <c r="T333" t="s">
        <v>141</v>
      </c>
      <c r="U333" t="s">
        <v>986</v>
      </c>
      <c r="V333" t="s">
        <v>143</v>
      </c>
      <c r="W333" t="s">
        <v>67</v>
      </c>
      <c r="X333" t="s">
        <v>144</v>
      </c>
      <c r="Y333">
        <v>2</v>
      </c>
      <c r="AA333" t="s">
        <v>1617</v>
      </c>
      <c r="BN333">
        <v>0</v>
      </c>
    </row>
    <row r="334" spans="1:111" x14ac:dyDescent="0.2">
      <c r="A334" t="s">
        <v>111</v>
      </c>
      <c r="B334" t="b">
        <v>1</v>
      </c>
      <c r="C334" t="s">
        <v>146</v>
      </c>
      <c r="E334">
        <v>338</v>
      </c>
      <c r="F334" t="str">
        <f>HYPERLINK("https://portal.dnb.de/opac.htm?method=simpleSearch&amp;cqlMode=true&amp;query=idn%3D1079531114", "Portal")</f>
        <v>Portal</v>
      </c>
      <c r="G334" t="s">
        <v>218</v>
      </c>
      <c r="H334" t="s">
        <v>1618</v>
      </c>
      <c r="I334" t="s">
        <v>1619</v>
      </c>
      <c r="J334" t="s">
        <v>1620</v>
      </c>
      <c r="K334" t="s">
        <v>1620</v>
      </c>
      <c r="L334" t="s">
        <v>1621</v>
      </c>
      <c r="N334" t="s">
        <v>1622</v>
      </c>
      <c r="O334" t="s">
        <v>121</v>
      </c>
      <c r="P334" t="s">
        <v>138</v>
      </c>
      <c r="Q334" t="s">
        <v>779</v>
      </c>
      <c r="R334" t="s">
        <v>347</v>
      </c>
      <c r="S334" t="s">
        <v>162</v>
      </c>
      <c r="T334" t="s">
        <v>163</v>
      </c>
      <c r="U334" t="s">
        <v>142</v>
      </c>
      <c r="V334" t="s">
        <v>143</v>
      </c>
      <c r="X334" t="s">
        <v>250</v>
      </c>
      <c r="Y334">
        <v>2</v>
      </c>
      <c r="AI334" t="s">
        <v>174</v>
      </c>
      <c r="AK334" t="s">
        <v>146</v>
      </c>
      <c r="AM334" t="s">
        <v>228</v>
      </c>
      <c r="AN334" t="s">
        <v>146</v>
      </c>
      <c r="AS334" t="s">
        <v>148</v>
      </c>
      <c r="BC334" t="s">
        <v>149</v>
      </c>
      <c r="BD334" t="s">
        <v>146</v>
      </c>
      <c r="BG334" t="s">
        <v>1476</v>
      </c>
      <c r="BI334" t="s">
        <v>146</v>
      </c>
      <c r="BJ334" t="s">
        <v>1623</v>
      </c>
      <c r="BM334" t="s">
        <v>213</v>
      </c>
      <c r="BN334">
        <v>3.5</v>
      </c>
      <c r="BP334" t="s">
        <v>152</v>
      </c>
      <c r="BZ334" t="s">
        <v>146</v>
      </c>
      <c r="CB334" t="s">
        <v>146</v>
      </c>
      <c r="CL334" t="s">
        <v>560</v>
      </c>
      <c r="CM334">
        <v>1.5</v>
      </c>
      <c r="CN334" t="s">
        <v>1624</v>
      </c>
      <c r="CP334" t="s">
        <v>146</v>
      </c>
      <c r="CX334" t="s">
        <v>146</v>
      </c>
      <c r="DF334">
        <v>2</v>
      </c>
      <c r="DG334" t="s">
        <v>1625</v>
      </c>
    </row>
    <row r="335" spans="1:111" x14ac:dyDescent="0.2">
      <c r="A335" t="s">
        <v>111</v>
      </c>
      <c r="B335" t="b">
        <v>1</v>
      </c>
      <c r="E335">
        <v>339</v>
      </c>
      <c r="F335" t="str">
        <f>HYPERLINK("https://portal.dnb.de/opac.htm?method=simpleSearch&amp;cqlMode=true&amp;query=idn%3D106696775X", "Portal")</f>
        <v>Portal</v>
      </c>
      <c r="G335" t="s">
        <v>133</v>
      </c>
      <c r="H335" t="s">
        <v>1626</v>
      </c>
      <c r="I335" t="s">
        <v>1627</v>
      </c>
      <c r="J335" t="s">
        <v>1628</v>
      </c>
      <c r="K335" t="s">
        <v>1628</v>
      </c>
      <c r="L335" t="s">
        <v>1628</v>
      </c>
      <c r="N335" t="s">
        <v>1629</v>
      </c>
      <c r="O335" t="s">
        <v>121</v>
      </c>
      <c r="P335" t="s">
        <v>138</v>
      </c>
      <c r="R335" t="s">
        <v>161</v>
      </c>
      <c r="S335" t="s">
        <v>140</v>
      </c>
      <c r="T335" t="s">
        <v>141</v>
      </c>
      <c r="U335" t="s">
        <v>172</v>
      </c>
      <c r="W335" t="s">
        <v>67</v>
      </c>
      <c r="X335" t="s">
        <v>144</v>
      </c>
      <c r="Y335">
        <v>0</v>
      </c>
      <c r="AA335" t="s">
        <v>1630</v>
      </c>
      <c r="BN335">
        <v>0</v>
      </c>
    </row>
    <row r="336" spans="1:111" x14ac:dyDescent="0.2">
      <c r="A336" t="s">
        <v>111</v>
      </c>
      <c r="B336" t="b">
        <v>1</v>
      </c>
      <c r="E336">
        <v>340</v>
      </c>
      <c r="F336" t="str">
        <f>HYPERLINK("https://portal.dnb.de/opac.htm?method=simpleSearch&amp;cqlMode=true&amp;query=idn%3D1066972753", "Portal")</f>
        <v>Portal</v>
      </c>
      <c r="G336" t="s">
        <v>133</v>
      </c>
      <c r="H336" t="s">
        <v>1631</v>
      </c>
      <c r="I336" t="s">
        <v>1632</v>
      </c>
      <c r="J336" t="s">
        <v>1633</v>
      </c>
      <c r="K336" t="s">
        <v>1633</v>
      </c>
      <c r="L336" t="s">
        <v>1633</v>
      </c>
      <c r="N336" t="s">
        <v>1634</v>
      </c>
      <c r="O336" t="s">
        <v>121</v>
      </c>
      <c r="P336" t="s">
        <v>138</v>
      </c>
      <c r="R336" t="s">
        <v>180</v>
      </c>
      <c r="S336" t="s">
        <v>140</v>
      </c>
      <c r="T336" t="s">
        <v>163</v>
      </c>
      <c r="U336" t="s">
        <v>243</v>
      </c>
      <c r="V336" t="s">
        <v>143</v>
      </c>
      <c r="W336" t="s">
        <v>67</v>
      </c>
      <c r="X336" t="s">
        <v>144</v>
      </c>
      <c r="Y336">
        <v>1</v>
      </c>
      <c r="BN336">
        <v>0</v>
      </c>
    </row>
    <row r="337" spans="1:92" x14ac:dyDescent="0.2">
      <c r="A337" t="s">
        <v>111</v>
      </c>
      <c r="B337" t="b">
        <v>1</v>
      </c>
      <c r="E337">
        <v>341</v>
      </c>
      <c r="F337" t="str">
        <f>HYPERLINK("https://portal.dnb.de/opac.htm?method=simpleSearch&amp;cqlMode=true&amp;query=idn%3D1066965129", "Portal")</f>
        <v>Portal</v>
      </c>
      <c r="G337" t="s">
        <v>115</v>
      </c>
      <c r="H337" t="s">
        <v>1635</v>
      </c>
      <c r="I337" t="s">
        <v>1636</v>
      </c>
      <c r="J337" t="s">
        <v>1637</v>
      </c>
      <c r="K337" t="s">
        <v>1637</v>
      </c>
      <c r="L337" t="s">
        <v>1637</v>
      </c>
      <c r="N337" t="s">
        <v>818</v>
      </c>
      <c r="O337" t="s">
        <v>121</v>
      </c>
      <c r="P337" t="s">
        <v>138</v>
      </c>
      <c r="R337" t="s">
        <v>161</v>
      </c>
      <c r="S337" t="s">
        <v>140</v>
      </c>
      <c r="T337" t="s">
        <v>163</v>
      </c>
      <c r="U337" t="s">
        <v>243</v>
      </c>
      <c r="V337" t="s">
        <v>143</v>
      </c>
      <c r="W337" t="s">
        <v>67</v>
      </c>
      <c r="X337" t="s">
        <v>144</v>
      </c>
      <c r="Y337">
        <v>1</v>
      </c>
      <c r="BN337">
        <v>0</v>
      </c>
    </row>
    <row r="338" spans="1:92" x14ac:dyDescent="0.2">
      <c r="A338" t="s">
        <v>111</v>
      </c>
      <c r="B338" t="b">
        <v>1</v>
      </c>
      <c r="C338" t="s">
        <v>146</v>
      </c>
      <c r="E338">
        <v>342</v>
      </c>
      <c r="F338" t="str">
        <f>HYPERLINK("https://portal.dnb.de/opac.htm?method=simpleSearch&amp;cqlMode=true&amp;query=idn%3D1072061481", "Portal")</f>
        <v>Portal</v>
      </c>
      <c r="G338" t="s">
        <v>115</v>
      </c>
      <c r="H338" t="s">
        <v>1638</v>
      </c>
      <c r="I338" t="s">
        <v>1639</v>
      </c>
      <c r="J338" t="s">
        <v>1640</v>
      </c>
      <c r="K338" t="s">
        <v>1640</v>
      </c>
      <c r="L338" t="s">
        <v>1640</v>
      </c>
      <c r="N338" t="s">
        <v>1641</v>
      </c>
      <c r="O338" t="s">
        <v>121</v>
      </c>
      <c r="P338" t="s">
        <v>138</v>
      </c>
      <c r="Q338" t="s">
        <v>659</v>
      </c>
      <c r="R338" t="s">
        <v>517</v>
      </c>
      <c r="S338" t="s">
        <v>140</v>
      </c>
      <c r="T338" t="s">
        <v>141</v>
      </c>
      <c r="U338" t="s">
        <v>172</v>
      </c>
      <c r="W338" t="s">
        <v>67</v>
      </c>
      <c r="X338" t="s">
        <v>144</v>
      </c>
      <c r="Y338">
        <v>1</v>
      </c>
      <c r="AI338" t="s">
        <v>518</v>
      </c>
      <c r="AK338" t="s">
        <v>146</v>
      </c>
      <c r="AM338" t="s">
        <v>147</v>
      </c>
      <c r="AS338" t="s">
        <v>148</v>
      </c>
      <c r="BG338">
        <v>110</v>
      </c>
      <c r="BM338" t="s">
        <v>213</v>
      </c>
      <c r="BN338">
        <v>1</v>
      </c>
      <c r="BP338" t="s">
        <v>152</v>
      </c>
      <c r="BZ338" t="s">
        <v>146</v>
      </c>
      <c r="CB338" t="s">
        <v>146</v>
      </c>
      <c r="CM338">
        <v>1</v>
      </c>
      <c r="CN338" t="s">
        <v>1642</v>
      </c>
    </row>
    <row r="339" spans="1:92" x14ac:dyDescent="0.2">
      <c r="A339" t="s">
        <v>111</v>
      </c>
      <c r="B339" t="b">
        <v>1</v>
      </c>
      <c r="E339">
        <v>343</v>
      </c>
      <c r="F339" t="str">
        <f>HYPERLINK("https://portal.dnb.de/opac.htm?method=simpleSearch&amp;cqlMode=true&amp;query=idn%3D1066968918", "Portal")</f>
        <v>Portal</v>
      </c>
      <c r="G339" t="s">
        <v>133</v>
      </c>
      <c r="H339" t="s">
        <v>1643</v>
      </c>
      <c r="I339" t="s">
        <v>1644</v>
      </c>
      <c r="J339" t="s">
        <v>1645</v>
      </c>
      <c r="K339" t="s">
        <v>1645</v>
      </c>
      <c r="L339" t="s">
        <v>1645</v>
      </c>
      <c r="N339" t="s">
        <v>428</v>
      </c>
      <c r="O339" t="s">
        <v>121</v>
      </c>
      <c r="P339" t="s">
        <v>138</v>
      </c>
      <c r="R339" t="s">
        <v>180</v>
      </c>
      <c r="S339" t="s">
        <v>140</v>
      </c>
      <c r="T339" t="s">
        <v>163</v>
      </c>
      <c r="U339" t="s">
        <v>660</v>
      </c>
      <c r="V339" t="s">
        <v>143</v>
      </c>
      <c r="W339" t="s">
        <v>67</v>
      </c>
      <c r="X339" t="s">
        <v>144</v>
      </c>
      <c r="Y339">
        <v>0</v>
      </c>
      <c r="BN339">
        <v>0</v>
      </c>
    </row>
    <row r="340" spans="1:92" x14ac:dyDescent="0.2">
      <c r="A340" t="s">
        <v>111</v>
      </c>
      <c r="B340" t="b">
        <v>1</v>
      </c>
      <c r="E340">
        <v>344</v>
      </c>
      <c r="F340" t="str">
        <f>HYPERLINK("https://portal.dnb.de/opac.htm?method=simpleSearch&amp;cqlMode=true&amp;query=idn%3D1066967555", "Portal")</f>
        <v>Portal</v>
      </c>
      <c r="G340" t="s">
        <v>115</v>
      </c>
      <c r="H340" t="s">
        <v>1646</v>
      </c>
      <c r="I340" t="s">
        <v>1647</v>
      </c>
      <c r="J340" t="s">
        <v>1648</v>
      </c>
      <c r="K340" t="s">
        <v>1648</v>
      </c>
      <c r="L340" t="s">
        <v>1648</v>
      </c>
      <c r="N340" t="s">
        <v>577</v>
      </c>
      <c r="O340" t="s">
        <v>121</v>
      </c>
      <c r="P340" t="s">
        <v>138</v>
      </c>
      <c r="R340" t="s">
        <v>180</v>
      </c>
      <c r="S340" t="s">
        <v>140</v>
      </c>
      <c r="T340" t="s">
        <v>163</v>
      </c>
      <c r="U340" t="s">
        <v>243</v>
      </c>
      <c r="V340" t="s">
        <v>143</v>
      </c>
      <c r="W340" t="s">
        <v>67</v>
      </c>
      <c r="X340" t="s">
        <v>144</v>
      </c>
      <c r="Y340">
        <v>0</v>
      </c>
      <c r="BN340">
        <v>0</v>
      </c>
    </row>
    <row r="341" spans="1:92" x14ac:dyDescent="0.2">
      <c r="A341" t="s">
        <v>111</v>
      </c>
      <c r="B341" t="b">
        <v>1</v>
      </c>
      <c r="E341">
        <v>345</v>
      </c>
      <c r="F341" t="str">
        <f>HYPERLINK("https://portal.dnb.de/opac.htm?method=simpleSearch&amp;cqlMode=true&amp;query=idn%3D1066972265", "Portal")</f>
        <v>Portal</v>
      </c>
      <c r="G341" t="s">
        <v>133</v>
      </c>
      <c r="H341" t="s">
        <v>1649</v>
      </c>
      <c r="I341" t="s">
        <v>1650</v>
      </c>
      <c r="J341" t="s">
        <v>1651</v>
      </c>
      <c r="K341" t="s">
        <v>1651</v>
      </c>
      <c r="L341" t="s">
        <v>1651</v>
      </c>
      <c r="N341" t="s">
        <v>1652</v>
      </c>
      <c r="O341" t="s">
        <v>121</v>
      </c>
      <c r="BN341">
        <v>0</v>
      </c>
    </row>
    <row r="342" spans="1:92" x14ac:dyDescent="0.2">
      <c r="A342" t="s">
        <v>111</v>
      </c>
      <c r="B342" t="b">
        <v>1</v>
      </c>
      <c r="E342">
        <v>346</v>
      </c>
      <c r="F342" t="str">
        <f>HYPERLINK("https://portal.dnb.de/opac.htm?method=simpleSearch&amp;cqlMode=true&amp;query=idn%3D106697103X", "Portal")</f>
        <v>Portal</v>
      </c>
      <c r="G342" t="s">
        <v>133</v>
      </c>
      <c r="H342" t="s">
        <v>1653</v>
      </c>
      <c r="I342" t="s">
        <v>1654</v>
      </c>
      <c r="J342" t="s">
        <v>1655</v>
      </c>
      <c r="K342" t="s">
        <v>1655</v>
      </c>
      <c r="L342" t="s">
        <v>1655</v>
      </c>
      <c r="N342" t="s">
        <v>1656</v>
      </c>
      <c r="O342" t="s">
        <v>121</v>
      </c>
      <c r="P342" t="s">
        <v>138</v>
      </c>
      <c r="R342" t="s">
        <v>1311</v>
      </c>
      <c r="S342" t="s">
        <v>140</v>
      </c>
      <c r="T342" t="s">
        <v>471</v>
      </c>
      <c r="U342" t="s">
        <v>243</v>
      </c>
      <c r="V342" t="s">
        <v>143</v>
      </c>
      <c r="W342" t="s">
        <v>67</v>
      </c>
      <c r="X342" t="s">
        <v>144</v>
      </c>
      <c r="Y342">
        <v>0</v>
      </c>
      <c r="BN342">
        <v>0</v>
      </c>
    </row>
    <row r="343" spans="1:92" x14ac:dyDescent="0.2">
      <c r="A343" t="s">
        <v>111</v>
      </c>
      <c r="B343" t="b">
        <v>1</v>
      </c>
      <c r="C343" t="s">
        <v>146</v>
      </c>
      <c r="E343">
        <v>347</v>
      </c>
      <c r="F343" t="str">
        <f>HYPERLINK("https://portal.dnb.de/opac.htm?method=simpleSearch&amp;cqlMode=true&amp;query=idn%3D1066966737", "Portal")</f>
        <v>Portal</v>
      </c>
      <c r="G343" t="s">
        <v>115</v>
      </c>
      <c r="H343" t="s">
        <v>1657</v>
      </c>
      <c r="I343" t="s">
        <v>1658</v>
      </c>
      <c r="J343" t="s">
        <v>1659</v>
      </c>
      <c r="K343" t="s">
        <v>1659</v>
      </c>
      <c r="L343" t="s">
        <v>1659</v>
      </c>
      <c r="N343" t="s">
        <v>1660</v>
      </c>
      <c r="O343" t="s">
        <v>121</v>
      </c>
      <c r="P343" t="s">
        <v>138</v>
      </c>
      <c r="Q343" t="s">
        <v>779</v>
      </c>
      <c r="R343" t="s">
        <v>161</v>
      </c>
      <c r="S343" t="s">
        <v>140</v>
      </c>
      <c r="T343" t="s">
        <v>471</v>
      </c>
      <c r="U343" t="s">
        <v>386</v>
      </c>
      <c r="W343" t="s">
        <v>67</v>
      </c>
      <c r="X343" t="s">
        <v>144</v>
      </c>
      <c r="Y343">
        <v>0</v>
      </c>
      <c r="AI343" t="s">
        <v>182</v>
      </c>
      <c r="AK343" t="s">
        <v>146</v>
      </c>
      <c r="AM343" t="s">
        <v>313</v>
      </c>
      <c r="AS343" t="s">
        <v>148</v>
      </c>
      <c r="AU343" t="s">
        <v>146</v>
      </c>
      <c r="BG343">
        <v>45</v>
      </c>
      <c r="BM343" t="s">
        <v>213</v>
      </c>
      <c r="BN343">
        <v>0.5</v>
      </c>
      <c r="BP343" t="s">
        <v>152</v>
      </c>
      <c r="BZ343" t="s">
        <v>1661</v>
      </c>
      <c r="CA343" t="s">
        <v>146</v>
      </c>
      <c r="CB343" t="s">
        <v>146</v>
      </c>
      <c r="CM343">
        <v>0.5</v>
      </c>
      <c r="CN343" t="s">
        <v>1662</v>
      </c>
    </row>
    <row r="344" spans="1:92" x14ac:dyDescent="0.2">
      <c r="A344" t="s">
        <v>111</v>
      </c>
      <c r="B344" t="b">
        <v>1</v>
      </c>
      <c r="E344">
        <v>348</v>
      </c>
      <c r="F344" t="str">
        <f>HYPERLINK("https://portal.dnb.de/opac.htm?method=simpleSearch&amp;cqlMode=true&amp;query=idn%3D106696761X", "Portal")</f>
        <v>Portal</v>
      </c>
      <c r="G344" t="s">
        <v>218</v>
      </c>
      <c r="H344" t="s">
        <v>1663</v>
      </c>
      <c r="I344" t="s">
        <v>1664</v>
      </c>
      <c r="J344" t="s">
        <v>1665</v>
      </c>
      <c r="K344" t="s">
        <v>1665</v>
      </c>
      <c r="L344" t="s">
        <v>1665</v>
      </c>
      <c r="N344" t="s">
        <v>1666</v>
      </c>
      <c r="O344" t="s">
        <v>121</v>
      </c>
      <c r="P344" t="s">
        <v>138</v>
      </c>
      <c r="R344" t="s">
        <v>180</v>
      </c>
      <c r="S344" t="s">
        <v>162</v>
      </c>
      <c r="T344" t="s">
        <v>471</v>
      </c>
      <c r="U344" t="s">
        <v>381</v>
      </c>
      <c r="V344" t="s">
        <v>143</v>
      </c>
      <c r="X344" t="s">
        <v>250</v>
      </c>
      <c r="Y344">
        <v>0</v>
      </c>
      <c r="BN344">
        <v>0</v>
      </c>
    </row>
    <row r="345" spans="1:92" x14ac:dyDescent="0.2">
      <c r="A345" t="s">
        <v>111</v>
      </c>
      <c r="B345" t="b">
        <v>1</v>
      </c>
      <c r="E345">
        <v>349</v>
      </c>
      <c r="F345" t="str">
        <f>HYPERLINK("https://portal.dnb.de/opac.htm?method=simpleSearch&amp;cqlMode=true&amp;query=idn%3D1066971250", "Portal")</f>
        <v>Portal</v>
      </c>
      <c r="G345" t="s">
        <v>115</v>
      </c>
      <c r="H345" t="s">
        <v>1667</v>
      </c>
      <c r="I345" t="s">
        <v>1668</v>
      </c>
      <c r="J345" t="s">
        <v>1669</v>
      </c>
      <c r="K345" t="s">
        <v>1669</v>
      </c>
      <c r="L345" t="s">
        <v>1669</v>
      </c>
      <c r="N345" t="s">
        <v>1670</v>
      </c>
      <c r="O345" t="s">
        <v>121</v>
      </c>
      <c r="P345" t="s">
        <v>138</v>
      </c>
      <c r="R345" t="s">
        <v>161</v>
      </c>
      <c r="S345" t="s">
        <v>140</v>
      </c>
      <c r="T345" t="s">
        <v>471</v>
      </c>
      <c r="U345" t="s">
        <v>386</v>
      </c>
      <c r="W345" t="s">
        <v>67</v>
      </c>
      <c r="X345" t="s">
        <v>144</v>
      </c>
      <c r="Y345">
        <v>1</v>
      </c>
      <c r="BN345">
        <v>0</v>
      </c>
    </row>
    <row r="346" spans="1:92" x14ac:dyDescent="0.2">
      <c r="A346" t="s">
        <v>111</v>
      </c>
      <c r="B346" t="b">
        <v>1</v>
      </c>
      <c r="E346">
        <v>350</v>
      </c>
      <c r="F346" t="str">
        <f>HYPERLINK("https://portal.dnb.de/opac.htm?method=simpleSearch&amp;cqlMode=true&amp;query=idn%3D1066972222", "Portal")</f>
        <v>Portal</v>
      </c>
      <c r="G346" t="s">
        <v>133</v>
      </c>
      <c r="H346" t="s">
        <v>1671</v>
      </c>
      <c r="I346" t="s">
        <v>1672</v>
      </c>
      <c r="J346" t="s">
        <v>1673</v>
      </c>
      <c r="K346" t="s">
        <v>1673</v>
      </c>
      <c r="L346" t="s">
        <v>1673</v>
      </c>
      <c r="N346" t="s">
        <v>1674</v>
      </c>
      <c r="O346" t="s">
        <v>121</v>
      </c>
      <c r="P346" t="s">
        <v>146</v>
      </c>
      <c r="R346" t="s">
        <v>180</v>
      </c>
      <c r="S346" t="s">
        <v>140</v>
      </c>
      <c r="T346" t="s">
        <v>163</v>
      </c>
      <c r="U346" t="s">
        <v>1675</v>
      </c>
      <c r="V346" t="s">
        <v>143</v>
      </c>
      <c r="W346" t="s">
        <v>67</v>
      </c>
      <c r="X346" t="s">
        <v>144</v>
      </c>
      <c r="Y346">
        <v>0</v>
      </c>
      <c r="BN346">
        <v>0</v>
      </c>
    </row>
    <row r="347" spans="1:92" x14ac:dyDescent="0.2">
      <c r="A347" t="s">
        <v>111</v>
      </c>
      <c r="B347" t="b">
        <v>1</v>
      </c>
      <c r="C347" t="s">
        <v>146</v>
      </c>
      <c r="E347">
        <v>351</v>
      </c>
      <c r="F347" t="str">
        <f>HYPERLINK("https://portal.dnb.de/opac.htm?method=simpleSearch&amp;cqlMode=true&amp;query=idn%3D1066973172", "Portal")</f>
        <v>Portal</v>
      </c>
      <c r="G347" t="s">
        <v>133</v>
      </c>
      <c r="H347" t="s">
        <v>1676</v>
      </c>
      <c r="I347" t="s">
        <v>1677</v>
      </c>
      <c r="J347" t="s">
        <v>1678</v>
      </c>
      <c r="K347" t="s">
        <v>1678</v>
      </c>
      <c r="L347" t="s">
        <v>1678</v>
      </c>
      <c r="N347" t="s">
        <v>1679</v>
      </c>
      <c r="O347" t="s">
        <v>121</v>
      </c>
      <c r="P347" t="s">
        <v>138</v>
      </c>
      <c r="Q347" t="s">
        <v>616</v>
      </c>
      <c r="R347" t="s">
        <v>161</v>
      </c>
      <c r="S347" t="s">
        <v>189</v>
      </c>
      <c r="T347" t="s">
        <v>163</v>
      </c>
      <c r="U347" t="s">
        <v>660</v>
      </c>
      <c r="V347" t="s">
        <v>143</v>
      </c>
      <c r="W347" t="s">
        <v>67</v>
      </c>
      <c r="X347" t="s">
        <v>144</v>
      </c>
      <c r="Y347">
        <v>3</v>
      </c>
      <c r="AI347" t="s">
        <v>182</v>
      </c>
      <c r="AK347" t="s">
        <v>146</v>
      </c>
      <c r="AM347" t="s">
        <v>313</v>
      </c>
      <c r="AS347" t="s">
        <v>148</v>
      </c>
      <c r="BC347" t="s">
        <v>166</v>
      </c>
      <c r="BD347" t="s">
        <v>146</v>
      </c>
      <c r="BG347">
        <v>60</v>
      </c>
      <c r="BM347" t="s">
        <v>213</v>
      </c>
      <c r="BN347">
        <v>0.5</v>
      </c>
      <c r="BP347" t="s">
        <v>152</v>
      </c>
      <c r="BZ347" t="s">
        <v>1661</v>
      </c>
      <c r="CA347" t="s">
        <v>146</v>
      </c>
      <c r="CB347" t="s">
        <v>146</v>
      </c>
      <c r="CM347">
        <v>0.5</v>
      </c>
      <c r="CN347" t="s">
        <v>1662</v>
      </c>
    </row>
    <row r="348" spans="1:92" x14ac:dyDescent="0.2">
      <c r="A348" t="s">
        <v>111</v>
      </c>
      <c r="B348" t="b">
        <v>1</v>
      </c>
      <c r="E348">
        <v>352</v>
      </c>
      <c r="F348" t="str">
        <f>HYPERLINK("https://portal.dnb.de/opac.htm?method=simpleSearch&amp;cqlMode=true&amp;query=idn%3D1066973350", "Portal")</f>
        <v>Portal</v>
      </c>
      <c r="G348" t="s">
        <v>133</v>
      </c>
      <c r="H348" t="s">
        <v>1680</v>
      </c>
      <c r="I348" t="s">
        <v>1681</v>
      </c>
      <c r="J348" t="s">
        <v>1682</v>
      </c>
      <c r="K348" t="s">
        <v>1682</v>
      </c>
      <c r="L348" t="s">
        <v>1682</v>
      </c>
      <c r="N348" t="s">
        <v>1683</v>
      </c>
      <c r="O348" t="s">
        <v>121</v>
      </c>
      <c r="P348" t="s">
        <v>146</v>
      </c>
      <c r="R348" t="s">
        <v>207</v>
      </c>
      <c r="S348" t="s">
        <v>140</v>
      </c>
      <c r="T348" t="s">
        <v>471</v>
      </c>
      <c r="U348" t="s">
        <v>1684</v>
      </c>
      <c r="V348" t="s">
        <v>143</v>
      </c>
      <c r="W348" t="s">
        <v>67</v>
      </c>
      <c r="X348" t="s">
        <v>144</v>
      </c>
      <c r="Y348">
        <v>0</v>
      </c>
      <c r="BN348">
        <v>0</v>
      </c>
    </row>
    <row r="349" spans="1:92" x14ac:dyDescent="0.2">
      <c r="A349" t="s">
        <v>111</v>
      </c>
      <c r="B349" t="b">
        <v>1</v>
      </c>
      <c r="C349" t="s">
        <v>146</v>
      </c>
      <c r="E349">
        <v>353</v>
      </c>
      <c r="F349" t="str">
        <f>HYPERLINK("https://portal.dnb.de/opac.htm?method=simpleSearch&amp;cqlMode=true&amp;query=idn%3D1066964696", "Portal")</f>
        <v>Portal</v>
      </c>
      <c r="G349" t="s">
        <v>133</v>
      </c>
      <c r="H349" t="s">
        <v>1685</v>
      </c>
      <c r="I349" t="s">
        <v>1686</v>
      </c>
      <c r="J349" t="s">
        <v>1687</v>
      </c>
      <c r="K349" t="s">
        <v>1687</v>
      </c>
      <c r="L349" t="s">
        <v>1687</v>
      </c>
      <c r="N349" t="s">
        <v>1688</v>
      </c>
      <c r="O349" t="s">
        <v>121</v>
      </c>
      <c r="P349" t="s">
        <v>138</v>
      </c>
      <c r="Q349" t="s">
        <v>343</v>
      </c>
      <c r="R349" t="s">
        <v>180</v>
      </c>
      <c r="S349" t="s">
        <v>140</v>
      </c>
      <c r="T349" t="s">
        <v>163</v>
      </c>
      <c r="U349" t="s">
        <v>805</v>
      </c>
      <c r="V349" t="s">
        <v>143</v>
      </c>
      <c r="W349" t="s">
        <v>67</v>
      </c>
      <c r="X349" t="s">
        <v>144</v>
      </c>
      <c r="Y349">
        <v>3</v>
      </c>
      <c r="AI349" t="s">
        <v>182</v>
      </c>
      <c r="AK349" t="s">
        <v>146</v>
      </c>
      <c r="AM349" t="s">
        <v>313</v>
      </c>
      <c r="AS349" t="s">
        <v>148</v>
      </c>
      <c r="AW349" t="s">
        <v>146</v>
      </c>
      <c r="BC349" t="s">
        <v>166</v>
      </c>
      <c r="BG349">
        <v>45</v>
      </c>
      <c r="BM349" t="s">
        <v>213</v>
      </c>
      <c r="BN349">
        <v>1</v>
      </c>
      <c r="BP349" t="s">
        <v>152</v>
      </c>
      <c r="BZ349" t="s">
        <v>146</v>
      </c>
      <c r="CA349" t="s">
        <v>146</v>
      </c>
      <c r="CB349" t="s">
        <v>146</v>
      </c>
      <c r="CM349">
        <v>1</v>
      </c>
      <c r="CN349" t="s">
        <v>1689</v>
      </c>
    </row>
    <row r="350" spans="1:92" x14ac:dyDescent="0.2">
      <c r="A350" t="s">
        <v>111</v>
      </c>
      <c r="B350" t="b">
        <v>1</v>
      </c>
      <c r="C350" t="s">
        <v>146</v>
      </c>
      <c r="E350">
        <v>354</v>
      </c>
      <c r="F350" t="str">
        <f>HYPERLINK("https://portal.dnb.de/opac.htm?method=simpleSearch&amp;cqlMode=true&amp;query=idn%3D1066969809", "Portal")</f>
        <v>Portal</v>
      </c>
      <c r="G350" t="s">
        <v>115</v>
      </c>
      <c r="H350" t="s">
        <v>1690</v>
      </c>
      <c r="I350" t="s">
        <v>1691</v>
      </c>
      <c r="J350" t="s">
        <v>1692</v>
      </c>
      <c r="K350" t="s">
        <v>1692</v>
      </c>
      <c r="L350" t="s">
        <v>1692</v>
      </c>
      <c r="N350" t="s">
        <v>682</v>
      </c>
      <c r="O350" t="s">
        <v>121</v>
      </c>
      <c r="P350" t="s">
        <v>146</v>
      </c>
      <c r="Q350" t="s">
        <v>567</v>
      </c>
      <c r="R350" t="s">
        <v>180</v>
      </c>
      <c r="S350" t="s">
        <v>140</v>
      </c>
      <c r="T350" t="s">
        <v>163</v>
      </c>
      <c r="U350" t="s">
        <v>198</v>
      </c>
      <c r="V350" t="s">
        <v>143</v>
      </c>
      <c r="W350" t="s">
        <v>67</v>
      </c>
      <c r="X350" t="s">
        <v>144</v>
      </c>
      <c r="Y350">
        <v>0</v>
      </c>
      <c r="AI350" t="s">
        <v>182</v>
      </c>
      <c r="AK350" t="s">
        <v>146</v>
      </c>
      <c r="AM350" t="s">
        <v>313</v>
      </c>
      <c r="AS350" t="s">
        <v>148</v>
      </c>
      <c r="BC350" t="s">
        <v>166</v>
      </c>
      <c r="BD350" t="s">
        <v>146</v>
      </c>
      <c r="BG350">
        <v>80</v>
      </c>
      <c r="BM350" t="s">
        <v>213</v>
      </c>
      <c r="BN350">
        <v>2</v>
      </c>
      <c r="BP350" t="s">
        <v>152</v>
      </c>
      <c r="BZ350" t="s">
        <v>146</v>
      </c>
      <c r="CA350" t="s">
        <v>146</v>
      </c>
      <c r="CB350" t="s">
        <v>146</v>
      </c>
      <c r="CD350" t="s">
        <v>237</v>
      </c>
      <c r="CM350">
        <v>2</v>
      </c>
      <c r="CN350" t="s">
        <v>1693</v>
      </c>
    </row>
    <row r="351" spans="1:92" x14ac:dyDescent="0.2">
      <c r="A351" t="s">
        <v>111</v>
      </c>
      <c r="B351" t="b">
        <v>1</v>
      </c>
      <c r="E351">
        <v>355</v>
      </c>
      <c r="F351" t="str">
        <f>HYPERLINK("https://portal.dnb.de/opac.htm?method=simpleSearch&amp;cqlMode=true&amp;query=idn%3D1066965404", "Portal")</f>
        <v>Portal</v>
      </c>
      <c r="G351" t="s">
        <v>133</v>
      </c>
      <c r="H351" t="s">
        <v>1694</v>
      </c>
      <c r="I351" t="s">
        <v>1695</v>
      </c>
      <c r="J351" t="s">
        <v>1696</v>
      </c>
      <c r="K351" t="s">
        <v>1696</v>
      </c>
      <c r="L351" t="s">
        <v>1696</v>
      </c>
      <c r="N351" t="s">
        <v>1697</v>
      </c>
      <c r="O351" t="s">
        <v>121</v>
      </c>
      <c r="P351" t="s">
        <v>138</v>
      </c>
      <c r="R351" t="s">
        <v>180</v>
      </c>
      <c r="S351" t="s">
        <v>162</v>
      </c>
      <c r="T351" t="s">
        <v>163</v>
      </c>
      <c r="U351" t="s">
        <v>381</v>
      </c>
      <c r="V351" t="s">
        <v>143</v>
      </c>
      <c r="X351" t="s">
        <v>250</v>
      </c>
      <c r="Y351">
        <v>0</v>
      </c>
      <c r="BN351">
        <v>0</v>
      </c>
    </row>
    <row r="352" spans="1:92" x14ac:dyDescent="0.2">
      <c r="A352" t="s">
        <v>111</v>
      </c>
      <c r="B352" t="b">
        <v>1</v>
      </c>
      <c r="E352">
        <v>356</v>
      </c>
      <c r="F352" t="str">
        <f>HYPERLINK("https://portal.dnb.de/opac.htm?method=simpleSearch&amp;cqlMode=true&amp;query=idn%3D1066972044", "Portal")</f>
        <v>Portal</v>
      </c>
      <c r="G352" t="s">
        <v>115</v>
      </c>
      <c r="H352" t="s">
        <v>1698</v>
      </c>
      <c r="I352" t="s">
        <v>1699</v>
      </c>
      <c r="J352" t="s">
        <v>1700</v>
      </c>
      <c r="K352" t="s">
        <v>1700</v>
      </c>
      <c r="L352" t="s">
        <v>1700</v>
      </c>
      <c r="N352" t="s">
        <v>694</v>
      </c>
      <c r="O352" t="s">
        <v>121</v>
      </c>
      <c r="P352" t="s">
        <v>138</v>
      </c>
      <c r="R352" t="s">
        <v>180</v>
      </c>
      <c r="S352" t="s">
        <v>140</v>
      </c>
      <c r="T352" t="s">
        <v>163</v>
      </c>
      <c r="U352" t="s">
        <v>1701</v>
      </c>
      <c r="V352" t="s">
        <v>143</v>
      </c>
      <c r="W352" t="s">
        <v>67</v>
      </c>
      <c r="X352" t="s">
        <v>144</v>
      </c>
      <c r="Y352">
        <v>3</v>
      </c>
      <c r="BN352">
        <v>0</v>
      </c>
    </row>
    <row r="353" spans="1:111" x14ac:dyDescent="0.2">
      <c r="A353" t="s">
        <v>111</v>
      </c>
      <c r="B353" t="b">
        <v>1</v>
      </c>
      <c r="E353">
        <v>357</v>
      </c>
      <c r="F353" t="str">
        <f>HYPERLINK("https://portal.dnb.de/opac.htm?method=simpleSearch&amp;cqlMode=true&amp;query=idn%3D1066970602", "Portal")</f>
        <v>Portal</v>
      </c>
      <c r="G353" t="s">
        <v>133</v>
      </c>
      <c r="H353" t="s">
        <v>1702</v>
      </c>
      <c r="I353" t="s">
        <v>1703</v>
      </c>
      <c r="J353" t="s">
        <v>1704</v>
      </c>
      <c r="K353" t="s">
        <v>1704</v>
      </c>
      <c r="L353" t="s">
        <v>1704</v>
      </c>
      <c r="N353" t="s">
        <v>1705</v>
      </c>
      <c r="O353" t="s">
        <v>121</v>
      </c>
      <c r="P353" t="s">
        <v>138</v>
      </c>
      <c r="R353" t="s">
        <v>161</v>
      </c>
      <c r="S353" t="s">
        <v>162</v>
      </c>
      <c r="T353" t="s">
        <v>163</v>
      </c>
      <c r="U353" t="s">
        <v>142</v>
      </c>
      <c r="V353" t="s">
        <v>143</v>
      </c>
      <c r="X353" t="s">
        <v>250</v>
      </c>
      <c r="Y353">
        <v>0</v>
      </c>
      <c r="AA353" t="s">
        <v>617</v>
      </c>
      <c r="BN353">
        <v>0</v>
      </c>
    </row>
    <row r="354" spans="1:111" x14ac:dyDescent="0.2">
      <c r="A354" t="s">
        <v>111</v>
      </c>
      <c r="B354" t="b">
        <v>1</v>
      </c>
      <c r="E354">
        <v>358</v>
      </c>
      <c r="F354" t="str">
        <f>HYPERLINK("https://portal.dnb.de/opac.htm?method=simpleSearch&amp;cqlMode=true&amp;query=idn%3D1066971447", "Portal")</f>
        <v>Portal</v>
      </c>
      <c r="G354" t="s">
        <v>133</v>
      </c>
      <c r="H354" t="s">
        <v>1706</v>
      </c>
      <c r="I354" t="s">
        <v>1707</v>
      </c>
      <c r="J354" t="s">
        <v>1708</v>
      </c>
      <c r="K354" t="s">
        <v>1708</v>
      </c>
      <c r="L354" t="s">
        <v>1708</v>
      </c>
      <c r="N354" t="s">
        <v>1709</v>
      </c>
      <c r="O354" t="s">
        <v>121</v>
      </c>
      <c r="P354" t="s">
        <v>138</v>
      </c>
      <c r="R354" t="s">
        <v>161</v>
      </c>
      <c r="S354" t="s">
        <v>162</v>
      </c>
      <c r="T354" t="s">
        <v>163</v>
      </c>
      <c r="U354" t="s">
        <v>381</v>
      </c>
      <c r="V354" t="s">
        <v>143</v>
      </c>
      <c r="X354" t="s">
        <v>250</v>
      </c>
      <c r="Y354">
        <v>0</v>
      </c>
      <c r="AA354" t="s">
        <v>617</v>
      </c>
      <c r="BN354">
        <v>0</v>
      </c>
    </row>
    <row r="355" spans="1:111" x14ac:dyDescent="0.2">
      <c r="A355" t="s">
        <v>111</v>
      </c>
      <c r="B355" t="b">
        <v>1</v>
      </c>
      <c r="E355">
        <v>359</v>
      </c>
      <c r="F355" t="str">
        <f>HYPERLINK("https://portal.dnb.de/opac.htm?method=simpleSearch&amp;cqlMode=true&amp;query=idn%3D1066971447", "Portal")</f>
        <v>Portal</v>
      </c>
      <c r="G355" t="s">
        <v>133</v>
      </c>
      <c r="H355" t="s">
        <v>1710</v>
      </c>
      <c r="I355" t="s">
        <v>1707</v>
      </c>
      <c r="J355" t="s">
        <v>1711</v>
      </c>
      <c r="K355" t="s">
        <v>1711</v>
      </c>
      <c r="L355" t="s">
        <v>1711</v>
      </c>
      <c r="N355" t="s">
        <v>1709</v>
      </c>
      <c r="O355" t="s">
        <v>121</v>
      </c>
      <c r="BN355">
        <v>0</v>
      </c>
    </row>
    <row r="356" spans="1:111" x14ac:dyDescent="0.2">
      <c r="A356" t="s">
        <v>111</v>
      </c>
      <c r="B356" t="b">
        <v>1</v>
      </c>
      <c r="E356">
        <v>360</v>
      </c>
      <c r="F356" t="str">
        <f>HYPERLINK("https://portal.dnb.de/opac.htm?method=simpleSearch&amp;cqlMode=true&amp;query=idn%3D1066966508", "Portal")</f>
        <v>Portal</v>
      </c>
      <c r="G356" t="s">
        <v>115</v>
      </c>
      <c r="H356" t="s">
        <v>1712</v>
      </c>
      <c r="I356" t="s">
        <v>1713</v>
      </c>
      <c r="J356" t="s">
        <v>1714</v>
      </c>
      <c r="K356" t="s">
        <v>1714</v>
      </c>
      <c r="L356" t="s">
        <v>1714</v>
      </c>
      <c r="N356" t="s">
        <v>132</v>
      </c>
      <c r="O356" t="s">
        <v>121</v>
      </c>
      <c r="P356" t="s">
        <v>138</v>
      </c>
      <c r="R356" t="s">
        <v>180</v>
      </c>
      <c r="S356" t="s">
        <v>140</v>
      </c>
      <c r="T356" t="s">
        <v>471</v>
      </c>
      <c r="U356" t="s">
        <v>799</v>
      </c>
      <c r="V356" t="s">
        <v>143</v>
      </c>
      <c r="W356" t="s">
        <v>67</v>
      </c>
      <c r="X356" t="s">
        <v>144</v>
      </c>
      <c r="Y356">
        <v>3</v>
      </c>
      <c r="BN356">
        <v>0</v>
      </c>
    </row>
    <row r="357" spans="1:111" x14ac:dyDescent="0.2">
      <c r="A357" t="s">
        <v>111</v>
      </c>
      <c r="B357" t="b">
        <v>1</v>
      </c>
      <c r="C357" t="s">
        <v>146</v>
      </c>
      <c r="E357">
        <v>361</v>
      </c>
      <c r="F357" t="str">
        <f>HYPERLINK("https://portal.dnb.de/opac.htm?method=simpleSearch&amp;cqlMode=true&amp;query=idn%3D1066964645", "Portal")</f>
        <v>Portal</v>
      </c>
      <c r="G357" t="s">
        <v>133</v>
      </c>
      <c r="H357" t="s">
        <v>1715</v>
      </c>
      <c r="I357" t="s">
        <v>1716</v>
      </c>
      <c r="J357" t="s">
        <v>1717</v>
      </c>
      <c r="K357" t="s">
        <v>1717</v>
      </c>
      <c r="L357" t="s">
        <v>1717</v>
      </c>
      <c r="N357" t="s">
        <v>818</v>
      </c>
      <c r="O357" t="s">
        <v>121</v>
      </c>
      <c r="P357" t="s">
        <v>146</v>
      </c>
      <c r="Q357" t="s">
        <v>1718</v>
      </c>
      <c r="R357" t="s">
        <v>180</v>
      </c>
      <c r="S357" t="s">
        <v>189</v>
      </c>
      <c r="T357" t="s">
        <v>471</v>
      </c>
      <c r="U357" t="s">
        <v>1719</v>
      </c>
      <c r="V357" t="s">
        <v>143</v>
      </c>
      <c r="W357" t="s">
        <v>67</v>
      </c>
      <c r="X357" t="s">
        <v>144</v>
      </c>
      <c r="Y357">
        <v>3</v>
      </c>
      <c r="AI357" t="s">
        <v>182</v>
      </c>
      <c r="AK357" t="s">
        <v>146</v>
      </c>
      <c r="AM357" t="s">
        <v>313</v>
      </c>
      <c r="AS357" t="s">
        <v>148</v>
      </c>
      <c r="BC357" t="s">
        <v>166</v>
      </c>
      <c r="BD357" t="s">
        <v>146</v>
      </c>
      <c r="BG357">
        <v>45</v>
      </c>
      <c r="BM357" t="s">
        <v>213</v>
      </c>
      <c r="BN357">
        <v>2</v>
      </c>
      <c r="BP357" t="s">
        <v>152</v>
      </c>
      <c r="BZ357" t="s">
        <v>146</v>
      </c>
      <c r="CA357" t="s">
        <v>146</v>
      </c>
      <c r="CB357" t="s">
        <v>146</v>
      </c>
      <c r="CD357" t="s">
        <v>237</v>
      </c>
      <c r="CM357">
        <v>2</v>
      </c>
      <c r="CN357" t="s">
        <v>1720</v>
      </c>
    </row>
    <row r="358" spans="1:111" x14ac:dyDescent="0.2">
      <c r="A358" t="s">
        <v>111</v>
      </c>
      <c r="B358" t="b">
        <v>1</v>
      </c>
      <c r="C358" t="s">
        <v>146</v>
      </c>
      <c r="E358">
        <v>362</v>
      </c>
      <c r="F358" t="str">
        <f>HYPERLINK("https://portal.dnb.de/opac.htm?method=simpleSearch&amp;cqlMode=true&amp;query=idn%3D1066967938", "Portal")</f>
        <v>Portal</v>
      </c>
      <c r="G358" t="s">
        <v>133</v>
      </c>
      <c r="H358" t="s">
        <v>1721</v>
      </c>
      <c r="I358" t="s">
        <v>1722</v>
      </c>
      <c r="J358" t="s">
        <v>1723</v>
      </c>
      <c r="K358" t="s">
        <v>1723</v>
      </c>
      <c r="L358" t="s">
        <v>1723</v>
      </c>
      <c r="N358" t="s">
        <v>128</v>
      </c>
      <c r="O358" t="s">
        <v>121</v>
      </c>
      <c r="P358" t="s">
        <v>146</v>
      </c>
      <c r="Q358" t="s">
        <v>1718</v>
      </c>
      <c r="R358" t="s">
        <v>180</v>
      </c>
      <c r="S358" t="s">
        <v>140</v>
      </c>
      <c r="T358" t="s">
        <v>471</v>
      </c>
      <c r="U358" t="s">
        <v>753</v>
      </c>
      <c r="V358" t="s">
        <v>143</v>
      </c>
      <c r="W358" t="s">
        <v>1724</v>
      </c>
      <c r="X358" t="s">
        <v>144</v>
      </c>
      <c r="Y358">
        <v>3</v>
      </c>
      <c r="AI358" t="s">
        <v>182</v>
      </c>
      <c r="AK358" t="s">
        <v>146</v>
      </c>
      <c r="AM358" t="s">
        <v>313</v>
      </c>
      <c r="AS358" t="s">
        <v>148</v>
      </c>
      <c r="BC358" t="s">
        <v>166</v>
      </c>
      <c r="BD358" t="s">
        <v>146</v>
      </c>
      <c r="BG358">
        <v>45</v>
      </c>
      <c r="BM358" t="s">
        <v>213</v>
      </c>
      <c r="BN358">
        <v>1</v>
      </c>
      <c r="BP358" t="s">
        <v>152</v>
      </c>
      <c r="BZ358" t="s">
        <v>146</v>
      </c>
      <c r="CA358" t="s">
        <v>146</v>
      </c>
      <c r="CB358" t="s">
        <v>146</v>
      </c>
      <c r="CM358">
        <v>1</v>
      </c>
      <c r="CN358" t="s">
        <v>1608</v>
      </c>
    </row>
    <row r="359" spans="1:111" x14ac:dyDescent="0.2">
      <c r="A359" t="s">
        <v>111</v>
      </c>
      <c r="B359" t="b">
        <v>0</v>
      </c>
      <c r="F359" t="str">
        <f>HYPERLINK("https://portal.dnb.de/opac.htm?method=simpleSearch&amp;cqlMode=true&amp;query=idn%3D", "Portal")</f>
        <v>Portal</v>
      </c>
      <c r="L359" t="s">
        <v>1725</v>
      </c>
      <c r="R359" t="s">
        <v>207</v>
      </c>
      <c r="S359" t="s">
        <v>140</v>
      </c>
      <c r="BN359">
        <v>0</v>
      </c>
    </row>
    <row r="360" spans="1:111" x14ac:dyDescent="0.2">
      <c r="A360" t="s">
        <v>111</v>
      </c>
      <c r="B360" t="b">
        <v>1</v>
      </c>
      <c r="E360">
        <v>363</v>
      </c>
      <c r="F360" t="str">
        <f>HYPERLINK("https://portal.dnb.de/opac.htm?method=simpleSearch&amp;cqlMode=true&amp;query=idn%3D1066969418", "Portal")</f>
        <v>Portal</v>
      </c>
      <c r="G360" t="s">
        <v>133</v>
      </c>
      <c r="H360" t="s">
        <v>1726</v>
      </c>
      <c r="I360" t="s">
        <v>1727</v>
      </c>
      <c r="J360" t="s">
        <v>1728</v>
      </c>
      <c r="K360" t="s">
        <v>1728</v>
      </c>
      <c r="L360" t="s">
        <v>1728</v>
      </c>
      <c r="N360" t="s">
        <v>1491</v>
      </c>
      <c r="O360" t="s">
        <v>121</v>
      </c>
      <c r="P360" t="s">
        <v>146</v>
      </c>
      <c r="R360" t="s">
        <v>161</v>
      </c>
      <c r="S360" t="s">
        <v>140</v>
      </c>
      <c r="T360" t="s">
        <v>163</v>
      </c>
      <c r="U360" t="s">
        <v>1729</v>
      </c>
      <c r="V360" t="s">
        <v>143</v>
      </c>
      <c r="W360" t="s">
        <v>67</v>
      </c>
      <c r="X360" t="s">
        <v>144</v>
      </c>
      <c r="Y360">
        <v>2</v>
      </c>
      <c r="BN360">
        <v>0</v>
      </c>
    </row>
    <row r="361" spans="1:111" x14ac:dyDescent="0.2">
      <c r="A361" t="s">
        <v>111</v>
      </c>
      <c r="B361" t="b">
        <v>1</v>
      </c>
      <c r="E361">
        <v>364</v>
      </c>
      <c r="F361" t="str">
        <f>HYPERLINK("https://portal.dnb.de/opac.htm?method=simpleSearch&amp;cqlMode=true&amp;query=idn%3D1066967857", "Portal")</f>
        <v>Portal</v>
      </c>
      <c r="G361" t="s">
        <v>133</v>
      </c>
      <c r="H361" t="s">
        <v>1730</v>
      </c>
      <c r="I361" t="s">
        <v>1731</v>
      </c>
      <c r="J361" t="s">
        <v>1732</v>
      </c>
      <c r="K361" t="s">
        <v>1732</v>
      </c>
      <c r="L361" t="s">
        <v>1732</v>
      </c>
      <c r="N361" t="s">
        <v>1733</v>
      </c>
      <c r="O361" t="s">
        <v>121</v>
      </c>
      <c r="P361" t="s">
        <v>138</v>
      </c>
      <c r="R361" t="s">
        <v>171</v>
      </c>
      <c r="S361" t="s">
        <v>189</v>
      </c>
      <c r="T361" t="s">
        <v>163</v>
      </c>
      <c r="U361" t="s">
        <v>172</v>
      </c>
      <c r="W361" t="s">
        <v>67</v>
      </c>
      <c r="X361" t="s">
        <v>144</v>
      </c>
      <c r="Y361">
        <v>0</v>
      </c>
      <c r="BN361">
        <v>0</v>
      </c>
    </row>
    <row r="362" spans="1:111" x14ac:dyDescent="0.2">
      <c r="A362" t="s">
        <v>111</v>
      </c>
      <c r="B362" t="b">
        <v>1</v>
      </c>
      <c r="E362">
        <v>365</v>
      </c>
      <c r="F362" t="str">
        <f>HYPERLINK("https://portal.dnb.de/opac.htm?method=simpleSearch&amp;cqlMode=true&amp;query=idn%3D1066970513", "Portal")</f>
        <v>Portal</v>
      </c>
      <c r="G362" t="s">
        <v>133</v>
      </c>
      <c r="H362" t="s">
        <v>1734</v>
      </c>
      <c r="I362" t="s">
        <v>1735</v>
      </c>
      <c r="J362" t="s">
        <v>1736</v>
      </c>
      <c r="K362" t="s">
        <v>1736</v>
      </c>
      <c r="L362" t="s">
        <v>1736</v>
      </c>
      <c r="N362" t="s">
        <v>1737</v>
      </c>
      <c r="O362" t="s">
        <v>121</v>
      </c>
      <c r="P362" t="s">
        <v>138</v>
      </c>
      <c r="R362" t="s">
        <v>207</v>
      </c>
      <c r="S362" t="s">
        <v>189</v>
      </c>
      <c r="T362" t="s">
        <v>163</v>
      </c>
      <c r="U362" t="s">
        <v>386</v>
      </c>
      <c r="W362" t="s">
        <v>67</v>
      </c>
      <c r="X362" t="s">
        <v>144</v>
      </c>
      <c r="Y362">
        <v>1</v>
      </c>
      <c r="BN362">
        <v>0</v>
      </c>
    </row>
    <row r="363" spans="1:111" x14ac:dyDescent="0.2">
      <c r="A363" t="s">
        <v>111</v>
      </c>
      <c r="B363" t="b">
        <v>1</v>
      </c>
      <c r="E363">
        <v>366</v>
      </c>
      <c r="F363" t="str">
        <f>HYPERLINK("https://portal.dnb.de/opac.htm?method=simpleSearch&amp;cqlMode=true&amp;query=idn%3D1066973156", "Portal")</f>
        <v>Portal</v>
      </c>
      <c r="G363" t="s">
        <v>133</v>
      </c>
      <c r="H363" t="s">
        <v>1738</v>
      </c>
      <c r="I363" t="s">
        <v>1739</v>
      </c>
      <c r="J363" t="s">
        <v>1740</v>
      </c>
      <c r="K363" t="s">
        <v>1740</v>
      </c>
      <c r="L363" t="s">
        <v>1740</v>
      </c>
      <c r="N363" t="s">
        <v>1741</v>
      </c>
      <c r="O363" t="s">
        <v>121</v>
      </c>
      <c r="P363" t="s">
        <v>146</v>
      </c>
      <c r="R363" t="s">
        <v>1048</v>
      </c>
      <c r="S363" t="s">
        <v>189</v>
      </c>
      <c r="T363" t="s">
        <v>163</v>
      </c>
      <c r="U363" t="s">
        <v>172</v>
      </c>
      <c r="W363" t="s">
        <v>67</v>
      </c>
      <c r="X363" t="s">
        <v>144</v>
      </c>
      <c r="BN363">
        <v>0</v>
      </c>
    </row>
    <row r="364" spans="1:111" x14ac:dyDescent="0.2">
      <c r="A364" t="s">
        <v>111</v>
      </c>
      <c r="B364" t="b">
        <v>1</v>
      </c>
      <c r="E364">
        <v>367</v>
      </c>
      <c r="F364" t="str">
        <f>HYPERLINK("https://portal.dnb.de/opac.htm?method=simpleSearch&amp;cqlMode=true&amp;query=idn%3D1072320762", "Portal")</f>
        <v>Portal</v>
      </c>
      <c r="G364" t="s">
        <v>115</v>
      </c>
      <c r="H364" t="s">
        <v>1742</v>
      </c>
      <c r="I364" t="s">
        <v>1743</v>
      </c>
      <c r="J364" t="s">
        <v>1744</v>
      </c>
      <c r="K364" t="s">
        <v>1744</v>
      </c>
      <c r="L364" t="s">
        <v>1744</v>
      </c>
      <c r="N364" t="s">
        <v>1745</v>
      </c>
      <c r="O364" t="s">
        <v>121</v>
      </c>
      <c r="P364" t="s">
        <v>138</v>
      </c>
      <c r="R364" t="s">
        <v>207</v>
      </c>
      <c r="S364" t="s">
        <v>189</v>
      </c>
      <c r="T364" t="s">
        <v>163</v>
      </c>
      <c r="U364" t="s">
        <v>886</v>
      </c>
      <c r="W364" t="s">
        <v>67</v>
      </c>
      <c r="X364" t="s">
        <v>144</v>
      </c>
      <c r="Y364">
        <v>1</v>
      </c>
      <c r="BN364">
        <v>0</v>
      </c>
    </row>
    <row r="365" spans="1:111" x14ac:dyDescent="0.2">
      <c r="A365" t="s">
        <v>111</v>
      </c>
      <c r="B365" t="b">
        <v>1</v>
      </c>
      <c r="E365">
        <v>368</v>
      </c>
      <c r="F365" t="str">
        <f>HYPERLINK("https://portal.dnb.de/opac.htm?method=simpleSearch&amp;cqlMode=true&amp;query=idn%3D1066965595", "Portal")</f>
        <v>Portal</v>
      </c>
      <c r="G365" t="s">
        <v>133</v>
      </c>
      <c r="H365" t="s">
        <v>1746</v>
      </c>
      <c r="I365" t="s">
        <v>1747</v>
      </c>
      <c r="J365" t="s">
        <v>1748</v>
      </c>
      <c r="K365" t="s">
        <v>1748</v>
      </c>
      <c r="L365" t="s">
        <v>1748</v>
      </c>
      <c r="N365" t="s">
        <v>1067</v>
      </c>
      <c r="O365" t="s">
        <v>121</v>
      </c>
      <c r="P365" t="s">
        <v>138</v>
      </c>
      <c r="R365" t="s">
        <v>207</v>
      </c>
      <c r="S365" t="s">
        <v>162</v>
      </c>
      <c r="T365" t="s">
        <v>163</v>
      </c>
      <c r="U365" t="s">
        <v>243</v>
      </c>
      <c r="V365" t="s">
        <v>143</v>
      </c>
      <c r="X365" t="s">
        <v>250</v>
      </c>
      <c r="Y365">
        <v>0</v>
      </c>
      <c r="AA365" t="s">
        <v>617</v>
      </c>
      <c r="BN365">
        <v>0</v>
      </c>
    </row>
    <row r="366" spans="1:111" x14ac:dyDescent="0.2">
      <c r="A366" t="s">
        <v>111</v>
      </c>
      <c r="B366" t="b">
        <v>1</v>
      </c>
      <c r="F366" t="str">
        <f>HYPERLINK("https://portal.dnb.de/opac.htm?method=simpleSearch&amp;cqlMode=true&amp;query=idn%3D1066973040", "Portal")</f>
        <v>Portal</v>
      </c>
      <c r="H366" t="s">
        <v>1749</v>
      </c>
      <c r="I366" t="s">
        <v>1750</v>
      </c>
      <c r="K366" t="s">
        <v>1751</v>
      </c>
      <c r="L366" t="s">
        <v>1751</v>
      </c>
      <c r="N366" t="s">
        <v>1752</v>
      </c>
      <c r="O366" t="s">
        <v>121</v>
      </c>
      <c r="Q366" t="s">
        <v>1753</v>
      </c>
    </row>
    <row r="367" spans="1:111" x14ac:dyDescent="0.2">
      <c r="A367" t="s">
        <v>111</v>
      </c>
      <c r="B367" t="b">
        <v>1</v>
      </c>
      <c r="F367" t="str">
        <f>HYPERLINK("https://portal.dnb.de/opac.htm?method=simpleSearch&amp;cqlMode=true&amp;query=idn%3D1272537471", "Portal")</f>
        <v>Portal</v>
      </c>
      <c r="G367" t="s">
        <v>755</v>
      </c>
      <c r="H367" t="s">
        <v>1754</v>
      </c>
      <c r="I367" t="s">
        <v>1755</v>
      </c>
      <c r="J367" t="s">
        <v>1756</v>
      </c>
      <c r="K367" t="s">
        <v>1756</v>
      </c>
      <c r="L367" t="s">
        <v>1756</v>
      </c>
      <c r="N367" t="s">
        <v>1757</v>
      </c>
      <c r="O367" t="s">
        <v>1758</v>
      </c>
      <c r="P367" t="s">
        <v>146</v>
      </c>
      <c r="R367" t="s">
        <v>207</v>
      </c>
      <c r="S367" t="s">
        <v>162</v>
      </c>
      <c r="T367" t="s">
        <v>163</v>
      </c>
      <c r="U367" t="s">
        <v>142</v>
      </c>
      <c r="V367" t="s">
        <v>143</v>
      </c>
      <c r="Y367">
        <v>1</v>
      </c>
      <c r="BN367">
        <v>0</v>
      </c>
    </row>
    <row r="368" spans="1:111" x14ac:dyDescent="0.2">
      <c r="A368" t="s">
        <v>111</v>
      </c>
      <c r="B368" t="b">
        <v>1</v>
      </c>
      <c r="C368" t="s">
        <v>146</v>
      </c>
      <c r="F368" t="str">
        <f>HYPERLINK("https://portal.dnb.de/opac.htm?method=simpleSearch&amp;cqlMode=true&amp;query=idn%3D1272537528", "Portal")</f>
        <v>Portal</v>
      </c>
      <c r="G368" t="s">
        <v>755</v>
      </c>
      <c r="H368" t="s">
        <v>1759</v>
      </c>
      <c r="I368" t="s">
        <v>1760</v>
      </c>
      <c r="J368" t="s">
        <v>1761</v>
      </c>
      <c r="K368" t="s">
        <v>1761</v>
      </c>
      <c r="L368" t="s">
        <v>1761</v>
      </c>
      <c r="N368" t="s">
        <v>1757</v>
      </c>
      <c r="O368" t="s">
        <v>553</v>
      </c>
      <c r="P368" t="s">
        <v>138</v>
      </c>
      <c r="R368" t="s">
        <v>207</v>
      </c>
      <c r="S368" t="s">
        <v>162</v>
      </c>
      <c r="T368" t="s">
        <v>163</v>
      </c>
      <c r="U368" t="s">
        <v>1762</v>
      </c>
      <c r="V368" t="s">
        <v>143</v>
      </c>
      <c r="Y368">
        <v>1</v>
      </c>
      <c r="AI368" t="s">
        <v>165</v>
      </c>
      <c r="AK368" t="s">
        <v>146</v>
      </c>
      <c r="AM368" t="s">
        <v>147</v>
      </c>
      <c r="AS368" t="s">
        <v>148</v>
      </c>
      <c r="AW368" t="s">
        <v>146</v>
      </c>
      <c r="BC368" t="s">
        <v>149</v>
      </c>
      <c r="BD368" t="s">
        <v>146</v>
      </c>
      <c r="BG368">
        <v>110</v>
      </c>
      <c r="BM368" t="s">
        <v>213</v>
      </c>
      <c r="BN368">
        <v>41</v>
      </c>
      <c r="BP368" t="s">
        <v>152</v>
      </c>
      <c r="BV368" t="s">
        <v>1763</v>
      </c>
      <c r="BZ368" t="s">
        <v>146</v>
      </c>
      <c r="CB368" t="s">
        <v>146</v>
      </c>
      <c r="CC368" t="s">
        <v>146</v>
      </c>
      <c r="CM368">
        <v>1</v>
      </c>
      <c r="CW368" t="s">
        <v>146</v>
      </c>
      <c r="DF368">
        <v>40</v>
      </c>
      <c r="DG368" t="s">
        <v>1764</v>
      </c>
    </row>
    <row r="369" spans="1:111" x14ac:dyDescent="0.2">
      <c r="A369" t="s">
        <v>111</v>
      </c>
      <c r="B369" t="b">
        <v>1</v>
      </c>
      <c r="C369" t="s">
        <v>146</v>
      </c>
      <c r="F369" t="str">
        <f>HYPERLINK("https://portal.dnb.de/opac.htm?method=simpleSearch&amp;cqlMode=true&amp;query=idn%3D1138380822", "Portal")</f>
        <v>Portal</v>
      </c>
      <c r="G369" t="s">
        <v>300</v>
      </c>
      <c r="H369" t="s">
        <v>1765</v>
      </c>
      <c r="I369" t="s">
        <v>1766</v>
      </c>
      <c r="J369" t="s">
        <v>1767</v>
      </c>
      <c r="K369" t="s">
        <v>1768</v>
      </c>
      <c r="L369" t="s">
        <v>1768</v>
      </c>
      <c r="N369" t="s">
        <v>1769</v>
      </c>
      <c r="O369" t="s">
        <v>121</v>
      </c>
      <c r="P369" t="s">
        <v>138</v>
      </c>
      <c r="Q369" t="s">
        <v>1770</v>
      </c>
      <c r="R369" t="s">
        <v>207</v>
      </c>
      <c r="S369" t="s">
        <v>162</v>
      </c>
      <c r="T369" t="s">
        <v>163</v>
      </c>
      <c r="U369" t="s">
        <v>142</v>
      </c>
      <c r="V369" t="s">
        <v>143</v>
      </c>
      <c r="X369" t="s">
        <v>250</v>
      </c>
      <c r="Y369">
        <v>1</v>
      </c>
      <c r="AI369" t="s">
        <v>165</v>
      </c>
      <c r="AK369" t="s">
        <v>146</v>
      </c>
      <c r="AM369" t="s">
        <v>147</v>
      </c>
      <c r="AS369" t="s">
        <v>148</v>
      </c>
      <c r="BC369" t="s">
        <v>166</v>
      </c>
      <c r="BD369" t="s">
        <v>146</v>
      </c>
      <c r="BG369" t="s">
        <v>1476</v>
      </c>
      <c r="BH369" t="s">
        <v>1771</v>
      </c>
      <c r="BI369" t="s">
        <v>146</v>
      </c>
      <c r="BJ369" t="s">
        <v>1771</v>
      </c>
      <c r="BM369" t="s">
        <v>213</v>
      </c>
      <c r="BN369">
        <v>1</v>
      </c>
      <c r="BR369" t="s">
        <v>146</v>
      </c>
      <c r="BZ369" t="s">
        <v>146</v>
      </c>
      <c r="CA369" t="s">
        <v>146</v>
      </c>
      <c r="CB369" t="s">
        <v>146</v>
      </c>
      <c r="CC369" t="s">
        <v>146</v>
      </c>
      <c r="CM369">
        <v>1</v>
      </c>
    </row>
    <row r="370" spans="1:111" x14ac:dyDescent="0.2">
      <c r="A370" t="s">
        <v>111</v>
      </c>
      <c r="B370" t="b">
        <v>1</v>
      </c>
      <c r="C370" t="s">
        <v>146</v>
      </c>
      <c r="E370">
        <v>372</v>
      </c>
      <c r="F370" t="str">
        <f>HYPERLINK("https://portal.dnb.de/opac.htm?method=simpleSearch&amp;cqlMode=true&amp;query=idn%3D1066964920", "Portal")</f>
        <v>Portal</v>
      </c>
      <c r="G370" t="s">
        <v>133</v>
      </c>
      <c r="H370" t="s">
        <v>1772</v>
      </c>
      <c r="I370" t="s">
        <v>1773</v>
      </c>
      <c r="J370" t="s">
        <v>1774</v>
      </c>
      <c r="K370" t="s">
        <v>1774</v>
      </c>
      <c r="L370" t="s">
        <v>1774</v>
      </c>
      <c r="N370" t="s">
        <v>1775</v>
      </c>
      <c r="O370" t="s">
        <v>121</v>
      </c>
      <c r="Q370" t="s">
        <v>1776</v>
      </c>
      <c r="R370" t="s">
        <v>180</v>
      </c>
      <c r="S370" t="s">
        <v>162</v>
      </c>
      <c r="T370" t="s">
        <v>163</v>
      </c>
      <c r="U370" t="s">
        <v>1777</v>
      </c>
      <c r="V370" t="s">
        <v>143</v>
      </c>
      <c r="X370" t="s">
        <v>250</v>
      </c>
      <c r="Y370">
        <v>1</v>
      </c>
      <c r="AA370" t="s">
        <v>1778</v>
      </c>
      <c r="AI370" t="s">
        <v>182</v>
      </c>
      <c r="AK370" t="s">
        <v>146</v>
      </c>
      <c r="AM370" t="s">
        <v>313</v>
      </c>
      <c r="AS370" t="s">
        <v>148</v>
      </c>
      <c r="AU370" t="s">
        <v>146</v>
      </c>
      <c r="BC370" t="s">
        <v>166</v>
      </c>
      <c r="BD370" t="s">
        <v>146</v>
      </c>
      <c r="BG370">
        <v>60</v>
      </c>
      <c r="BM370" t="s">
        <v>213</v>
      </c>
      <c r="BN370">
        <v>1.5</v>
      </c>
      <c r="BP370" t="s">
        <v>152</v>
      </c>
      <c r="BV370" t="s">
        <v>1779</v>
      </c>
      <c r="BY370" t="s">
        <v>1780</v>
      </c>
      <c r="BZ370" t="s">
        <v>146</v>
      </c>
      <c r="CA370" t="s">
        <v>146</v>
      </c>
      <c r="CB370" t="s">
        <v>146</v>
      </c>
      <c r="CM370">
        <v>0.5</v>
      </c>
      <c r="DF370">
        <v>1</v>
      </c>
      <c r="DG370" t="s">
        <v>1781</v>
      </c>
    </row>
    <row r="371" spans="1:111" x14ac:dyDescent="0.2">
      <c r="A371" t="s">
        <v>111</v>
      </c>
      <c r="B371" t="b">
        <v>1</v>
      </c>
      <c r="E371">
        <v>373</v>
      </c>
      <c r="F371" t="str">
        <f>HYPERLINK("https://portal.dnb.de/opac.htm?method=simpleSearch&amp;cqlMode=true&amp;query=idn%3D1066965633", "Portal")</f>
        <v>Portal</v>
      </c>
      <c r="G371" t="s">
        <v>133</v>
      </c>
      <c r="H371" t="s">
        <v>1782</v>
      </c>
      <c r="I371" t="s">
        <v>1783</v>
      </c>
      <c r="J371" t="s">
        <v>1784</v>
      </c>
      <c r="K371" t="s">
        <v>1784</v>
      </c>
      <c r="L371" t="s">
        <v>1784</v>
      </c>
      <c r="N371" t="s">
        <v>1785</v>
      </c>
      <c r="O371" t="s">
        <v>121</v>
      </c>
      <c r="P371" t="s">
        <v>146</v>
      </c>
      <c r="R371" t="s">
        <v>207</v>
      </c>
      <c r="S371" t="s">
        <v>140</v>
      </c>
      <c r="T371" t="s">
        <v>163</v>
      </c>
      <c r="U371" t="s">
        <v>1786</v>
      </c>
      <c r="V371" t="s">
        <v>143</v>
      </c>
      <c r="W371" t="s">
        <v>67</v>
      </c>
      <c r="X371" t="s">
        <v>144</v>
      </c>
      <c r="Y371">
        <v>3</v>
      </c>
      <c r="BN371">
        <v>0</v>
      </c>
    </row>
    <row r="372" spans="1:111" x14ac:dyDescent="0.2">
      <c r="A372" t="s">
        <v>111</v>
      </c>
      <c r="B372" t="b">
        <v>1</v>
      </c>
      <c r="E372">
        <v>374</v>
      </c>
      <c r="F372" t="str">
        <f>HYPERLINK("https://portal.dnb.de/opac.htm?method=simpleSearch&amp;cqlMode=true&amp;query=idn%3D1066965641", "Portal")</f>
        <v>Portal</v>
      </c>
      <c r="G372" t="s">
        <v>133</v>
      </c>
      <c r="H372" t="s">
        <v>1787</v>
      </c>
      <c r="I372" t="s">
        <v>1788</v>
      </c>
      <c r="J372" t="s">
        <v>1789</v>
      </c>
      <c r="K372" t="s">
        <v>1789</v>
      </c>
      <c r="L372" t="s">
        <v>1789</v>
      </c>
      <c r="N372" t="s">
        <v>1790</v>
      </c>
      <c r="O372" t="s">
        <v>121</v>
      </c>
      <c r="P372" t="s">
        <v>146</v>
      </c>
      <c r="R372" t="s">
        <v>139</v>
      </c>
      <c r="S372" t="s">
        <v>189</v>
      </c>
      <c r="T372" t="s">
        <v>163</v>
      </c>
      <c r="U372" t="s">
        <v>142</v>
      </c>
      <c r="V372" t="s">
        <v>143</v>
      </c>
      <c r="W372" t="s">
        <v>67</v>
      </c>
      <c r="X372" t="s">
        <v>144</v>
      </c>
      <c r="BN372">
        <v>0</v>
      </c>
    </row>
    <row r="373" spans="1:111" x14ac:dyDescent="0.2">
      <c r="A373" t="s">
        <v>111</v>
      </c>
      <c r="B373" t="b">
        <v>1</v>
      </c>
      <c r="E373">
        <v>375</v>
      </c>
      <c r="F373" t="str">
        <f>HYPERLINK("https://portal.dnb.de/opac.htm?method=simpleSearch&amp;cqlMode=true&amp;query=idn%3D106696582X", "Portal")</f>
        <v>Portal</v>
      </c>
      <c r="G373" t="s">
        <v>115</v>
      </c>
      <c r="H373" t="s">
        <v>1791</v>
      </c>
      <c r="I373" t="s">
        <v>1792</v>
      </c>
      <c r="J373" t="s">
        <v>1793</v>
      </c>
      <c r="K373" t="s">
        <v>1793</v>
      </c>
      <c r="L373" t="s">
        <v>1793</v>
      </c>
      <c r="N373" t="s">
        <v>179</v>
      </c>
      <c r="O373" t="s">
        <v>121</v>
      </c>
      <c r="P373" t="s">
        <v>138</v>
      </c>
      <c r="R373" t="s">
        <v>161</v>
      </c>
      <c r="S373" t="s">
        <v>162</v>
      </c>
      <c r="T373" t="s">
        <v>163</v>
      </c>
      <c r="U373" t="s">
        <v>1423</v>
      </c>
      <c r="V373" t="s">
        <v>143</v>
      </c>
      <c r="X373" t="s">
        <v>250</v>
      </c>
      <c r="Y373">
        <v>0</v>
      </c>
      <c r="BN373">
        <v>0</v>
      </c>
    </row>
    <row r="374" spans="1:111" x14ac:dyDescent="0.2">
      <c r="A374" t="s">
        <v>111</v>
      </c>
      <c r="B374" t="b">
        <v>1</v>
      </c>
      <c r="C374" t="s">
        <v>146</v>
      </c>
      <c r="E374">
        <v>376</v>
      </c>
      <c r="F374" t="str">
        <f>HYPERLINK("https://portal.dnb.de/opac.htm?method=simpleSearch&amp;cqlMode=true&amp;query=idn%3D1066967601", "Portal")</f>
        <v>Portal</v>
      </c>
      <c r="G374" t="s">
        <v>133</v>
      </c>
      <c r="H374" t="s">
        <v>1794</v>
      </c>
      <c r="I374" t="s">
        <v>1795</v>
      </c>
      <c r="J374" t="s">
        <v>1796</v>
      </c>
      <c r="K374" t="s">
        <v>1796</v>
      </c>
      <c r="L374" t="s">
        <v>1796</v>
      </c>
      <c r="N374" t="s">
        <v>1666</v>
      </c>
      <c r="O374" t="s">
        <v>121</v>
      </c>
      <c r="Q374" t="s">
        <v>1797</v>
      </c>
      <c r="R374" t="s">
        <v>180</v>
      </c>
      <c r="S374" t="s">
        <v>162</v>
      </c>
      <c r="T374" t="s">
        <v>163</v>
      </c>
      <c r="U374" t="s">
        <v>164</v>
      </c>
      <c r="V374" t="s">
        <v>143</v>
      </c>
      <c r="X374" t="s">
        <v>250</v>
      </c>
      <c r="Y374">
        <v>2</v>
      </c>
      <c r="AA374" t="s">
        <v>617</v>
      </c>
      <c r="AI374" t="s">
        <v>182</v>
      </c>
      <c r="AK374" t="s">
        <v>146</v>
      </c>
      <c r="AM374" t="s">
        <v>313</v>
      </c>
      <c r="AS374" t="s">
        <v>148</v>
      </c>
      <c r="BC374" t="s">
        <v>166</v>
      </c>
      <c r="BD374" t="s">
        <v>146</v>
      </c>
      <c r="BG374">
        <v>45</v>
      </c>
      <c r="BM374" t="s">
        <v>213</v>
      </c>
      <c r="BN374">
        <v>9</v>
      </c>
      <c r="BR374" t="s">
        <v>146</v>
      </c>
      <c r="BZ374" t="s">
        <v>146</v>
      </c>
      <c r="CA374" t="s">
        <v>146</v>
      </c>
      <c r="CB374" t="s">
        <v>146</v>
      </c>
      <c r="CL374" t="s">
        <v>780</v>
      </c>
      <c r="CM374">
        <v>2</v>
      </c>
      <c r="CN374" t="s">
        <v>1798</v>
      </c>
      <c r="CO374" t="s">
        <v>146</v>
      </c>
      <c r="DF374">
        <v>7</v>
      </c>
      <c r="DG374" t="s">
        <v>1799</v>
      </c>
    </row>
    <row r="375" spans="1:111" x14ac:dyDescent="0.2">
      <c r="A375" t="s">
        <v>111</v>
      </c>
      <c r="B375" t="b">
        <v>1</v>
      </c>
      <c r="C375" t="s">
        <v>146</v>
      </c>
      <c r="E375">
        <v>377</v>
      </c>
      <c r="F375" t="str">
        <f>HYPERLINK("https://portal.dnb.de/opac.htm?method=simpleSearch&amp;cqlMode=true&amp;query=idn%3D1066968845", "Portal")</f>
        <v>Portal</v>
      </c>
      <c r="G375" t="s">
        <v>133</v>
      </c>
      <c r="H375" t="s">
        <v>1800</v>
      </c>
      <c r="I375" t="s">
        <v>1801</v>
      </c>
      <c r="J375" t="s">
        <v>1802</v>
      </c>
      <c r="K375" t="s">
        <v>1802</v>
      </c>
      <c r="L375" t="s">
        <v>1802</v>
      </c>
      <c r="N375" t="s">
        <v>1803</v>
      </c>
      <c r="O375" t="s">
        <v>121</v>
      </c>
      <c r="P375" t="s">
        <v>138</v>
      </c>
      <c r="Q375" t="s">
        <v>311</v>
      </c>
      <c r="R375" t="s">
        <v>161</v>
      </c>
      <c r="S375" t="s">
        <v>181</v>
      </c>
      <c r="T375" t="s">
        <v>163</v>
      </c>
      <c r="U375" t="s">
        <v>1804</v>
      </c>
      <c r="V375" t="s">
        <v>143</v>
      </c>
      <c r="X375" t="s">
        <v>250</v>
      </c>
      <c r="Y375">
        <v>1</v>
      </c>
      <c r="AA375" t="s">
        <v>617</v>
      </c>
      <c r="AI375" t="s">
        <v>182</v>
      </c>
      <c r="AK375" t="s">
        <v>146</v>
      </c>
      <c r="AM375" t="s">
        <v>147</v>
      </c>
      <c r="AS375" t="s">
        <v>148</v>
      </c>
      <c r="BC375" t="s">
        <v>166</v>
      </c>
      <c r="BD375" t="s">
        <v>146</v>
      </c>
      <c r="BG375">
        <v>110</v>
      </c>
      <c r="BM375" t="s">
        <v>213</v>
      </c>
      <c r="BN375">
        <v>1.5</v>
      </c>
      <c r="BR375" t="s">
        <v>146</v>
      </c>
      <c r="BZ375" t="s">
        <v>146</v>
      </c>
      <c r="CA375" t="s">
        <v>146</v>
      </c>
      <c r="CB375" t="s">
        <v>146</v>
      </c>
      <c r="CM375">
        <v>1.5</v>
      </c>
      <c r="CN375" t="s">
        <v>1805</v>
      </c>
    </row>
    <row r="376" spans="1:111" x14ac:dyDescent="0.2">
      <c r="A376" t="s">
        <v>111</v>
      </c>
      <c r="B376" t="b">
        <v>1</v>
      </c>
      <c r="C376" t="s">
        <v>146</v>
      </c>
      <c r="E376">
        <v>378</v>
      </c>
      <c r="F376" t="str">
        <f>HYPERLINK("https://portal.dnb.de/opac.htm?method=simpleSearch&amp;cqlMode=true&amp;query=idn%3D1066969159", "Portal")</f>
        <v>Portal</v>
      </c>
      <c r="G376" t="s">
        <v>115</v>
      </c>
      <c r="H376" t="s">
        <v>1806</v>
      </c>
      <c r="I376" t="s">
        <v>1807</v>
      </c>
      <c r="J376" t="s">
        <v>1808</v>
      </c>
      <c r="K376" t="s">
        <v>1808</v>
      </c>
      <c r="L376" t="s">
        <v>1808</v>
      </c>
      <c r="N376" t="s">
        <v>179</v>
      </c>
      <c r="O376" t="s">
        <v>121</v>
      </c>
      <c r="Q376" t="s">
        <v>1343</v>
      </c>
      <c r="R376" t="s">
        <v>207</v>
      </c>
      <c r="S376" t="s">
        <v>162</v>
      </c>
      <c r="T376" t="s">
        <v>163</v>
      </c>
      <c r="U376" t="s">
        <v>1129</v>
      </c>
      <c r="V376" t="s">
        <v>143</v>
      </c>
      <c r="X376" t="s">
        <v>250</v>
      </c>
      <c r="Y376">
        <v>1</v>
      </c>
      <c r="AI376" t="s">
        <v>165</v>
      </c>
      <c r="AK376" t="s">
        <v>146</v>
      </c>
      <c r="AM376" t="s">
        <v>147</v>
      </c>
      <c r="AS376" t="s">
        <v>148</v>
      </c>
      <c r="BC376" t="s">
        <v>149</v>
      </c>
      <c r="BD376" t="s">
        <v>146</v>
      </c>
      <c r="BG376">
        <v>110</v>
      </c>
      <c r="BM376" t="s">
        <v>213</v>
      </c>
      <c r="BN376">
        <v>0.5</v>
      </c>
      <c r="BP376" t="s">
        <v>152</v>
      </c>
      <c r="BZ376" t="s">
        <v>146</v>
      </c>
      <c r="CB376" t="s">
        <v>146</v>
      </c>
      <c r="CM376">
        <v>0.5</v>
      </c>
      <c r="CN376" t="s">
        <v>1809</v>
      </c>
    </row>
    <row r="377" spans="1:111" x14ac:dyDescent="0.2">
      <c r="A377" t="s">
        <v>111</v>
      </c>
      <c r="B377" t="b">
        <v>1</v>
      </c>
      <c r="E377">
        <v>379</v>
      </c>
      <c r="F377" t="str">
        <f>HYPERLINK("https://portal.dnb.de/opac.htm?method=simpleSearch&amp;cqlMode=true&amp;query=idn%3D1048169669", "Portal")</f>
        <v>Portal</v>
      </c>
      <c r="G377" t="s">
        <v>115</v>
      </c>
      <c r="H377" t="s">
        <v>1810</v>
      </c>
      <c r="I377" t="s">
        <v>1811</v>
      </c>
      <c r="J377" t="s">
        <v>1812</v>
      </c>
      <c r="K377" t="s">
        <v>1812</v>
      </c>
      <c r="L377" t="s">
        <v>1812</v>
      </c>
      <c r="N377" t="s">
        <v>420</v>
      </c>
      <c r="O377" t="s">
        <v>121</v>
      </c>
      <c r="P377" t="s">
        <v>138</v>
      </c>
      <c r="R377" t="s">
        <v>207</v>
      </c>
      <c r="S377" t="s">
        <v>162</v>
      </c>
      <c r="T377" t="s">
        <v>163</v>
      </c>
      <c r="U377" t="s">
        <v>1813</v>
      </c>
      <c r="V377" t="s">
        <v>143</v>
      </c>
      <c r="Y377">
        <v>0</v>
      </c>
      <c r="BN377">
        <v>0</v>
      </c>
    </row>
    <row r="378" spans="1:111" x14ac:dyDescent="0.2">
      <c r="A378" t="s">
        <v>111</v>
      </c>
      <c r="B378" t="b">
        <v>1</v>
      </c>
      <c r="E378">
        <v>380</v>
      </c>
      <c r="F378" t="str">
        <f>HYPERLINK("https://portal.dnb.de/opac.htm?method=simpleSearch&amp;cqlMode=true&amp;query=idn%3D1066969914", "Portal")</f>
        <v>Portal</v>
      </c>
      <c r="G378" t="s">
        <v>133</v>
      </c>
      <c r="H378" t="s">
        <v>1814</v>
      </c>
      <c r="I378" t="s">
        <v>1815</v>
      </c>
      <c r="J378" t="s">
        <v>1816</v>
      </c>
      <c r="K378" t="s">
        <v>1816</v>
      </c>
      <c r="L378" t="s">
        <v>1816</v>
      </c>
      <c r="N378" t="s">
        <v>1817</v>
      </c>
      <c r="O378" t="s">
        <v>121</v>
      </c>
      <c r="P378" t="s">
        <v>146</v>
      </c>
      <c r="R378" t="s">
        <v>180</v>
      </c>
      <c r="S378" t="s">
        <v>140</v>
      </c>
      <c r="T378" t="s">
        <v>163</v>
      </c>
      <c r="U378" t="s">
        <v>1818</v>
      </c>
      <c r="V378" t="s">
        <v>143</v>
      </c>
      <c r="W378" t="s">
        <v>67</v>
      </c>
      <c r="X378" t="s">
        <v>144</v>
      </c>
      <c r="Y378">
        <v>3</v>
      </c>
      <c r="BN378">
        <v>0</v>
      </c>
    </row>
    <row r="379" spans="1:111" x14ac:dyDescent="0.2">
      <c r="A379" t="s">
        <v>111</v>
      </c>
      <c r="B379" t="b">
        <v>1</v>
      </c>
      <c r="C379" t="s">
        <v>146</v>
      </c>
      <c r="E379">
        <v>381</v>
      </c>
      <c r="F379" t="str">
        <f>HYPERLINK("https://portal.dnb.de/opac.htm?method=simpleSearch&amp;cqlMode=true&amp;query=idn%3D1066971102", "Portal")</f>
        <v>Portal</v>
      </c>
      <c r="G379" t="s">
        <v>133</v>
      </c>
      <c r="H379" t="s">
        <v>1819</v>
      </c>
      <c r="I379" t="s">
        <v>1820</v>
      </c>
      <c r="J379" t="s">
        <v>1821</v>
      </c>
      <c r="K379" t="s">
        <v>1821</v>
      </c>
      <c r="L379" t="s">
        <v>1821</v>
      </c>
      <c r="N379" t="s">
        <v>1416</v>
      </c>
      <c r="O379" t="s">
        <v>121</v>
      </c>
      <c r="P379" t="s">
        <v>138</v>
      </c>
      <c r="Q379" t="s">
        <v>659</v>
      </c>
      <c r="R379" t="s">
        <v>161</v>
      </c>
      <c r="S379" t="s">
        <v>162</v>
      </c>
      <c r="T379" t="s">
        <v>163</v>
      </c>
      <c r="U379" t="s">
        <v>1822</v>
      </c>
      <c r="V379" t="s">
        <v>143</v>
      </c>
      <c r="X379" t="s">
        <v>250</v>
      </c>
      <c r="Y379">
        <v>2</v>
      </c>
      <c r="AI379" t="s">
        <v>182</v>
      </c>
      <c r="AK379" t="s">
        <v>146</v>
      </c>
      <c r="AM379" t="s">
        <v>266</v>
      </c>
      <c r="AS379" t="s">
        <v>148</v>
      </c>
      <c r="BC379" t="s">
        <v>166</v>
      </c>
      <c r="BD379" t="s">
        <v>146</v>
      </c>
      <c r="BG379">
        <v>110</v>
      </c>
      <c r="BM379" t="s">
        <v>213</v>
      </c>
      <c r="BN379">
        <v>5.5</v>
      </c>
      <c r="BR379" t="s">
        <v>146</v>
      </c>
      <c r="BZ379" t="s">
        <v>146</v>
      </c>
      <c r="CA379" t="s">
        <v>146</v>
      </c>
      <c r="CB379" t="s">
        <v>146</v>
      </c>
      <c r="CM379">
        <v>2</v>
      </c>
      <c r="CN379" t="s">
        <v>1823</v>
      </c>
      <c r="CO379" t="s">
        <v>146</v>
      </c>
      <c r="CS379" t="s">
        <v>146</v>
      </c>
      <c r="DF379">
        <v>3.5</v>
      </c>
      <c r="DG379" t="s">
        <v>1824</v>
      </c>
    </row>
    <row r="380" spans="1:111" x14ac:dyDescent="0.2">
      <c r="A380" t="s">
        <v>111</v>
      </c>
      <c r="B380" t="b">
        <v>1</v>
      </c>
      <c r="E380">
        <v>382</v>
      </c>
      <c r="F380" t="str">
        <f>HYPERLINK("https://portal.dnb.de/opac.htm?method=simpleSearch&amp;cqlMode=true&amp;query=idn%3D1066971358", "Portal")</f>
        <v>Portal</v>
      </c>
      <c r="G380" t="s">
        <v>133</v>
      </c>
      <c r="H380" t="s">
        <v>1825</v>
      </c>
      <c r="I380" t="s">
        <v>1826</v>
      </c>
      <c r="J380" t="s">
        <v>1827</v>
      </c>
      <c r="K380" t="s">
        <v>1827</v>
      </c>
      <c r="L380" t="s">
        <v>1827</v>
      </c>
      <c r="N380" t="s">
        <v>1828</v>
      </c>
      <c r="O380" t="s">
        <v>121</v>
      </c>
      <c r="P380" t="s">
        <v>146</v>
      </c>
      <c r="R380" t="s">
        <v>139</v>
      </c>
      <c r="S380" t="s">
        <v>140</v>
      </c>
      <c r="T380" t="s">
        <v>163</v>
      </c>
      <c r="U380" t="s">
        <v>164</v>
      </c>
      <c r="V380" t="s">
        <v>143</v>
      </c>
      <c r="W380" t="s">
        <v>67</v>
      </c>
      <c r="X380" t="s">
        <v>144</v>
      </c>
      <c r="Y380">
        <v>2</v>
      </c>
      <c r="BN380">
        <v>0</v>
      </c>
    </row>
    <row r="381" spans="1:111" x14ac:dyDescent="0.2">
      <c r="A381" t="s">
        <v>111</v>
      </c>
      <c r="B381" t="b">
        <v>1</v>
      </c>
      <c r="E381">
        <v>383</v>
      </c>
      <c r="F381" t="str">
        <f>HYPERLINK("https://portal.dnb.de/opac.htm?method=simpleSearch&amp;cqlMode=true&amp;query=idn%3D1066972621", "Portal")</f>
        <v>Portal</v>
      </c>
      <c r="G381" t="s">
        <v>133</v>
      </c>
      <c r="H381" t="s">
        <v>1829</v>
      </c>
      <c r="I381" t="s">
        <v>1830</v>
      </c>
      <c r="J381" t="s">
        <v>1831</v>
      </c>
      <c r="K381" t="s">
        <v>1831</v>
      </c>
      <c r="L381" t="s">
        <v>1831</v>
      </c>
      <c r="N381" t="s">
        <v>1124</v>
      </c>
      <c r="O381" t="s">
        <v>121</v>
      </c>
      <c r="R381" t="s">
        <v>161</v>
      </c>
      <c r="S381" t="s">
        <v>162</v>
      </c>
      <c r="T381" t="s">
        <v>471</v>
      </c>
      <c r="U381" t="s">
        <v>1832</v>
      </c>
      <c r="V381" t="s">
        <v>143</v>
      </c>
      <c r="X381" t="s">
        <v>250</v>
      </c>
      <c r="Y381">
        <v>1</v>
      </c>
      <c r="BN381">
        <v>0</v>
      </c>
    </row>
    <row r="382" spans="1:111" x14ac:dyDescent="0.2">
      <c r="A382" t="s">
        <v>111</v>
      </c>
      <c r="B382" t="b">
        <v>1</v>
      </c>
      <c r="E382">
        <v>384</v>
      </c>
      <c r="F382" t="str">
        <f>HYPERLINK("https://portal.dnb.de/opac.htm?method=simpleSearch&amp;cqlMode=true&amp;query=idn%3D1066972966", "Portal")</f>
        <v>Portal</v>
      </c>
      <c r="G382" t="s">
        <v>133</v>
      </c>
      <c r="H382" t="s">
        <v>1833</v>
      </c>
      <c r="I382" t="s">
        <v>1834</v>
      </c>
      <c r="J382" t="s">
        <v>1835</v>
      </c>
      <c r="K382" t="s">
        <v>1835</v>
      </c>
      <c r="L382" t="s">
        <v>1835</v>
      </c>
      <c r="N382" t="s">
        <v>1836</v>
      </c>
      <c r="O382" t="s">
        <v>121</v>
      </c>
      <c r="P382" t="s">
        <v>146</v>
      </c>
      <c r="R382" t="s">
        <v>139</v>
      </c>
      <c r="S382" t="s">
        <v>140</v>
      </c>
      <c r="T382" t="s">
        <v>163</v>
      </c>
      <c r="U382" t="s">
        <v>164</v>
      </c>
      <c r="V382" t="s">
        <v>143</v>
      </c>
      <c r="W382" t="s">
        <v>67</v>
      </c>
      <c r="X382" t="s">
        <v>144</v>
      </c>
      <c r="Y382">
        <v>0</v>
      </c>
      <c r="BN382">
        <v>0</v>
      </c>
    </row>
    <row r="383" spans="1:111" x14ac:dyDescent="0.2">
      <c r="A383" t="s">
        <v>111</v>
      </c>
      <c r="B383" t="b">
        <v>1</v>
      </c>
      <c r="E383">
        <v>385</v>
      </c>
      <c r="F383" t="str">
        <f>HYPERLINK("https://portal.dnb.de/opac.htm?method=simpleSearch&amp;cqlMode=true&amp;query=idn%3D1066973067", "Portal")</f>
        <v>Portal</v>
      </c>
      <c r="G383" t="s">
        <v>133</v>
      </c>
      <c r="H383" t="s">
        <v>1837</v>
      </c>
      <c r="I383" t="s">
        <v>1838</v>
      </c>
      <c r="J383" t="s">
        <v>1839</v>
      </c>
      <c r="K383" t="s">
        <v>1839</v>
      </c>
      <c r="L383" t="s">
        <v>1839</v>
      </c>
      <c r="N383" t="s">
        <v>1840</v>
      </c>
      <c r="O383" t="s">
        <v>121</v>
      </c>
      <c r="P383" t="s">
        <v>138</v>
      </c>
      <c r="R383" t="s">
        <v>161</v>
      </c>
      <c r="S383" t="s">
        <v>181</v>
      </c>
      <c r="T383" t="s">
        <v>471</v>
      </c>
      <c r="U383" t="s">
        <v>142</v>
      </c>
      <c r="V383" t="s">
        <v>143</v>
      </c>
      <c r="X383" t="s">
        <v>250</v>
      </c>
      <c r="Y383">
        <v>1</v>
      </c>
      <c r="BN383">
        <v>0</v>
      </c>
    </row>
    <row r="384" spans="1:111" x14ac:dyDescent="0.2">
      <c r="A384" t="s">
        <v>111</v>
      </c>
      <c r="B384" t="b">
        <v>1</v>
      </c>
      <c r="E384">
        <v>387</v>
      </c>
      <c r="F384" t="str">
        <f>HYPERLINK("https://portal.dnb.de/opac.htm?method=simpleSearch&amp;cqlMode=true&amp;query=idn%3D106696291X", "Portal")</f>
        <v>Portal</v>
      </c>
      <c r="G384" t="s">
        <v>133</v>
      </c>
      <c r="H384" t="s">
        <v>1841</v>
      </c>
      <c r="I384" t="s">
        <v>1842</v>
      </c>
      <c r="J384" t="s">
        <v>1843</v>
      </c>
      <c r="K384" t="s">
        <v>1843</v>
      </c>
      <c r="L384" t="s">
        <v>1843</v>
      </c>
      <c r="N384" t="s">
        <v>132</v>
      </c>
      <c r="O384" t="s">
        <v>121</v>
      </c>
      <c r="BN384">
        <v>0</v>
      </c>
    </row>
    <row r="385" spans="1:111" x14ac:dyDescent="0.2">
      <c r="A385" t="s">
        <v>111</v>
      </c>
      <c r="B385" t="b">
        <v>1</v>
      </c>
      <c r="E385">
        <v>388</v>
      </c>
      <c r="F385" t="str">
        <f>HYPERLINK("https://portal.dnb.de/opac.htm?method=simpleSearch&amp;cqlMode=true&amp;query=idn%3D106697019X", "Portal")</f>
        <v>Portal</v>
      </c>
      <c r="G385" t="s">
        <v>115</v>
      </c>
      <c r="H385" t="s">
        <v>1844</v>
      </c>
      <c r="I385" t="s">
        <v>1845</v>
      </c>
      <c r="J385" t="s">
        <v>1846</v>
      </c>
      <c r="K385" t="s">
        <v>1846</v>
      </c>
      <c r="L385" t="s">
        <v>1846</v>
      </c>
      <c r="N385" t="s">
        <v>326</v>
      </c>
      <c r="O385" t="s">
        <v>121</v>
      </c>
      <c r="P385" t="s">
        <v>138</v>
      </c>
      <c r="R385" t="s">
        <v>161</v>
      </c>
      <c r="S385" t="s">
        <v>181</v>
      </c>
      <c r="T385" t="s">
        <v>471</v>
      </c>
      <c r="U385" t="s">
        <v>1847</v>
      </c>
      <c r="V385" t="s">
        <v>143</v>
      </c>
      <c r="X385" t="s">
        <v>250</v>
      </c>
      <c r="Y385">
        <v>1</v>
      </c>
      <c r="AA385" t="s">
        <v>617</v>
      </c>
      <c r="BN385">
        <v>0</v>
      </c>
    </row>
    <row r="386" spans="1:111" x14ac:dyDescent="0.2">
      <c r="A386" t="s">
        <v>111</v>
      </c>
      <c r="B386" t="b">
        <v>1</v>
      </c>
      <c r="E386">
        <v>389</v>
      </c>
      <c r="F386" t="str">
        <f>HYPERLINK("https://portal.dnb.de/opac.htm?method=simpleSearch&amp;cqlMode=true&amp;query=idn%3D1066967350", "Portal")</f>
        <v>Portal</v>
      </c>
      <c r="G386" t="s">
        <v>133</v>
      </c>
      <c r="H386" t="s">
        <v>1848</v>
      </c>
      <c r="I386" t="s">
        <v>1849</v>
      </c>
      <c r="J386" t="s">
        <v>1850</v>
      </c>
      <c r="K386" t="s">
        <v>1850</v>
      </c>
      <c r="L386" t="s">
        <v>1850</v>
      </c>
      <c r="N386" t="s">
        <v>1851</v>
      </c>
      <c r="O386" t="s">
        <v>121</v>
      </c>
      <c r="P386" t="s">
        <v>138</v>
      </c>
      <c r="R386" t="s">
        <v>180</v>
      </c>
      <c r="S386" t="s">
        <v>140</v>
      </c>
      <c r="T386" t="s">
        <v>163</v>
      </c>
      <c r="U386" t="s">
        <v>381</v>
      </c>
      <c r="V386" t="s">
        <v>143</v>
      </c>
      <c r="W386" t="s">
        <v>67</v>
      </c>
      <c r="X386" t="s">
        <v>144</v>
      </c>
      <c r="Y386">
        <v>0</v>
      </c>
      <c r="BN386">
        <v>0</v>
      </c>
    </row>
    <row r="387" spans="1:111" x14ac:dyDescent="0.2">
      <c r="A387" t="s">
        <v>111</v>
      </c>
      <c r="B387" t="b">
        <v>1</v>
      </c>
      <c r="E387">
        <v>390</v>
      </c>
      <c r="F387" t="str">
        <f>HYPERLINK("https://portal.dnb.de/opac.htm?method=simpleSearch&amp;cqlMode=true&amp;query=idn%3D1066969264", "Portal")</f>
        <v>Portal</v>
      </c>
      <c r="G387" t="s">
        <v>133</v>
      </c>
      <c r="H387" t="s">
        <v>1852</v>
      </c>
      <c r="I387" t="s">
        <v>1853</v>
      </c>
      <c r="J387" t="s">
        <v>1854</v>
      </c>
      <c r="K387" t="s">
        <v>1854</v>
      </c>
      <c r="L387" t="s">
        <v>1854</v>
      </c>
      <c r="N387" t="s">
        <v>1855</v>
      </c>
      <c r="O387" t="s">
        <v>121</v>
      </c>
      <c r="P387" t="s">
        <v>138</v>
      </c>
      <c r="R387" t="s">
        <v>139</v>
      </c>
      <c r="S387" t="s">
        <v>162</v>
      </c>
      <c r="T387" t="s">
        <v>163</v>
      </c>
      <c r="U387" t="s">
        <v>142</v>
      </c>
      <c r="V387" t="s">
        <v>143</v>
      </c>
      <c r="X387" t="s">
        <v>250</v>
      </c>
      <c r="Y387">
        <v>1</v>
      </c>
      <c r="BN387">
        <v>0</v>
      </c>
    </row>
    <row r="388" spans="1:111" x14ac:dyDescent="0.2">
      <c r="A388" t="s">
        <v>111</v>
      </c>
      <c r="B388" t="b">
        <v>1</v>
      </c>
      <c r="E388">
        <v>391</v>
      </c>
      <c r="F388" t="str">
        <f>HYPERLINK("https://portal.dnb.de/opac.htm?method=simpleSearch&amp;cqlMode=true&amp;query=idn%3D1066971676", "Portal")</f>
        <v>Portal</v>
      </c>
      <c r="G388" t="s">
        <v>133</v>
      </c>
      <c r="H388" t="s">
        <v>1856</v>
      </c>
      <c r="I388" t="s">
        <v>1857</v>
      </c>
      <c r="J388" t="s">
        <v>1858</v>
      </c>
      <c r="K388" t="s">
        <v>1858</v>
      </c>
      <c r="L388" t="s">
        <v>1859</v>
      </c>
      <c r="N388" t="s">
        <v>1860</v>
      </c>
      <c r="O388" t="s">
        <v>121</v>
      </c>
      <c r="Q388" t="s">
        <v>1861</v>
      </c>
      <c r="R388" t="s">
        <v>180</v>
      </c>
      <c r="S388" t="s">
        <v>140</v>
      </c>
      <c r="T388" t="s">
        <v>163</v>
      </c>
      <c r="U388" t="s">
        <v>1684</v>
      </c>
      <c r="V388" t="s">
        <v>143</v>
      </c>
      <c r="X388" t="s">
        <v>250</v>
      </c>
      <c r="Y388">
        <v>0</v>
      </c>
      <c r="BN388">
        <v>0</v>
      </c>
    </row>
    <row r="389" spans="1:111" x14ac:dyDescent="0.2">
      <c r="A389" t="s">
        <v>111</v>
      </c>
      <c r="B389" t="b">
        <v>0</v>
      </c>
      <c r="C389" t="s">
        <v>146</v>
      </c>
      <c r="F389" t="str">
        <f>HYPERLINK("https://portal.dnb.de/opac.htm?method=simpleSearch&amp;cqlMode=true&amp;query=idn%3D", "Portal")</f>
        <v>Portal</v>
      </c>
      <c r="L389" t="s">
        <v>1862</v>
      </c>
      <c r="P389" t="s">
        <v>138</v>
      </c>
      <c r="R389" t="s">
        <v>180</v>
      </c>
      <c r="S389" t="s">
        <v>140</v>
      </c>
      <c r="T389" t="s">
        <v>471</v>
      </c>
      <c r="U389" t="s">
        <v>1818</v>
      </c>
      <c r="V389" t="s">
        <v>143</v>
      </c>
      <c r="X389" t="s">
        <v>250</v>
      </c>
      <c r="Y389">
        <v>2</v>
      </c>
      <c r="AI389" t="s">
        <v>182</v>
      </c>
      <c r="AK389" t="s">
        <v>146</v>
      </c>
      <c r="AM389" t="s">
        <v>313</v>
      </c>
      <c r="AS389" t="s">
        <v>148</v>
      </c>
      <c r="BC389" t="s">
        <v>166</v>
      </c>
      <c r="BD389" t="s">
        <v>146</v>
      </c>
      <c r="BG389">
        <v>60</v>
      </c>
      <c r="BM389" t="s">
        <v>213</v>
      </c>
      <c r="BN389">
        <v>1.5</v>
      </c>
      <c r="BP389" t="s">
        <v>152</v>
      </c>
      <c r="BZ389" t="s">
        <v>146</v>
      </c>
      <c r="CB389" t="s">
        <v>146</v>
      </c>
      <c r="CM389">
        <v>0.5</v>
      </c>
      <c r="CO389" t="s">
        <v>146</v>
      </c>
      <c r="DF389">
        <v>1</v>
      </c>
      <c r="DG389" t="s">
        <v>1863</v>
      </c>
    </row>
    <row r="390" spans="1:111" x14ac:dyDescent="0.2">
      <c r="A390" t="s">
        <v>111</v>
      </c>
      <c r="B390" t="b">
        <v>1</v>
      </c>
      <c r="E390">
        <v>392</v>
      </c>
      <c r="F390" t="str">
        <f>HYPERLINK("https://portal.dnb.de/opac.htm?method=simpleSearch&amp;cqlMode=true&amp;query=idn%3D1066973032", "Portal")</f>
        <v>Portal</v>
      </c>
      <c r="G390" t="s">
        <v>133</v>
      </c>
      <c r="H390" t="s">
        <v>1864</v>
      </c>
      <c r="I390" t="s">
        <v>1865</v>
      </c>
      <c r="J390" t="s">
        <v>1866</v>
      </c>
      <c r="K390" t="s">
        <v>1866</v>
      </c>
      <c r="L390" t="s">
        <v>1866</v>
      </c>
      <c r="N390" t="s">
        <v>1867</v>
      </c>
      <c r="O390" t="s">
        <v>121</v>
      </c>
      <c r="P390" t="s">
        <v>138</v>
      </c>
      <c r="R390" t="s">
        <v>207</v>
      </c>
      <c r="S390" t="s">
        <v>181</v>
      </c>
      <c r="T390" t="s">
        <v>163</v>
      </c>
      <c r="U390" t="s">
        <v>243</v>
      </c>
      <c r="V390" t="s">
        <v>143</v>
      </c>
      <c r="Y390">
        <v>1</v>
      </c>
      <c r="BN390">
        <v>0</v>
      </c>
    </row>
    <row r="391" spans="1:111" x14ac:dyDescent="0.2">
      <c r="A391" t="s">
        <v>111</v>
      </c>
      <c r="B391" t="b">
        <v>1</v>
      </c>
      <c r="E391">
        <v>393</v>
      </c>
      <c r="F391" t="str">
        <f>HYPERLINK("https://portal.dnb.de/opac.htm?method=simpleSearch&amp;cqlMode=true&amp;query=idn%3D1066973059", "Portal")</f>
        <v>Portal</v>
      </c>
      <c r="G391" t="s">
        <v>115</v>
      </c>
      <c r="H391" t="s">
        <v>1868</v>
      </c>
      <c r="I391" t="s">
        <v>1869</v>
      </c>
      <c r="J391" t="s">
        <v>1870</v>
      </c>
      <c r="K391" t="s">
        <v>1870</v>
      </c>
      <c r="L391" t="s">
        <v>1871</v>
      </c>
      <c r="N391" t="s">
        <v>1752</v>
      </c>
      <c r="O391" t="s">
        <v>121</v>
      </c>
      <c r="P391" t="s">
        <v>138</v>
      </c>
      <c r="R391" t="s">
        <v>207</v>
      </c>
      <c r="S391" t="s">
        <v>181</v>
      </c>
      <c r="T391" t="s">
        <v>163</v>
      </c>
      <c r="U391" t="s">
        <v>142</v>
      </c>
      <c r="V391" t="s">
        <v>143</v>
      </c>
      <c r="Y391">
        <v>1</v>
      </c>
      <c r="BN391">
        <v>0</v>
      </c>
    </row>
    <row r="392" spans="1:111" x14ac:dyDescent="0.2">
      <c r="A392" t="s">
        <v>111</v>
      </c>
      <c r="B392" t="b">
        <v>0</v>
      </c>
      <c r="F392" t="str">
        <f>HYPERLINK("https://portal.dnb.de/opac.htm?method=simpleSearch&amp;cqlMode=true&amp;query=idn%3D", "Portal")</f>
        <v>Portal</v>
      </c>
      <c r="L392" t="s">
        <v>1872</v>
      </c>
      <c r="P392" t="s">
        <v>138</v>
      </c>
      <c r="R392" t="s">
        <v>207</v>
      </c>
      <c r="S392" t="s">
        <v>181</v>
      </c>
      <c r="T392" t="s">
        <v>163</v>
      </c>
      <c r="U392" t="s">
        <v>243</v>
      </c>
      <c r="V392" t="s">
        <v>143</v>
      </c>
      <c r="Y392">
        <v>0</v>
      </c>
      <c r="BN392">
        <v>0</v>
      </c>
    </row>
    <row r="393" spans="1:111" x14ac:dyDescent="0.2">
      <c r="A393" t="s">
        <v>111</v>
      </c>
      <c r="B393" t="b">
        <v>1</v>
      </c>
      <c r="E393">
        <v>394</v>
      </c>
      <c r="F393" t="str">
        <f>HYPERLINK("https://portal.dnb.de/opac.htm?method=simpleSearch&amp;cqlMode=true&amp;query=idn%3D1066973083", "Portal")</f>
        <v>Portal</v>
      </c>
      <c r="G393" t="s">
        <v>115</v>
      </c>
      <c r="H393" t="s">
        <v>1873</v>
      </c>
      <c r="I393" t="s">
        <v>1874</v>
      </c>
      <c r="J393" t="s">
        <v>1875</v>
      </c>
      <c r="K393" t="s">
        <v>1875</v>
      </c>
      <c r="L393" t="s">
        <v>1876</v>
      </c>
      <c r="N393" t="s">
        <v>1877</v>
      </c>
      <c r="O393" t="s">
        <v>121</v>
      </c>
      <c r="P393" t="s">
        <v>138</v>
      </c>
      <c r="Q393" t="s">
        <v>1878</v>
      </c>
      <c r="R393" t="s">
        <v>1101</v>
      </c>
      <c r="S393" t="s">
        <v>181</v>
      </c>
      <c r="T393" t="s">
        <v>163</v>
      </c>
      <c r="U393" t="s">
        <v>243</v>
      </c>
      <c r="V393" t="s">
        <v>143</v>
      </c>
      <c r="Y393">
        <v>0</v>
      </c>
      <c r="BN393">
        <v>0</v>
      </c>
    </row>
    <row r="394" spans="1:111" x14ac:dyDescent="0.2">
      <c r="A394" t="s">
        <v>111</v>
      </c>
      <c r="B394" t="b">
        <v>0</v>
      </c>
      <c r="F394" t="str">
        <f>HYPERLINK("https://portal.dnb.de/opac.htm?method=simpleSearch&amp;cqlMode=true&amp;query=idn%3D", "Portal")</f>
        <v>Portal</v>
      </c>
      <c r="L394" t="s">
        <v>1879</v>
      </c>
      <c r="P394" t="s">
        <v>138</v>
      </c>
      <c r="R394" t="s">
        <v>207</v>
      </c>
      <c r="S394" t="s">
        <v>181</v>
      </c>
      <c r="T394" t="s">
        <v>163</v>
      </c>
      <c r="U394" t="s">
        <v>243</v>
      </c>
      <c r="V394" t="s">
        <v>143</v>
      </c>
      <c r="Y394">
        <v>0</v>
      </c>
      <c r="BN394">
        <v>0</v>
      </c>
    </row>
    <row r="395" spans="1:111" x14ac:dyDescent="0.2">
      <c r="A395" t="s">
        <v>111</v>
      </c>
      <c r="B395" t="b">
        <v>0</v>
      </c>
      <c r="F395" t="str">
        <f>HYPERLINK("https://portal.dnb.de/opac.htm?method=simpleSearch&amp;cqlMode=true&amp;query=idn%3D", "Portal")</f>
        <v>Portal</v>
      </c>
      <c r="L395" t="s">
        <v>1880</v>
      </c>
      <c r="P395" t="s">
        <v>138</v>
      </c>
      <c r="R395" t="s">
        <v>161</v>
      </c>
      <c r="S395" t="s">
        <v>181</v>
      </c>
      <c r="T395" t="s">
        <v>471</v>
      </c>
      <c r="U395" t="s">
        <v>753</v>
      </c>
      <c r="V395" t="s">
        <v>143</v>
      </c>
      <c r="Y395">
        <v>1</v>
      </c>
      <c r="BN395">
        <v>0</v>
      </c>
    </row>
    <row r="396" spans="1:111" x14ac:dyDescent="0.2">
      <c r="A396" t="s">
        <v>111</v>
      </c>
      <c r="B396" t="b">
        <v>0</v>
      </c>
      <c r="F396" t="str">
        <f>HYPERLINK("https://portal.dnb.de/opac.htm?method=simpleSearch&amp;cqlMode=true&amp;query=idn%3D", "Portal")</f>
        <v>Portal</v>
      </c>
      <c r="L396" t="s">
        <v>1881</v>
      </c>
      <c r="R396" t="s">
        <v>161</v>
      </c>
      <c r="S396" t="s">
        <v>181</v>
      </c>
      <c r="T396" t="s">
        <v>471</v>
      </c>
      <c r="U396" t="s">
        <v>1293</v>
      </c>
      <c r="V396" t="s">
        <v>143</v>
      </c>
      <c r="Y396">
        <v>0</v>
      </c>
      <c r="BN396">
        <v>0</v>
      </c>
    </row>
    <row r="397" spans="1:111" x14ac:dyDescent="0.2">
      <c r="A397" t="s">
        <v>111</v>
      </c>
      <c r="B397" t="b">
        <v>0</v>
      </c>
      <c r="F397" t="str">
        <f>HYPERLINK("https://portal.dnb.de/opac.htm?method=simpleSearch&amp;cqlMode=true&amp;query=idn%3D", "Portal")</f>
        <v>Portal</v>
      </c>
      <c r="L397" t="s">
        <v>1882</v>
      </c>
      <c r="P397" t="s">
        <v>138</v>
      </c>
      <c r="R397" t="s">
        <v>161</v>
      </c>
      <c r="S397" t="s">
        <v>181</v>
      </c>
      <c r="T397" t="s">
        <v>471</v>
      </c>
      <c r="U397" t="s">
        <v>1293</v>
      </c>
      <c r="V397" t="s">
        <v>143</v>
      </c>
      <c r="Y397">
        <v>0</v>
      </c>
      <c r="AA397" t="s">
        <v>1883</v>
      </c>
      <c r="BN397">
        <v>0</v>
      </c>
    </row>
    <row r="398" spans="1:111" x14ac:dyDescent="0.2">
      <c r="A398" t="s">
        <v>111</v>
      </c>
      <c r="B398" t="b">
        <v>0</v>
      </c>
      <c r="F398" t="str">
        <f>HYPERLINK("https://portal.dnb.de/opac.htm?method=simpleSearch&amp;cqlMode=true&amp;query=idn%3D", "Portal")</f>
        <v>Portal</v>
      </c>
      <c r="L398" t="s">
        <v>1884</v>
      </c>
      <c r="P398" t="s">
        <v>138</v>
      </c>
      <c r="R398" t="s">
        <v>161</v>
      </c>
      <c r="S398" t="s">
        <v>181</v>
      </c>
      <c r="T398" t="s">
        <v>471</v>
      </c>
      <c r="U398" t="s">
        <v>1293</v>
      </c>
      <c r="V398" t="s">
        <v>143</v>
      </c>
      <c r="Y398">
        <v>0</v>
      </c>
      <c r="AA398" t="s">
        <v>1883</v>
      </c>
      <c r="BN398">
        <v>0</v>
      </c>
    </row>
    <row r="399" spans="1:111" x14ac:dyDescent="0.2">
      <c r="A399" t="s">
        <v>111</v>
      </c>
      <c r="B399" t="b">
        <v>1</v>
      </c>
      <c r="E399">
        <v>395</v>
      </c>
      <c r="F399" t="str">
        <f>HYPERLINK("https://portal.dnb.de/opac.htm?method=simpleSearch&amp;cqlMode=true&amp;query=idn%3D106696291X", "Portal")</f>
        <v>Portal</v>
      </c>
      <c r="G399" t="s">
        <v>133</v>
      </c>
      <c r="H399" t="s">
        <v>1885</v>
      </c>
      <c r="I399" t="s">
        <v>1842</v>
      </c>
      <c r="J399" t="s">
        <v>1886</v>
      </c>
      <c r="K399" t="s">
        <v>1886</v>
      </c>
      <c r="L399" t="s">
        <v>1886</v>
      </c>
      <c r="N399" t="s">
        <v>132</v>
      </c>
      <c r="O399" t="s">
        <v>121</v>
      </c>
      <c r="BN399">
        <v>0</v>
      </c>
    </row>
    <row r="400" spans="1:111" x14ac:dyDescent="0.2">
      <c r="A400" t="s">
        <v>111</v>
      </c>
      <c r="B400" t="b">
        <v>1</v>
      </c>
      <c r="E400">
        <v>396</v>
      </c>
      <c r="F400" t="str">
        <f>HYPERLINK("https://portal.dnb.de/opac.htm?method=simpleSearch&amp;cqlMode=true&amp;query=idn%3D1066968616", "Portal")</f>
        <v>Portal</v>
      </c>
      <c r="G400" t="s">
        <v>115</v>
      </c>
      <c r="H400" t="s">
        <v>1887</v>
      </c>
      <c r="I400" t="s">
        <v>1888</v>
      </c>
      <c r="J400" t="s">
        <v>1889</v>
      </c>
      <c r="K400" t="s">
        <v>1889</v>
      </c>
      <c r="L400" t="s">
        <v>1890</v>
      </c>
      <c r="N400" t="s">
        <v>227</v>
      </c>
      <c r="O400" t="s">
        <v>121</v>
      </c>
      <c r="BN400">
        <v>0</v>
      </c>
    </row>
    <row r="401" spans="1:111" x14ac:dyDescent="0.2">
      <c r="A401" t="s">
        <v>111</v>
      </c>
      <c r="B401" t="b">
        <v>1</v>
      </c>
      <c r="C401" t="s">
        <v>146</v>
      </c>
      <c r="E401">
        <v>397</v>
      </c>
      <c r="F401" t="str">
        <f>HYPERLINK("https://portal.dnb.de/opac.htm?method=simpleSearch&amp;cqlMode=true&amp;query=idn%3D1066969558", "Portal")</f>
        <v>Portal</v>
      </c>
      <c r="G401" t="s">
        <v>115</v>
      </c>
      <c r="H401" t="s">
        <v>1891</v>
      </c>
      <c r="I401" t="s">
        <v>1892</v>
      </c>
      <c r="J401" t="s">
        <v>1893</v>
      </c>
      <c r="K401" t="s">
        <v>1893</v>
      </c>
      <c r="L401" t="s">
        <v>1893</v>
      </c>
      <c r="N401" t="s">
        <v>299</v>
      </c>
      <c r="O401" t="s">
        <v>121</v>
      </c>
      <c r="Q401" t="s">
        <v>1894</v>
      </c>
      <c r="S401" t="s">
        <v>162</v>
      </c>
      <c r="AI401" t="s">
        <v>145</v>
      </c>
      <c r="AK401" t="s">
        <v>146</v>
      </c>
      <c r="AM401" t="s">
        <v>147</v>
      </c>
      <c r="AS401" t="s">
        <v>148</v>
      </c>
      <c r="BC401" t="s">
        <v>166</v>
      </c>
      <c r="BD401" t="s">
        <v>146</v>
      </c>
      <c r="BG401">
        <v>110</v>
      </c>
      <c r="BM401" t="s">
        <v>213</v>
      </c>
      <c r="BN401">
        <v>1.5</v>
      </c>
      <c r="BR401" t="s">
        <v>146</v>
      </c>
      <c r="BZ401" t="s">
        <v>146</v>
      </c>
      <c r="CA401" t="s">
        <v>146</v>
      </c>
      <c r="CB401" t="s">
        <v>146</v>
      </c>
      <c r="CM401">
        <v>1</v>
      </c>
      <c r="CO401" t="s">
        <v>146</v>
      </c>
      <c r="DF401">
        <v>0.5</v>
      </c>
      <c r="DG401" t="s">
        <v>1895</v>
      </c>
    </row>
    <row r="402" spans="1:111" x14ac:dyDescent="0.2">
      <c r="A402" t="s">
        <v>111</v>
      </c>
      <c r="B402" t="b">
        <v>1</v>
      </c>
      <c r="E402">
        <v>398</v>
      </c>
      <c r="F402" t="str">
        <f>HYPERLINK("https://portal.dnb.de/opac.htm?method=simpleSearch&amp;cqlMode=true&amp;query=idn%3D1066968535", "Portal")</f>
        <v>Portal</v>
      </c>
      <c r="G402" t="s">
        <v>133</v>
      </c>
      <c r="H402" t="s">
        <v>1896</v>
      </c>
      <c r="I402" t="s">
        <v>1897</v>
      </c>
      <c r="J402" t="s">
        <v>1898</v>
      </c>
      <c r="K402" t="s">
        <v>1898</v>
      </c>
      <c r="L402" t="s">
        <v>1899</v>
      </c>
      <c r="N402" t="s">
        <v>227</v>
      </c>
      <c r="O402" t="s">
        <v>121</v>
      </c>
      <c r="BN402">
        <v>0</v>
      </c>
    </row>
    <row r="403" spans="1:111" x14ac:dyDescent="0.2">
      <c r="A403" t="s">
        <v>111</v>
      </c>
      <c r="B403" t="b">
        <v>1</v>
      </c>
      <c r="E403">
        <v>399</v>
      </c>
      <c r="F403" t="str">
        <f>HYPERLINK("https://portal.dnb.de/opac.htm?method=simpleSearch&amp;cqlMode=true&amp;query=idn%3D1066970661", "Portal")</f>
        <v>Portal</v>
      </c>
      <c r="G403" t="s">
        <v>133</v>
      </c>
      <c r="H403" t="s">
        <v>1900</v>
      </c>
      <c r="I403" t="s">
        <v>1901</v>
      </c>
      <c r="J403" t="s">
        <v>1902</v>
      </c>
      <c r="K403" t="s">
        <v>1902</v>
      </c>
      <c r="L403" t="s">
        <v>1902</v>
      </c>
      <c r="N403" t="s">
        <v>1903</v>
      </c>
      <c r="O403" t="s">
        <v>121</v>
      </c>
      <c r="BN403">
        <v>0</v>
      </c>
    </row>
    <row r="404" spans="1:111" x14ac:dyDescent="0.2">
      <c r="A404" t="s">
        <v>111</v>
      </c>
      <c r="B404" t="b">
        <v>1</v>
      </c>
      <c r="E404">
        <v>400</v>
      </c>
      <c r="F404" t="str">
        <f>HYPERLINK("https://portal.dnb.de/opac.htm?method=simpleSearch&amp;cqlMode=true&amp;query=idn%3D1066966257", "Portal")</f>
        <v>Portal</v>
      </c>
      <c r="G404" t="s">
        <v>133</v>
      </c>
      <c r="H404" t="s">
        <v>1904</v>
      </c>
      <c r="I404" t="s">
        <v>1905</v>
      </c>
      <c r="J404" t="s">
        <v>1906</v>
      </c>
      <c r="K404" t="s">
        <v>1906</v>
      </c>
      <c r="L404" t="s">
        <v>1907</v>
      </c>
      <c r="N404" t="s">
        <v>1908</v>
      </c>
      <c r="O404" t="s">
        <v>121</v>
      </c>
      <c r="BN404">
        <v>0</v>
      </c>
    </row>
    <row r="405" spans="1:111" x14ac:dyDescent="0.2">
      <c r="A405" t="s">
        <v>111</v>
      </c>
      <c r="B405" t="b">
        <v>1</v>
      </c>
      <c r="C405" t="s">
        <v>146</v>
      </c>
      <c r="E405">
        <v>401</v>
      </c>
      <c r="F405" t="str">
        <f>HYPERLINK("https://portal.dnb.de/opac.htm?method=simpleSearch&amp;cqlMode=true&amp;query=idn%3D1066966427", "Portal")</f>
        <v>Portal</v>
      </c>
      <c r="G405" t="s">
        <v>133</v>
      </c>
      <c r="H405" t="s">
        <v>1909</v>
      </c>
      <c r="I405" t="s">
        <v>1910</v>
      </c>
      <c r="J405" t="s">
        <v>1911</v>
      </c>
      <c r="K405" t="s">
        <v>1911</v>
      </c>
      <c r="L405" t="s">
        <v>1911</v>
      </c>
      <c r="N405" t="s">
        <v>132</v>
      </c>
      <c r="O405" t="s">
        <v>121</v>
      </c>
      <c r="Q405" t="s">
        <v>1912</v>
      </c>
      <c r="S405" t="s">
        <v>162</v>
      </c>
      <c r="AI405" t="s">
        <v>518</v>
      </c>
      <c r="AK405" t="s">
        <v>146</v>
      </c>
      <c r="AM405" t="s">
        <v>147</v>
      </c>
      <c r="AS405" t="s">
        <v>148</v>
      </c>
      <c r="AT405" t="s">
        <v>146</v>
      </c>
      <c r="BC405" t="s">
        <v>166</v>
      </c>
      <c r="BD405" t="s">
        <v>146</v>
      </c>
      <c r="BG405">
        <v>110</v>
      </c>
      <c r="BM405" t="s">
        <v>213</v>
      </c>
      <c r="BN405">
        <v>2</v>
      </c>
      <c r="BP405" t="s">
        <v>152</v>
      </c>
      <c r="BZ405" t="s">
        <v>146</v>
      </c>
      <c r="CB405" t="s">
        <v>146</v>
      </c>
      <c r="CD405" t="s">
        <v>228</v>
      </c>
      <c r="CM405">
        <v>1</v>
      </c>
      <c r="CO405" t="s">
        <v>146</v>
      </c>
      <c r="CP405" t="s">
        <v>146</v>
      </c>
      <c r="DF405">
        <v>1</v>
      </c>
      <c r="DG405" t="s">
        <v>1913</v>
      </c>
    </row>
    <row r="406" spans="1:111" x14ac:dyDescent="0.2">
      <c r="A406" t="s">
        <v>111</v>
      </c>
      <c r="B406" t="b">
        <v>1</v>
      </c>
      <c r="E406">
        <v>402</v>
      </c>
      <c r="F406" t="str">
        <f>HYPERLINK("https://portal.dnb.de/opac.htm?method=simpleSearch&amp;cqlMode=true&amp;query=idn%3D1066966958", "Portal")</f>
        <v>Portal</v>
      </c>
      <c r="G406" t="s">
        <v>133</v>
      </c>
      <c r="H406" t="s">
        <v>1914</v>
      </c>
      <c r="I406" t="s">
        <v>1915</v>
      </c>
      <c r="J406" t="s">
        <v>1916</v>
      </c>
      <c r="K406" t="s">
        <v>1916</v>
      </c>
      <c r="L406" t="s">
        <v>1916</v>
      </c>
      <c r="N406" t="s">
        <v>956</v>
      </c>
      <c r="O406" t="s">
        <v>121</v>
      </c>
      <c r="P406" t="s">
        <v>146</v>
      </c>
      <c r="R406" t="s">
        <v>188</v>
      </c>
      <c r="S406" t="s">
        <v>140</v>
      </c>
      <c r="T406" t="s">
        <v>163</v>
      </c>
      <c r="U406" t="s">
        <v>142</v>
      </c>
      <c r="V406" t="s">
        <v>143</v>
      </c>
      <c r="W406" t="s">
        <v>67</v>
      </c>
      <c r="X406" t="s">
        <v>144</v>
      </c>
      <c r="Y406">
        <v>0</v>
      </c>
      <c r="BN406">
        <v>0</v>
      </c>
    </row>
    <row r="407" spans="1:111" x14ac:dyDescent="0.2">
      <c r="A407" t="s">
        <v>111</v>
      </c>
      <c r="B407" t="b">
        <v>1</v>
      </c>
      <c r="E407">
        <v>403</v>
      </c>
      <c r="F407" t="str">
        <f>HYPERLINK("https://portal.dnb.de/opac.htm?method=simpleSearch&amp;cqlMode=true&amp;query=idn%3D1066966990", "Portal")</f>
        <v>Portal</v>
      </c>
      <c r="G407" t="s">
        <v>133</v>
      </c>
      <c r="H407" t="s">
        <v>1917</v>
      </c>
      <c r="I407" t="s">
        <v>1918</v>
      </c>
      <c r="J407" t="s">
        <v>1919</v>
      </c>
      <c r="K407" t="s">
        <v>1919</v>
      </c>
      <c r="L407" t="s">
        <v>1919</v>
      </c>
      <c r="N407" t="s">
        <v>242</v>
      </c>
      <c r="O407" t="s">
        <v>121</v>
      </c>
      <c r="BN407">
        <v>0</v>
      </c>
    </row>
    <row r="408" spans="1:111" x14ac:dyDescent="0.2">
      <c r="A408" t="s">
        <v>111</v>
      </c>
      <c r="B408" t="b">
        <v>1</v>
      </c>
      <c r="E408">
        <v>404</v>
      </c>
      <c r="F408" t="str">
        <f>HYPERLINK("https://portal.dnb.de/opac.htm?method=simpleSearch&amp;cqlMode=true&amp;query=idn%3D1066968314", "Portal")</f>
        <v>Portal</v>
      </c>
      <c r="G408" t="s">
        <v>133</v>
      </c>
      <c r="H408" t="s">
        <v>1920</v>
      </c>
      <c r="I408" t="s">
        <v>1921</v>
      </c>
      <c r="J408" t="s">
        <v>1922</v>
      </c>
      <c r="K408" t="s">
        <v>1922</v>
      </c>
      <c r="L408" t="s">
        <v>1922</v>
      </c>
      <c r="N408" t="s">
        <v>1923</v>
      </c>
      <c r="O408" t="s">
        <v>121</v>
      </c>
      <c r="BN408">
        <v>0</v>
      </c>
    </row>
    <row r="409" spans="1:111" x14ac:dyDescent="0.2">
      <c r="A409" t="s">
        <v>111</v>
      </c>
      <c r="B409" t="b">
        <v>1</v>
      </c>
      <c r="E409">
        <v>405</v>
      </c>
      <c r="F409" t="str">
        <f>HYPERLINK("https://portal.dnb.de/opac.htm?method=simpleSearch&amp;cqlMode=true&amp;query=idn%3D1066968756", "Portal")</f>
        <v>Portal</v>
      </c>
      <c r="G409" t="s">
        <v>133</v>
      </c>
      <c r="H409" t="s">
        <v>1924</v>
      </c>
      <c r="I409" t="s">
        <v>1925</v>
      </c>
      <c r="J409" t="s">
        <v>1926</v>
      </c>
      <c r="K409" t="s">
        <v>1926</v>
      </c>
      <c r="L409" t="s">
        <v>1926</v>
      </c>
      <c r="N409" t="s">
        <v>261</v>
      </c>
      <c r="O409" t="s">
        <v>121</v>
      </c>
      <c r="BN409">
        <v>0</v>
      </c>
    </row>
    <row r="410" spans="1:111" x14ac:dyDescent="0.2">
      <c r="A410" t="s">
        <v>111</v>
      </c>
      <c r="B410" t="b">
        <v>1</v>
      </c>
      <c r="C410" t="s">
        <v>146</v>
      </c>
      <c r="E410">
        <v>406</v>
      </c>
      <c r="F410" t="str">
        <f>HYPERLINK("https://portal.dnb.de/opac.htm?method=simpleSearch&amp;cqlMode=true&amp;query=idn%3D106696940X", "Portal")</f>
        <v>Portal</v>
      </c>
      <c r="G410" t="s">
        <v>133</v>
      </c>
      <c r="H410" t="s">
        <v>1927</v>
      </c>
      <c r="I410" t="s">
        <v>1928</v>
      </c>
      <c r="J410" t="s">
        <v>1929</v>
      </c>
      <c r="K410" t="s">
        <v>1929</v>
      </c>
      <c r="L410" t="s">
        <v>1929</v>
      </c>
      <c r="N410" t="s">
        <v>1930</v>
      </c>
      <c r="O410" t="s">
        <v>121</v>
      </c>
      <c r="P410" t="s">
        <v>146</v>
      </c>
      <c r="Q410" t="s">
        <v>311</v>
      </c>
      <c r="R410" t="s">
        <v>139</v>
      </c>
      <c r="S410" t="s">
        <v>189</v>
      </c>
      <c r="T410" t="s">
        <v>471</v>
      </c>
      <c r="U410" t="s">
        <v>142</v>
      </c>
      <c r="V410" t="s">
        <v>143</v>
      </c>
      <c r="W410" t="s">
        <v>67</v>
      </c>
      <c r="X410" t="s">
        <v>144</v>
      </c>
      <c r="Y410">
        <v>0</v>
      </c>
      <c r="AI410" t="s">
        <v>182</v>
      </c>
      <c r="AK410" t="s">
        <v>146</v>
      </c>
      <c r="AM410" t="s">
        <v>313</v>
      </c>
      <c r="AS410" t="s">
        <v>148</v>
      </c>
      <c r="BC410" t="s">
        <v>166</v>
      </c>
      <c r="BD410" t="s">
        <v>146</v>
      </c>
      <c r="BG410">
        <v>45</v>
      </c>
      <c r="BM410" t="s">
        <v>213</v>
      </c>
      <c r="BN410">
        <v>0.5</v>
      </c>
      <c r="BP410" t="s">
        <v>152</v>
      </c>
      <c r="BZ410" t="s">
        <v>1661</v>
      </c>
      <c r="CA410" t="s">
        <v>146</v>
      </c>
      <c r="CB410" t="s">
        <v>146</v>
      </c>
      <c r="CM410">
        <v>0.5</v>
      </c>
      <c r="CN410" t="s">
        <v>1662</v>
      </c>
    </row>
    <row r="411" spans="1:111" x14ac:dyDescent="0.2">
      <c r="A411" t="s">
        <v>111</v>
      </c>
      <c r="B411" t="b">
        <v>1</v>
      </c>
      <c r="E411">
        <v>407</v>
      </c>
      <c r="F411" t="str">
        <f>HYPERLINK("https://portal.dnb.de/opac.htm?method=simpleSearch&amp;cqlMode=true&amp;query=idn%3D106697067X", "Portal")</f>
        <v>Portal</v>
      </c>
      <c r="G411" t="s">
        <v>133</v>
      </c>
      <c r="H411" t="s">
        <v>1931</v>
      </c>
      <c r="I411" t="s">
        <v>1932</v>
      </c>
      <c r="J411" t="s">
        <v>1933</v>
      </c>
      <c r="K411" t="s">
        <v>1933</v>
      </c>
      <c r="L411" t="s">
        <v>1933</v>
      </c>
      <c r="N411" t="s">
        <v>1934</v>
      </c>
      <c r="O411" t="s">
        <v>121</v>
      </c>
      <c r="P411" t="s">
        <v>138</v>
      </c>
      <c r="R411" t="s">
        <v>161</v>
      </c>
      <c r="S411" t="s">
        <v>140</v>
      </c>
      <c r="T411" t="s">
        <v>163</v>
      </c>
      <c r="U411" t="s">
        <v>737</v>
      </c>
      <c r="W411" t="s">
        <v>67</v>
      </c>
      <c r="X411" t="s">
        <v>144</v>
      </c>
      <c r="Y411">
        <v>1</v>
      </c>
      <c r="BN411">
        <v>0</v>
      </c>
    </row>
    <row r="412" spans="1:111" x14ac:dyDescent="0.2">
      <c r="A412" t="s">
        <v>111</v>
      </c>
      <c r="B412" t="b">
        <v>1</v>
      </c>
      <c r="C412" t="s">
        <v>146</v>
      </c>
      <c r="E412">
        <v>408</v>
      </c>
      <c r="F412" t="str">
        <f>HYPERLINK("https://portal.dnb.de/opac.htm?method=simpleSearch&amp;cqlMode=true&amp;query=idn%3D1066971536", "Portal")</f>
        <v>Portal</v>
      </c>
      <c r="G412" t="s">
        <v>133</v>
      </c>
      <c r="H412" t="s">
        <v>1935</v>
      </c>
      <c r="I412" t="s">
        <v>1936</v>
      </c>
      <c r="J412" t="s">
        <v>1937</v>
      </c>
      <c r="K412" t="s">
        <v>1938</v>
      </c>
      <c r="L412" t="s">
        <v>1938</v>
      </c>
      <c r="N412" t="s">
        <v>788</v>
      </c>
      <c r="O412" t="s">
        <v>121</v>
      </c>
      <c r="Q412" t="s">
        <v>1939</v>
      </c>
      <c r="S412" t="s">
        <v>162</v>
      </c>
      <c r="AI412" t="s">
        <v>182</v>
      </c>
      <c r="AK412" t="s">
        <v>146</v>
      </c>
      <c r="AM412" t="s">
        <v>313</v>
      </c>
      <c r="AS412" t="s">
        <v>148</v>
      </c>
      <c r="BG412">
        <v>0</v>
      </c>
      <c r="BH412" t="s">
        <v>1940</v>
      </c>
      <c r="BM412" t="s">
        <v>918</v>
      </c>
      <c r="BN412">
        <v>7.5</v>
      </c>
      <c r="BR412" t="s">
        <v>146</v>
      </c>
      <c r="BZ412" t="s">
        <v>146</v>
      </c>
      <c r="CA412" t="s">
        <v>146</v>
      </c>
      <c r="CB412" t="s">
        <v>146</v>
      </c>
      <c r="CG412" t="s">
        <v>146</v>
      </c>
      <c r="CM412">
        <v>2</v>
      </c>
      <c r="CN412" t="s">
        <v>1941</v>
      </c>
      <c r="CO412" t="s">
        <v>146</v>
      </c>
      <c r="CP412" t="s">
        <v>146</v>
      </c>
      <c r="CR412" t="s">
        <v>1942</v>
      </c>
      <c r="CT412" t="s">
        <v>146</v>
      </c>
      <c r="CY412" t="s">
        <v>1943</v>
      </c>
      <c r="DF412">
        <v>5.5</v>
      </c>
      <c r="DG412" t="s">
        <v>1944</v>
      </c>
    </row>
    <row r="413" spans="1:111" x14ac:dyDescent="0.2">
      <c r="A413" t="s">
        <v>111</v>
      </c>
      <c r="B413" t="b">
        <v>1</v>
      </c>
      <c r="E413">
        <v>409</v>
      </c>
      <c r="F413" t="str">
        <f>HYPERLINK("https://portal.dnb.de/opac.htm?method=simpleSearch&amp;cqlMode=true&amp;query=idn%3D1066965846", "Portal")</f>
        <v>Portal</v>
      </c>
      <c r="G413" t="s">
        <v>133</v>
      </c>
      <c r="H413" t="s">
        <v>1945</v>
      </c>
      <c r="I413" t="s">
        <v>1946</v>
      </c>
      <c r="J413" t="s">
        <v>1947</v>
      </c>
      <c r="K413" t="s">
        <v>1947</v>
      </c>
      <c r="L413" t="s">
        <v>1947</v>
      </c>
      <c r="N413" t="s">
        <v>1948</v>
      </c>
      <c r="O413" t="s">
        <v>121</v>
      </c>
      <c r="P413" t="s">
        <v>146</v>
      </c>
      <c r="R413" t="s">
        <v>161</v>
      </c>
      <c r="S413" t="s">
        <v>140</v>
      </c>
      <c r="T413" t="s">
        <v>163</v>
      </c>
      <c r="U413" t="s">
        <v>164</v>
      </c>
      <c r="V413" t="s">
        <v>143</v>
      </c>
      <c r="W413" t="s">
        <v>67</v>
      </c>
      <c r="X413" t="s">
        <v>144</v>
      </c>
      <c r="Y413">
        <v>0</v>
      </c>
      <c r="BN413">
        <v>0</v>
      </c>
    </row>
    <row r="414" spans="1:111" x14ac:dyDescent="0.2">
      <c r="A414" t="s">
        <v>111</v>
      </c>
      <c r="B414" t="b">
        <v>1</v>
      </c>
      <c r="E414">
        <v>410</v>
      </c>
      <c r="F414" t="str">
        <f>HYPERLINK("https://portal.dnb.de/opac.htm?method=simpleSearch&amp;cqlMode=true&amp;query=idn%3D1066966222", "Portal")</f>
        <v>Portal</v>
      </c>
      <c r="G414" t="s">
        <v>133</v>
      </c>
      <c r="H414" t="s">
        <v>1949</v>
      </c>
      <c r="I414" t="s">
        <v>1950</v>
      </c>
      <c r="J414" t="s">
        <v>1951</v>
      </c>
      <c r="K414" t="s">
        <v>1951</v>
      </c>
      <c r="L414" t="s">
        <v>1951</v>
      </c>
      <c r="N414" t="s">
        <v>1952</v>
      </c>
      <c r="O414" t="s">
        <v>121</v>
      </c>
      <c r="P414" t="s">
        <v>138</v>
      </c>
      <c r="R414" t="s">
        <v>207</v>
      </c>
      <c r="S414" t="s">
        <v>140</v>
      </c>
      <c r="T414" t="s">
        <v>163</v>
      </c>
      <c r="U414" t="s">
        <v>712</v>
      </c>
      <c r="V414" t="s">
        <v>143</v>
      </c>
      <c r="W414" t="s">
        <v>67</v>
      </c>
      <c r="X414" t="s">
        <v>144</v>
      </c>
      <c r="Y414">
        <v>3</v>
      </c>
      <c r="BN414">
        <v>0</v>
      </c>
    </row>
    <row r="415" spans="1:111" x14ac:dyDescent="0.2">
      <c r="A415" t="s">
        <v>111</v>
      </c>
      <c r="B415" t="b">
        <v>1</v>
      </c>
      <c r="F415" t="str">
        <f>HYPERLINK("https://portal.dnb.de/opac.htm?method=simpleSearch&amp;cqlMode=true&amp;query=idn%3D1268950440", "Portal")</f>
        <v>Portal</v>
      </c>
      <c r="G415" t="s">
        <v>300</v>
      </c>
      <c r="H415" t="s">
        <v>1953</v>
      </c>
      <c r="I415" t="s">
        <v>1954</v>
      </c>
      <c r="J415" t="s">
        <v>1955</v>
      </c>
      <c r="K415" t="s">
        <v>1955</v>
      </c>
      <c r="L415" t="s">
        <v>1955</v>
      </c>
      <c r="N415" t="s">
        <v>1956</v>
      </c>
      <c r="O415" t="s">
        <v>121</v>
      </c>
      <c r="P415" t="s">
        <v>138</v>
      </c>
      <c r="R415" t="s">
        <v>139</v>
      </c>
      <c r="S415" t="s">
        <v>140</v>
      </c>
      <c r="T415" t="s">
        <v>163</v>
      </c>
      <c r="U415" t="s">
        <v>164</v>
      </c>
      <c r="V415" t="s">
        <v>143</v>
      </c>
      <c r="W415" t="s">
        <v>67</v>
      </c>
      <c r="X415" t="s">
        <v>144</v>
      </c>
      <c r="Y415">
        <v>1</v>
      </c>
      <c r="BN415">
        <v>0</v>
      </c>
    </row>
    <row r="416" spans="1:111" x14ac:dyDescent="0.2">
      <c r="A416" t="s">
        <v>111</v>
      </c>
      <c r="B416" t="b">
        <v>1</v>
      </c>
      <c r="E416">
        <v>413</v>
      </c>
      <c r="F416" t="str">
        <f>HYPERLINK("https://portal.dnb.de/opac.htm?method=simpleSearch&amp;cqlMode=true&amp;query=idn%3D1066971420", "Portal")</f>
        <v>Portal</v>
      </c>
      <c r="G416" t="s">
        <v>133</v>
      </c>
      <c r="H416" t="s">
        <v>1957</v>
      </c>
      <c r="I416" t="s">
        <v>1958</v>
      </c>
      <c r="J416" t="s">
        <v>1959</v>
      </c>
      <c r="K416" t="s">
        <v>1959</v>
      </c>
      <c r="L416" t="s">
        <v>1959</v>
      </c>
      <c r="N416" t="s">
        <v>1960</v>
      </c>
      <c r="O416" t="s">
        <v>121</v>
      </c>
      <c r="P416" t="s">
        <v>138</v>
      </c>
      <c r="R416" t="s">
        <v>139</v>
      </c>
      <c r="S416" t="s">
        <v>140</v>
      </c>
      <c r="T416" t="s">
        <v>163</v>
      </c>
      <c r="U416" t="s">
        <v>142</v>
      </c>
      <c r="V416" t="s">
        <v>143</v>
      </c>
      <c r="W416" t="s">
        <v>67</v>
      </c>
      <c r="X416" t="s">
        <v>144</v>
      </c>
      <c r="Y416">
        <v>0</v>
      </c>
      <c r="BN416">
        <v>0</v>
      </c>
    </row>
    <row r="417" spans="1:92" x14ac:dyDescent="0.2">
      <c r="A417" t="s">
        <v>111</v>
      </c>
      <c r="B417" t="b">
        <v>1</v>
      </c>
      <c r="E417">
        <v>414</v>
      </c>
      <c r="F417" t="str">
        <f>HYPERLINK("https://portal.dnb.de/opac.htm?method=simpleSearch&amp;cqlMode=true&amp;query=idn%3D1066971099", "Portal")</f>
        <v>Portal</v>
      </c>
      <c r="G417" t="s">
        <v>133</v>
      </c>
      <c r="H417" t="s">
        <v>1961</v>
      </c>
      <c r="I417" t="s">
        <v>1962</v>
      </c>
      <c r="J417" t="s">
        <v>1963</v>
      </c>
      <c r="K417" t="s">
        <v>1963</v>
      </c>
      <c r="L417" t="s">
        <v>1963</v>
      </c>
      <c r="N417" t="s">
        <v>1964</v>
      </c>
      <c r="O417" t="s">
        <v>121</v>
      </c>
      <c r="P417" t="s">
        <v>138</v>
      </c>
      <c r="R417" t="s">
        <v>139</v>
      </c>
      <c r="S417" t="s">
        <v>140</v>
      </c>
      <c r="T417" t="s">
        <v>163</v>
      </c>
      <c r="U417" t="s">
        <v>243</v>
      </c>
      <c r="V417" t="s">
        <v>143</v>
      </c>
      <c r="W417" t="s">
        <v>67</v>
      </c>
      <c r="X417" t="s">
        <v>144</v>
      </c>
      <c r="Y417">
        <v>0</v>
      </c>
      <c r="AA417" t="s">
        <v>1222</v>
      </c>
      <c r="BN417">
        <v>0</v>
      </c>
    </row>
    <row r="418" spans="1:92" x14ac:dyDescent="0.2">
      <c r="A418" t="s">
        <v>111</v>
      </c>
      <c r="B418" t="b">
        <v>1</v>
      </c>
      <c r="E418">
        <v>415</v>
      </c>
      <c r="F418" t="str">
        <f>HYPERLINK("https://portal.dnb.de/opac.htm?method=simpleSearch&amp;cqlMode=true&amp;query=idn%3D1066972567", "Portal")</f>
        <v>Portal</v>
      </c>
      <c r="G418" t="s">
        <v>133</v>
      </c>
      <c r="H418" t="s">
        <v>1965</v>
      </c>
      <c r="I418" t="s">
        <v>1966</v>
      </c>
      <c r="J418" t="s">
        <v>1967</v>
      </c>
      <c r="K418" t="s">
        <v>1967</v>
      </c>
      <c r="L418" t="s">
        <v>1967</v>
      </c>
      <c r="N418" t="s">
        <v>1968</v>
      </c>
      <c r="O418" t="s">
        <v>121</v>
      </c>
      <c r="BN418">
        <v>0</v>
      </c>
    </row>
    <row r="419" spans="1:92" x14ac:dyDescent="0.2">
      <c r="A419" t="s">
        <v>111</v>
      </c>
      <c r="B419" t="b">
        <v>1</v>
      </c>
      <c r="E419">
        <v>416</v>
      </c>
      <c r="F419" t="str">
        <f>HYPERLINK("https://portal.dnb.de/opac.htm?method=simpleSearch&amp;cqlMode=true&amp;query=idn%3D1066966168", "Portal")</f>
        <v>Portal</v>
      </c>
      <c r="G419" t="s">
        <v>133</v>
      </c>
      <c r="H419" t="s">
        <v>1969</v>
      </c>
      <c r="I419" t="s">
        <v>1970</v>
      </c>
      <c r="J419" t="s">
        <v>1971</v>
      </c>
      <c r="K419" t="s">
        <v>1971</v>
      </c>
      <c r="L419" t="s">
        <v>1971</v>
      </c>
      <c r="N419" t="s">
        <v>1972</v>
      </c>
      <c r="O419" t="s">
        <v>121</v>
      </c>
      <c r="BN419">
        <v>0</v>
      </c>
    </row>
    <row r="420" spans="1:92" x14ac:dyDescent="0.2">
      <c r="A420" t="s">
        <v>111</v>
      </c>
      <c r="B420" t="b">
        <v>1</v>
      </c>
      <c r="E420">
        <v>417</v>
      </c>
      <c r="F420" t="str">
        <f>HYPERLINK("https://portal.dnb.de/opac.htm?method=simpleSearch&amp;cqlMode=true&amp;query=idn%3D1066964769", "Portal")</f>
        <v>Portal</v>
      </c>
      <c r="G420" t="s">
        <v>133</v>
      </c>
      <c r="H420" t="s">
        <v>1973</v>
      </c>
      <c r="I420" t="s">
        <v>1974</v>
      </c>
      <c r="J420" t="s">
        <v>1975</v>
      </c>
      <c r="K420" t="s">
        <v>1975</v>
      </c>
      <c r="L420" t="s">
        <v>1975</v>
      </c>
      <c r="N420" t="s">
        <v>1976</v>
      </c>
      <c r="O420" t="s">
        <v>121</v>
      </c>
      <c r="BN420">
        <v>0</v>
      </c>
    </row>
    <row r="421" spans="1:92" x14ac:dyDescent="0.2">
      <c r="A421" t="s">
        <v>111</v>
      </c>
      <c r="B421" t="b">
        <v>1</v>
      </c>
      <c r="E421">
        <v>418</v>
      </c>
      <c r="F421" t="str">
        <f>HYPERLINK("https://portal.dnb.de/opac.htm?method=simpleSearch&amp;cqlMode=true&amp;query=idn%3D1066969329", "Portal")</f>
        <v>Portal</v>
      </c>
      <c r="G421" t="s">
        <v>115</v>
      </c>
      <c r="H421" t="s">
        <v>1977</v>
      </c>
      <c r="I421" t="s">
        <v>1978</v>
      </c>
      <c r="J421" t="s">
        <v>1979</v>
      </c>
      <c r="K421" t="s">
        <v>1979</v>
      </c>
      <c r="L421" t="s">
        <v>1979</v>
      </c>
      <c r="N421" t="s">
        <v>1980</v>
      </c>
      <c r="O421" t="s">
        <v>121</v>
      </c>
      <c r="P421" t="s">
        <v>138</v>
      </c>
      <c r="R421" t="s">
        <v>171</v>
      </c>
      <c r="S421" t="s">
        <v>140</v>
      </c>
      <c r="T421" t="s">
        <v>163</v>
      </c>
      <c r="U421" t="s">
        <v>172</v>
      </c>
      <c r="W421" t="s">
        <v>67</v>
      </c>
      <c r="X421" t="s">
        <v>144</v>
      </c>
      <c r="Y421">
        <v>0</v>
      </c>
      <c r="BN421">
        <v>0</v>
      </c>
    </row>
    <row r="422" spans="1:92" x14ac:dyDescent="0.2">
      <c r="A422" t="s">
        <v>111</v>
      </c>
      <c r="B422" t="b">
        <v>1</v>
      </c>
      <c r="E422">
        <v>419</v>
      </c>
      <c r="F422" t="str">
        <f>HYPERLINK("https://portal.dnb.de/opac.htm?method=simpleSearch&amp;cqlMode=true&amp;query=idn%3D1072064456", "Portal")</f>
        <v>Portal</v>
      </c>
      <c r="G422" t="s">
        <v>115</v>
      </c>
      <c r="H422" t="s">
        <v>1981</v>
      </c>
      <c r="I422" t="s">
        <v>1982</v>
      </c>
      <c r="J422" t="s">
        <v>1983</v>
      </c>
      <c r="K422" t="s">
        <v>1983</v>
      </c>
      <c r="L422" t="s">
        <v>1983</v>
      </c>
      <c r="N422" t="s">
        <v>1984</v>
      </c>
      <c r="O422" t="s">
        <v>121</v>
      </c>
      <c r="BN422">
        <v>0</v>
      </c>
    </row>
    <row r="423" spans="1:92" x14ac:dyDescent="0.2">
      <c r="A423" t="s">
        <v>111</v>
      </c>
      <c r="B423" t="b">
        <v>1</v>
      </c>
      <c r="E423">
        <v>420</v>
      </c>
      <c r="F423" t="str">
        <f>HYPERLINK("https://portal.dnb.de/opac.htm?method=simpleSearch&amp;cqlMode=true&amp;query=idn%3D1066971242", "Portal")</f>
        <v>Portal</v>
      </c>
      <c r="G423" t="s">
        <v>115</v>
      </c>
      <c r="H423" t="s">
        <v>1985</v>
      </c>
      <c r="I423" t="s">
        <v>1986</v>
      </c>
      <c r="J423" t="s">
        <v>1987</v>
      </c>
      <c r="K423" t="s">
        <v>1987</v>
      </c>
      <c r="L423" t="s">
        <v>1987</v>
      </c>
      <c r="N423" t="s">
        <v>1670</v>
      </c>
      <c r="O423" t="s">
        <v>121</v>
      </c>
      <c r="P423" t="s">
        <v>138</v>
      </c>
      <c r="R423" t="s">
        <v>139</v>
      </c>
      <c r="S423" t="s">
        <v>140</v>
      </c>
      <c r="T423" t="s">
        <v>163</v>
      </c>
      <c r="U423" t="s">
        <v>243</v>
      </c>
      <c r="V423" t="s">
        <v>143</v>
      </c>
      <c r="W423" t="s">
        <v>67</v>
      </c>
      <c r="X423" t="s">
        <v>144</v>
      </c>
      <c r="Y423">
        <v>0</v>
      </c>
      <c r="BN423">
        <v>0</v>
      </c>
    </row>
    <row r="424" spans="1:92" x14ac:dyDescent="0.2">
      <c r="A424" t="s">
        <v>111</v>
      </c>
      <c r="B424" t="b">
        <v>1</v>
      </c>
      <c r="E424">
        <v>421</v>
      </c>
      <c r="F424" t="str">
        <f>HYPERLINK("https://portal.dnb.de/opac.htm?method=simpleSearch&amp;cqlMode=true&amp;query=idn%3D1066965749", "Portal")</f>
        <v>Portal</v>
      </c>
      <c r="G424" t="s">
        <v>133</v>
      </c>
      <c r="H424" t="s">
        <v>1988</v>
      </c>
      <c r="I424" t="s">
        <v>1989</v>
      </c>
      <c r="J424" t="s">
        <v>1990</v>
      </c>
      <c r="K424" t="s">
        <v>1990</v>
      </c>
      <c r="L424" t="s">
        <v>1990</v>
      </c>
      <c r="N424" t="s">
        <v>1991</v>
      </c>
      <c r="O424" t="s">
        <v>121</v>
      </c>
      <c r="P424" t="s">
        <v>138</v>
      </c>
      <c r="R424" t="s">
        <v>1992</v>
      </c>
      <c r="S424" t="s">
        <v>140</v>
      </c>
      <c r="T424" t="s">
        <v>141</v>
      </c>
      <c r="U424" t="s">
        <v>142</v>
      </c>
      <c r="V424" t="s">
        <v>143</v>
      </c>
      <c r="W424" t="s">
        <v>67</v>
      </c>
      <c r="X424" t="s">
        <v>144</v>
      </c>
      <c r="Y424">
        <v>0</v>
      </c>
      <c r="BN424">
        <v>0</v>
      </c>
    </row>
    <row r="425" spans="1:92" x14ac:dyDescent="0.2">
      <c r="A425" t="s">
        <v>111</v>
      </c>
      <c r="B425" t="b">
        <v>1</v>
      </c>
      <c r="E425">
        <v>422</v>
      </c>
      <c r="F425" t="str">
        <f>HYPERLINK("https://portal.dnb.de/opac.htm?method=simpleSearch&amp;cqlMode=true&amp;query=idn%3D1066969124", "Portal")</f>
        <v>Portal</v>
      </c>
      <c r="G425" t="s">
        <v>133</v>
      </c>
      <c r="H425" t="s">
        <v>1993</v>
      </c>
      <c r="I425" t="s">
        <v>1994</v>
      </c>
      <c r="J425" t="s">
        <v>1995</v>
      </c>
      <c r="K425" t="s">
        <v>1995</v>
      </c>
      <c r="L425" t="s">
        <v>1995</v>
      </c>
      <c r="N425" t="s">
        <v>1996</v>
      </c>
      <c r="O425" t="s">
        <v>121</v>
      </c>
      <c r="P425" t="s">
        <v>138</v>
      </c>
      <c r="R425" t="s">
        <v>161</v>
      </c>
      <c r="S425" t="s">
        <v>140</v>
      </c>
      <c r="T425" t="s">
        <v>163</v>
      </c>
      <c r="U425" t="s">
        <v>142</v>
      </c>
      <c r="V425" t="s">
        <v>143</v>
      </c>
      <c r="W425" t="s">
        <v>67</v>
      </c>
      <c r="X425" t="s">
        <v>144</v>
      </c>
      <c r="Y425">
        <v>2</v>
      </c>
      <c r="AA425" t="s">
        <v>1997</v>
      </c>
      <c r="BN425">
        <v>0</v>
      </c>
    </row>
    <row r="426" spans="1:92" x14ac:dyDescent="0.2">
      <c r="A426" t="s">
        <v>111</v>
      </c>
      <c r="B426" t="b">
        <v>1</v>
      </c>
      <c r="F426" t="str">
        <f>HYPERLINK("https://portal.dnb.de/opac.htm?method=simpleSearch&amp;cqlMode=true&amp;query=idn%3D1268950890", "Portal")</f>
        <v>Portal</v>
      </c>
      <c r="G426" t="s">
        <v>300</v>
      </c>
      <c r="H426" t="s">
        <v>1998</v>
      </c>
      <c r="I426" t="s">
        <v>1999</v>
      </c>
      <c r="J426" t="s">
        <v>2000</v>
      </c>
      <c r="K426" t="s">
        <v>2000</v>
      </c>
      <c r="L426" t="s">
        <v>2000</v>
      </c>
      <c r="N426" t="s">
        <v>2001</v>
      </c>
      <c r="O426" t="s">
        <v>121</v>
      </c>
      <c r="P426" t="s">
        <v>138</v>
      </c>
      <c r="R426" t="s">
        <v>139</v>
      </c>
      <c r="S426" t="s">
        <v>140</v>
      </c>
      <c r="T426" t="s">
        <v>141</v>
      </c>
      <c r="U426" t="s">
        <v>164</v>
      </c>
      <c r="V426" t="s">
        <v>143</v>
      </c>
      <c r="W426" t="s">
        <v>67</v>
      </c>
      <c r="X426" t="s">
        <v>144</v>
      </c>
      <c r="Y426">
        <v>1</v>
      </c>
      <c r="BN426">
        <v>0</v>
      </c>
    </row>
    <row r="427" spans="1:92" x14ac:dyDescent="0.2">
      <c r="A427" t="s">
        <v>111</v>
      </c>
      <c r="B427" t="b">
        <v>1</v>
      </c>
      <c r="F427" t="str">
        <f>HYPERLINK("https://portal.dnb.de/opac.htm?method=simpleSearch&amp;cqlMode=true&amp;query=idn%3D1084608782", "Portal")</f>
        <v>Portal</v>
      </c>
      <c r="H427" t="s">
        <v>2002</v>
      </c>
      <c r="I427" t="s">
        <v>2003</v>
      </c>
      <c r="K427" t="s">
        <v>2000</v>
      </c>
      <c r="L427" t="s">
        <v>2000</v>
      </c>
      <c r="N427" t="s">
        <v>2004</v>
      </c>
      <c r="O427" t="s">
        <v>121</v>
      </c>
    </row>
    <row r="428" spans="1:92" x14ac:dyDescent="0.2">
      <c r="A428" t="s">
        <v>111</v>
      </c>
      <c r="B428" t="b">
        <v>1</v>
      </c>
      <c r="E428">
        <v>425</v>
      </c>
      <c r="F428" t="str">
        <f>HYPERLINK("https://portal.dnb.de/opac.htm?method=simpleSearch&amp;cqlMode=true&amp;query=idn%3D1066966850", "Portal")</f>
        <v>Portal</v>
      </c>
      <c r="G428" t="s">
        <v>133</v>
      </c>
      <c r="H428" t="s">
        <v>2005</v>
      </c>
      <c r="I428" t="s">
        <v>2006</v>
      </c>
      <c r="J428" t="s">
        <v>2007</v>
      </c>
      <c r="K428" t="s">
        <v>2007</v>
      </c>
      <c r="L428" t="s">
        <v>2007</v>
      </c>
      <c r="N428" t="s">
        <v>2008</v>
      </c>
      <c r="O428" t="s">
        <v>121</v>
      </c>
      <c r="P428" t="s">
        <v>138</v>
      </c>
      <c r="R428" t="s">
        <v>347</v>
      </c>
      <c r="S428" t="s">
        <v>189</v>
      </c>
      <c r="T428" t="s">
        <v>141</v>
      </c>
      <c r="U428" t="s">
        <v>886</v>
      </c>
      <c r="W428" t="s">
        <v>67</v>
      </c>
      <c r="X428" t="s">
        <v>144</v>
      </c>
      <c r="Y428">
        <v>0</v>
      </c>
      <c r="BN428">
        <v>0</v>
      </c>
    </row>
    <row r="429" spans="1:92" x14ac:dyDescent="0.2">
      <c r="A429" t="s">
        <v>111</v>
      </c>
      <c r="B429" t="b">
        <v>1</v>
      </c>
      <c r="E429">
        <v>426</v>
      </c>
      <c r="F429" t="str">
        <f>HYPERLINK("https://portal.dnb.de/opac.htm?method=simpleSearch&amp;cqlMode=true&amp;query=idn%3D1066965927", "Portal")</f>
        <v>Portal</v>
      </c>
      <c r="G429" t="s">
        <v>133</v>
      </c>
      <c r="H429" t="s">
        <v>2009</v>
      </c>
      <c r="I429" t="s">
        <v>2010</v>
      </c>
      <c r="J429" t="s">
        <v>2011</v>
      </c>
      <c r="K429" t="s">
        <v>2011</v>
      </c>
      <c r="L429" t="s">
        <v>2011</v>
      </c>
      <c r="N429" t="s">
        <v>2012</v>
      </c>
      <c r="O429" t="s">
        <v>121</v>
      </c>
      <c r="R429" t="s">
        <v>1311</v>
      </c>
      <c r="S429" t="s">
        <v>189</v>
      </c>
      <c r="T429" t="s">
        <v>163</v>
      </c>
      <c r="U429" t="s">
        <v>381</v>
      </c>
      <c r="V429" t="s">
        <v>143</v>
      </c>
      <c r="W429" t="s">
        <v>67</v>
      </c>
      <c r="X429" t="s">
        <v>144</v>
      </c>
      <c r="Y429">
        <v>0</v>
      </c>
      <c r="BN429">
        <v>0</v>
      </c>
    </row>
    <row r="430" spans="1:92" x14ac:dyDescent="0.2">
      <c r="A430" t="s">
        <v>111</v>
      </c>
      <c r="B430" t="b">
        <v>1</v>
      </c>
      <c r="E430">
        <v>427</v>
      </c>
      <c r="F430" t="str">
        <f>HYPERLINK("https://portal.dnb.de/opac.htm?method=simpleSearch&amp;cqlMode=true&amp;query=idn%3D1066965927", "Portal")</f>
        <v>Portal</v>
      </c>
      <c r="G430" t="s">
        <v>133</v>
      </c>
      <c r="H430" t="s">
        <v>2013</v>
      </c>
      <c r="I430" t="s">
        <v>2010</v>
      </c>
      <c r="J430" t="s">
        <v>2014</v>
      </c>
      <c r="K430" t="s">
        <v>2014</v>
      </c>
      <c r="L430" t="s">
        <v>2014</v>
      </c>
      <c r="N430" t="s">
        <v>2012</v>
      </c>
      <c r="O430" t="s">
        <v>121</v>
      </c>
      <c r="R430" t="s">
        <v>180</v>
      </c>
      <c r="S430" t="s">
        <v>189</v>
      </c>
      <c r="T430" t="s">
        <v>163</v>
      </c>
      <c r="U430" t="s">
        <v>2015</v>
      </c>
      <c r="V430" t="s">
        <v>143</v>
      </c>
      <c r="W430" t="s">
        <v>67</v>
      </c>
      <c r="X430" t="s">
        <v>144</v>
      </c>
      <c r="Y430">
        <v>1</v>
      </c>
      <c r="BN430">
        <v>0</v>
      </c>
    </row>
    <row r="431" spans="1:92" x14ac:dyDescent="0.2">
      <c r="A431" t="s">
        <v>111</v>
      </c>
      <c r="B431" t="b">
        <v>1</v>
      </c>
      <c r="E431">
        <v>428</v>
      </c>
      <c r="F431" t="str">
        <f>HYPERLINK("https://portal.dnb.de/opac.htm?method=simpleSearch&amp;cqlMode=true&amp;query=idn%3D1066969752", "Portal")</f>
        <v>Portal</v>
      </c>
      <c r="G431" t="s">
        <v>133</v>
      </c>
      <c r="H431" t="s">
        <v>2016</v>
      </c>
      <c r="I431" t="s">
        <v>2017</v>
      </c>
      <c r="J431" t="s">
        <v>2018</v>
      </c>
      <c r="K431" t="s">
        <v>2018</v>
      </c>
      <c r="L431" t="s">
        <v>2018</v>
      </c>
      <c r="N431" t="s">
        <v>1031</v>
      </c>
      <c r="O431" t="s">
        <v>121</v>
      </c>
      <c r="R431" t="s">
        <v>139</v>
      </c>
      <c r="S431" t="s">
        <v>140</v>
      </c>
      <c r="T431" t="s">
        <v>163</v>
      </c>
      <c r="U431" t="s">
        <v>381</v>
      </c>
      <c r="V431" t="s">
        <v>143</v>
      </c>
      <c r="W431" t="s">
        <v>67</v>
      </c>
      <c r="X431" t="s">
        <v>144</v>
      </c>
      <c r="Y431">
        <v>0</v>
      </c>
      <c r="AA431" t="s">
        <v>2019</v>
      </c>
      <c r="BN431">
        <v>0</v>
      </c>
    </row>
    <row r="432" spans="1:92" x14ac:dyDescent="0.2">
      <c r="A432" t="s">
        <v>111</v>
      </c>
      <c r="B432" t="b">
        <v>1</v>
      </c>
      <c r="C432" t="s">
        <v>146</v>
      </c>
      <c r="E432">
        <v>429</v>
      </c>
      <c r="F432" t="str">
        <f>HYPERLINK("https://portal.dnb.de/opac.htm?method=simpleSearch&amp;cqlMode=true&amp;query=idn%3D1066969884", "Portal")</f>
        <v>Portal</v>
      </c>
      <c r="G432" t="s">
        <v>133</v>
      </c>
      <c r="H432" t="s">
        <v>2020</v>
      </c>
      <c r="I432" t="s">
        <v>2021</v>
      </c>
      <c r="J432" t="s">
        <v>2022</v>
      </c>
      <c r="K432" t="s">
        <v>2022</v>
      </c>
      <c r="L432" t="s">
        <v>2022</v>
      </c>
      <c r="N432" t="s">
        <v>2023</v>
      </c>
      <c r="O432" t="s">
        <v>121</v>
      </c>
      <c r="P432" t="s">
        <v>138</v>
      </c>
      <c r="Q432" t="s">
        <v>2024</v>
      </c>
      <c r="R432" t="s">
        <v>180</v>
      </c>
      <c r="S432" t="s">
        <v>140</v>
      </c>
      <c r="T432" t="s">
        <v>141</v>
      </c>
      <c r="U432" t="s">
        <v>243</v>
      </c>
      <c r="W432" t="s">
        <v>67</v>
      </c>
      <c r="X432" t="s">
        <v>144</v>
      </c>
      <c r="Y432">
        <v>2</v>
      </c>
      <c r="AI432" t="s">
        <v>145</v>
      </c>
      <c r="AK432" t="s">
        <v>146</v>
      </c>
      <c r="AM432" t="s">
        <v>147</v>
      </c>
      <c r="AS432" t="s">
        <v>148</v>
      </c>
      <c r="BC432" t="s">
        <v>287</v>
      </c>
      <c r="BD432" t="s">
        <v>146</v>
      </c>
      <c r="BG432">
        <v>110</v>
      </c>
      <c r="BM432" t="s">
        <v>213</v>
      </c>
      <c r="BN432">
        <v>1</v>
      </c>
      <c r="BP432" t="s">
        <v>152</v>
      </c>
      <c r="BZ432" t="s">
        <v>2025</v>
      </c>
      <c r="CB432" t="s">
        <v>146</v>
      </c>
      <c r="CM432">
        <v>1</v>
      </c>
      <c r="CN432" t="s">
        <v>2026</v>
      </c>
    </row>
    <row r="433" spans="1:92" x14ac:dyDescent="0.2">
      <c r="A433" t="s">
        <v>111</v>
      </c>
      <c r="B433" t="b">
        <v>1</v>
      </c>
      <c r="C433" t="s">
        <v>146</v>
      </c>
      <c r="E433">
        <v>430</v>
      </c>
      <c r="F433" t="str">
        <f>HYPERLINK("https://portal.dnb.de/opac.htm?method=simpleSearch&amp;cqlMode=true&amp;query=idn%3D1066957983", "Portal")</f>
        <v>Portal</v>
      </c>
      <c r="G433" t="s">
        <v>133</v>
      </c>
      <c r="H433" t="s">
        <v>2027</v>
      </c>
      <c r="I433" t="s">
        <v>2028</v>
      </c>
      <c r="J433" t="s">
        <v>2029</v>
      </c>
      <c r="K433" t="s">
        <v>2029</v>
      </c>
      <c r="L433" t="s">
        <v>2029</v>
      </c>
      <c r="N433" t="s">
        <v>2030</v>
      </c>
      <c r="O433" t="s">
        <v>121</v>
      </c>
      <c r="P433" t="s">
        <v>138</v>
      </c>
      <c r="Q433" t="s">
        <v>1199</v>
      </c>
      <c r="R433" t="s">
        <v>180</v>
      </c>
      <c r="S433" t="s">
        <v>140</v>
      </c>
      <c r="T433" t="s">
        <v>141</v>
      </c>
      <c r="U433" t="s">
        <v>1701</v>
      </c>
      <c r="V433" t="s">
        <v>143</v>
      </c>
      <c r="W433" t="s">
        <v>67</v>
      </c>
      <c r="X433" t="s">
        <v>144</v>
      </c>
      <c r="Y433">
        <v>3</v>
      </c>
      <c r="AI433" t="s">
        <v>182</v>
      </c>
      <c r="AK433" t="s">
        <v>146</v>
      </c>
      <c r="AM433" t="s">
        <v>313</v>
      </c>
      <c r="AS433" t="s">
        <v>148</v>
      </c>
      <c r="BC433" t="s">
        <v>166</v>
      </c>
      <c r="BD433" t="s">
        <v>146</v>
      </c>
      <c r="BG433">
        <v>45</v>
      </c>
      <c r="BM433" t="s">
        <v>213</v>
      </c>
      <c r="BN433">
        <v>1.5</v>
      </c>
      <c r="BP433" t="s">
        <v>152</v>
      </c>
      <c r="BZ433" t="s">
        <v>146</v>
      </c>
      <c r="CA433" t="s">
        <v>146</v>
      </c>
      <c r="CB433" t="s">
        <v>146</v>
      </c>
      <c r="CM433">
        <v>1.5</v>
      </c>
      <c r="CN433" t="s">
        <v>2031</v>
      </c>
    </row>
    <row r="434" spans="1:92" x14ac:dyDescent="0.2">
      <c r="A434" t="s">
        <v>111</v>
      </c>
      <c r="B434" t="b">
        <v>1</v>
      </c>
      <c r="E434">
        <v>431</v>
      </c>
      <c r="F434" t="str">
        <f>HYPERLINK("https://portal.dnb.de/opac.htm?method=simpleSearch&amp;cqlMode=true&amp;query=idn%3D1066973202", "Portal")</f>
        <v>Portal</v>
      </c>
      <c r="G434" t="s">
        <v>133</v>
      </c>
      <c r="H434" t="s">
        <v>2032</v>
      </c>
      <c r="I434" t="s">
        <v>2033</v>
      </c>
      <c r="J434" t="s">
        <v>2034</v>
      </c>
      <c r="K434" t="s">
        <v>2034</v>
      </c>
      <c r="L434" t="s">
        <v>2034</v>
      </c>
      <c r="N434" t="s">
        <v>2035</v>
      </c>
      <c r="O434" t="s">
        <v>121</v>
      </c>
      <c r="P434" t="s">
        <v>146</v>
      </c>
      <c r="R434" t="s">
        <v>161</v>
      </c>
      <c r="S434" t="s">
        <v>189</v>
      </c>
      <c r="T434" t="s">
        <v>163</v>
      </c>
      <c r="U434" t="s">
        <v>172</v>
      </c>
      <c r="W434" t="s">
        <v>67</v>
      </c>
      <c r="X434" t="s">
        <v>144</v>
      </c>
      <c r="Y434">
        <v>0</v>
      </c>
      <c r="BN434">
        <v>0</v>
      </c>
    </row>
    <row r="435" spans="1:92" x14ac:dyDescent="0.2">
      <c r="A435" t="s">
        <v>111</v>
      </c>
      <c r="B435" t="b">
        <v>1</v>
      </c>
      <c r="E435">
        <v>432</v>
      </c>
      <c r="F435" t="str">
        <f>HYPERLINK("https://portal.dnb.de/opac.htm?method=simpleSearch&amp;cqlMode=true&amp;query=idn%3D1066967369", "Portal")</f>
        <v>Portal</v>
      </c>
      <c r="G435" t="s">
        <v>115</v>
      </c>
      <c r="H435" t="s">
        <v>2036</v>
      </c>
      <c r="I435" t="s">
        <v>2037</v>
      </c>
      <c r="J435" t="s">
        <v>2038</v>
      </c>
      <c r="K435" t="s">
        <v>2038</v>
      </c>
      <c r="L435" t="s">
        <v>2038</v>
      </c>
      <c r="N435" t="s">
        <v>2039</v>
      </c>
      <c r="O435" t="s">
        <v>121</v>
      </c>
      <c r="R435" t="s">
        <v>171</v>
      </c>
      <c r="S435" t="s">
        <v>140</v>
      </c>
      <c r="T435" t="s">
        <v>163</v>
      </c>
      <c r="U435" t="s">
        <v>172</v>
      </c>
      <c r="W435" t="s">
        <v>67</v>
      </c>
      <c r="X435" t="s">
        <v>144</v>
      </c>
      <c r="Y435">
        <v>0</v>
      </c>
      <c r="BN435">
        <v>0</v>
      </c>
    </row>
    <row r="436" spans="1:92" x14ac:dyDescent="0.2">
      <c r="A436" t="s">
        <v>111</v>
      </c>
      <c r="B436" t="b">
        <v>0</v>
      </c>
      <c r="F436" t="str">
        <f>HYPERLINK("https://portal.dnb.de/opac.htm?method=simpleSearch&amp;cqlMode=true&amp;query=idn%3D", "Portal")</f>
        <v>Portal</v>
      </c>
      <c r="L436" t="s">
        <v>2040</v>
      </c>
      <c r="R436" t="s">
        <v>180</v>
      </c>
      <c r="S436" t="s">
        <v>140</v>
      </c>
      <c r="W436" t="s">
        <v>67</v>
      </c>
      <c r="X436" t="s">
        <v>144</v>
      </c>
      <c r="BN436">
        <v>0</v>
      </c>
    </row>
    <row r="437" spans="1:92" x14ac:dyDescent="0.2">
      <c r="A437" t="s">
        <v>111</v>
      </c>
      <c r="B437" t="b">
        <v>1</v>
      </c>
      <c r="E437">
        <v>433</v>
      </c>
      <c r="F437" t="str">
        <f>HYPERLINK("https://portal.dnb.de/opac.htm?method=simpleSearch&amp;cqlMode=true&amp;query=idn%3D1066970068", "Portal")</f>
        <v>Portal</v>
      </c>
      <c r="G437" t="s">
        <v>115</v>
      </c>
      <c r="H437" t="s">
        <v>2041</v>
      </c>
      <c r="I437" t="s">
        <v>2042</v>
      </c>
      <c r="J437" t="s">
        <v>2043</v>
      </c>
      <c r="K437" t="s">
        <v>2043</v>
      </c>
      <c r="L437" t="s">
        <v>2043</v>
      </c>
      <c r="N437" t="s">
        <v>276</v>
      </c>
      <c r="O437" t="s">
        <v>121</v>
      </c>
      <c r="P437" t="s">
        <v>146</v>
      </c>
      <c r="R437" t="s">
        <v>161</v>
      </c>
      <c r="S437" t="s">
        <v>140</v>
      </c>
      <c r="T437" t="s">
        <v>163</v>
      </c>
      <c r="U437" t="s">
        <v>1183</v>
      </c>
      <c r="V437" t="s">
        <v>143</v>
      </c>
      <c r="W437" t="s">
        <v>67</v>
      </c>
      <c r="X437" t="s">
        <v>144</v>
      </c>
      <c r="Y437">
        <v>3</v>
      </c>
      <c r="BN437">
        <v>0</v>
      </c>
    </row>
    <row r="438" spans="1:92" x14ac:dyDescent="0.2">
      <c r="A438" t="s">
        <v>111</v>
      </c>
      <c r="B438" t="b">
        <v>1</v>
      </c>
      <c r="E438">
        <v>434</v>
      </c>
      <c r="F438" t="str">
        <f>HYPERLINK("https://portal.dnb.de/opac.htm?method=simpleSearch&amp;cqlMode=true&amp;query=idn%3D1066971463", "Portal")</f>
        <v>Portal</v>
      </c>
      <c r="G438" t="s">
        <v>115</v>
      </c>
      <c r="H438" t="s">
        <v>2044</v>
      </c>
      <c r="I438" t="s">
        <v>2045</v>
      </c>
      <c r="J438" t="s">
        <v>2046</v>
      </c>
      <c r="K438" t="s">
        <v>2046</v>
      </c>
      <c r="L438" t="s">
        <v>2046</v>
      </c>
      <c r="N438" t="s">
        <v>2047</v>
      </c>
      <c r="O438" t="s">
        <v>121</v>
      </c>
      <c r="R438" t="s">
        <v>180</v>
      </c>
      <c r="S438" t="s">
        <v>140</v>
      </c>
      <c r="T438" t="s">
        <v>471</v>
      </c>
      <c r="U438" t="s">
        <v>805</v>
      </c>
      <c r="V438" t="s">
        <v>143</v>
      </c>
      <c r="W438" t="s">
        <v>67</v>
      </c>
      <c r="X438" t="s">
        <v>144</v>
      </c>
      <c r="Y438">
        <v>2</v>
      </c>
      <c r="BN438">
        <v>0</v>
      </c>
    </row>
    <row r="439" spans="1:92" x14ac:dyDescent="0.2">
      <c r="A439" t="s">
        <v>111</v>
      </c>
      <c r="B439" t="b">
        <v>1</v>
      </c>
      <c r="E439">
        <v>435</v>
      </c>
      <c r="F439" t="str">
        <f>HYPERLINK("https://portal.dnb.de/opac.htm?method=simpleSearch&amp;cqlMode=true&amp;query=idn%3D1066967563", "Portal")</f>
        <v>Portal</v>
      </c>
      <c r="G439" t="s">
        <v>115</v>
      </c>
      <c r="H439" t="s">
        <v>2048</v>
      </c>
      <c r="I439" t="s">
        <v>2049</v>
      </c>
      <c r="J439" t="s">
        <v>2050</v>
      </c>
      <c r="K439" t="s">
        <v>2050</v>
      </c>
      <c r="L439" t="s">
        <v>2050</v>
      </c>
      <c r="N439" t="s">
        <v>577</v>
      </c>
      <c r="O439" t="s">
        <v>121</v>
      </c>
      <c r="P439" t="s">
        <v>146</v>
      </c>
      <c r="R439" t="s">
        <v>180</v>
      </c>
      <c r="S439" t="s">
        <v>140</v>
      </c>
      <c r="T439" t="s">
        <v>163</v>
      </c>
      <c r="U439" t="s">
        <v>712</v>
      </c>
      <c r="V439" t="s">
        <v>143</v>
      </c>
      <c r="W439" t="s">
        <v>67</v>
      </c>
      <c r="X439" t="s">
        <v>144</v>
      </c>
      <c r="Y439">
        <v>3</v>
      </c>
      <c r="BN439">
        <v>0</v>
      </c>
    </row>
    <row r="440" spans="1:92" x14ac:dyDescent="0.2">
      <c r="A440" t="s">
        <v>111</v>
      </c>
      <c r="B440" t="b">
        <v>1</v>
      </c>
      <c r="C440" t="s">
        <v>146</v>
      </c>
      <c r="E440">
        <v>436</v>
      </c>
      <c r="F440" t="str">
        <f>HYPERLINK("https://portal.dnb.de/opac.htm?method=simpleSearch&amp;cqlMode=true&amp;query=idn%3D1066967970", "Portal")</f>
        <v>Portal</v>
      </c>
      <c r="G440" t="s">
        <v>133</v>
      </c>
      <c r="H440" t="s">
        <v>2051</v>
      </c>
      <c r="I440" t="s">
        <v>2052</v>
      </c>
      <c r="J440" t="s">
        <v>2053</v>
      </c>
      <c r="K440" t="s">
        <v>2053</v>
      </c>
      <c r="L440" t="s">
        <v>2053</v>
      </c>
      <c r="N440" t="s">
        <v>128</v>
      </c>
      <c r="O440" t="s">
        <v>121</v>
      </c>
      <c r="P440" t="s">
        <v>138</v>
      </c>
      <c r="Q440" t="s">
        <v>2054</v>
      </c>
      <c r="R440" t="s">
        <v>180</v>
      </c>
      <c r="S440" t="s">
        <v>140</v>
      </c>
      <c r="T440" t="s">
        <v>163</v>
      </c>
      <c r="U440" t="s">
        <v>1701</v>
      </c>
      <c r="V440" t="s">
        <v>143</v>
      </c>
      <c r="W440" t="s">
        <v>67</v>
      </c>
      <c r="X440" t="s">
        <v>144</v>
      </c>
      <c r="Y440">
        <v>3</v>
      </c>
      <c r="AI440" t="s">
        <v>182</v>
      </c>
      <c r="AK440" t="s">
        <v>146</v>
      </c>
      <c r="AM440" t="s">
        <v>313</v>
      </c>
      <c r="AS440" t="s">
        <v>148</v>
      </c>
      <c r="BC440" t="s">
        <v>166</v>
      </c>
      <c r="BD440" t="s">
        <v>146</v>
      </c>
      <c r="BG440">
        <v>60</v>
      </c>
      <c r="BM440" t="s">
        <v>213</v>
      </c>
      <c r="BN440">
        <v>6.5</v>
      </c>
      <c r="BP440" t="s">
        <v>152</v>
      </c>
      <c r="BZ440" t="s">
        <v>146</v>
      </c>
      <c r="CA440" t="s">
        <v>146</v>
      </c>
      <c r="CB440" t="s">
        <v>146</v>
      </c>
      <c r="CD440" t="s">
        <v>202</v>
      </c>
      <c r="CM440">
        <v>6.5</v>
      </c>
      <c r="CN440" t="s">
        <v>2055</v>
      </c>
    </row>
    <row r="441" spans="1:92" x14ac:dyDescent="0.2">
      <c r="A441" t="s">
        <v>111</v>
      </c>
      <c r="B441" t="b">
        <v>1</v>
      </c>
      <c r="E441">
        <v>437</v>
      </c>
      <c r="F441" t="str">
        <f>HYPERLINK("https://portal.dnb.de/opac.htm?method=simpleSearch&amp;cqlMode=true&amp;query=idn%3D1066971072", "Portal")</f>
        <v>Portal</v>
      </c>
      <c r="G441" t="s">
        <v>115</v>
      </c>
      <c r="H441" t="s">
        <v>2056</v>
      </c>
      <c r="I441" t="s">
        <v>2057</v>
      </c>
      <c r="J441" t="s">
        <v>2058</v>
      </c>
      <c r="K441" t="s">
        <v>2058</v>
      </c>
      <c r="L441" t="s">
        <v>2058</v>
      </c>
      <c r="N441" t="s">
        <v>2059</v>
      </c>
      <c r="O441" t="s">
        <v>121</v>
      </c>
      <c r="R441" t="s">
        <v>161</v>
      </c>
      <c r="S441" t="s">
        <v>189</v>
      </c>
      <c r="T441" t="s">
        <v>163</v>
      </c>
      <c r="U441" t="s">
        <v>824</v>
      </c>
      <c r="W441" t="s">
        <v>67</v>
      </c>
      <c r="X441" t="s">
        <v>144</v>
      </c>
      <c r="Y441">
        <v>3</v>
      </c>
      <c r="BN441">
        <v>0</v>
      </c>
    </row>
    <row r="442" spans="1:92" x14ac:dyDescent="0.2">
      <c r="A442" t="s">
        <v>111</v>
      </c>
      <c r="B442" t="b">
        <v>1</v>
      </c>
      <c r="C442" t="s">
        <v>146</v>
      </c>
      <c r="E442">
        <v>438</v>
      </c>
      <c r="F442" t="str">
        <f>HYPERLINK("https://portal.dnb.de/opac.htm?method=simpleSearch&amp;cqlMode=true&amp;query=idn%3D1166155838", "Portal")</f>
        <v>Portal</v>
      </c>
      <c r="G442" t="s">
        <v>539</v>
      </c>
      <c r="H442" t="s">
        <v>2060</v>
      </c>
      <c r="I442" t="s">
        <v>2061</v>
      </c>
      <c r="J442" t="s">
        <v>2062</v>
      </c>
      <c r="K442" t="s">
        <v>2062</v>
      </c>
      <c r="L442" t="s">
        <v>2062</v>
      </c>
      <c r="N442" t="s">
        <v>631</v>
      </c>
      <c r="O442" t="s">
        <v>2063</v>
      </c>
      <c r="P442" t="s">
        <v>146</v>
      </c>
      <c r="Q442" t="s">
        <v>2064</v>
      </c>
      <c r="R442" t="s">
        <v>1143</v>
      </c>
      <c r="S442" t="s">
        <v>140</v>
      </c>
      <c r="T442" t="s">
        <v>163</v>
      </c>
      <c r="U442" t="s">
        <v>1813</v>
      </c>
      <c r="V442" t="s">
        <v>143</v>
      </c>
      <c r="W442" t="s">
        <v>67</v>
      </c>
      <c r="X442" t="s">
        <v>144</v>
      </c>
      <c r="Y442">
        <v>0</v>
      </c>
      <c r="AI442" t="s">
        <v>182</v>
      </c>
      <c r="AK442" t="s">
        <v>146</v>
      </c>
      <c r="AM442" t="s">
        <v>313</v>
      </c>
      <c r="AS442" t="s">
        <v>148</v>
      </c>
      <c r="BC442" t="s">
        <v>166</v>
      </c>
      <c r="BD442" t="s">
        <v>146</v>
      </c>
      <c r="BG442">
        <v>60</v>
      </c>
      <c r="BM442" t="s">
        <v>213</v>
      </c>
      <c r="BN442">
        <v>0.5</v>
      </c>
      <c r="BP442" t="s">
        <v>152</v>
      </c>
      <c r="BZ442" t="s">
        <v>1661</v>
      </c>
      <c r="CA442" t="s">
        <v>146</v>
      </c>
      <c r="CB442" t="s">
        <v>146</v>
      </c>
      <c r="CM442">
        <v>0.5</v>
      </c>
      <c r="CN442" t="s">
        <v>1662</v>
      </c>
    </row>
    <row r="443" spans="1:92" x14ac:dyDescent="0.2">
      <c r="A443" t="s">
        <v>111</v>
      </c>
      <c r="B443" t="b">
        <v>1</v>
      </c>
      <c r="C443" t="s">
        <v>146</v>
      </c>
      <c r="E443">
        <v>439</v>
      </c>
      <c r="F443" t="str">
        <f>HYPERLINK("https://portal.dnb.de/opac.htm?method=simpleSearch&amp;cqlMode=true&amp;query=idn%3D1066964882", "Portal")</f>
        <v>Portal</v>
      </c>
      <c r="G443" t="s">
        <v>133</v>
      </c>
      <c r="H443" t="s">
        <v>2065</v>
      </c>
      <c r="I443" t="s">
        <v>2066</v>
      </c>
      <c r="J443" t="s">
        <v>2067</v>
      </c>
      <c r="K443" t="s">
        <v>2067</v>
      </c>
      <c r="L443" t="s">
        <v>2067</v>
      </c>
      <c r="N443" t="s">
        <v>2068</v>
      </c>
      <c r="O443" t="s">
        <v>121</v>
      </c>
      <c r="P443" t="s">
        <v>138</v>
      </c>
      <c r="Q443" t="s">
        <v>2069</v>
      </c>
      <c r="R443" t="s">
        <v>180</v>
      </c>
      <c r="S443" t="s">
        <v>140</v>
      </c>
      <c r="T443" t="s">
        <v>163</v>
      </c>
      <c r="U443" t="s">
        <v>2070</v>
      </c>
      <c r="W443" t="s">
        <v>67</v>
      </c>
      <c r="X443" t="s">
        <v>144</v>
      </c>
      <c r="Y443">
        <v>1</v>
      </c>
      <c r="AI443" t="s">
        <v>182</v>
      </c>
      <c r="AK443" t="s">
        <v>146</v>
      </c>
      <c r="AM443" t="s">
        <v>313</v>
      </c>
      <c r="AS443" t="s">
        <v>148</v>
      </c>
      <c r="BE443">
        <v>0</v>
      </c>
      <c r="BF443" t="s">
        <v>146</v>
      </c>
      <c r="BG443">
        <v>60</v>
      </c>
      <c r="BM443" t="s">
        <v>213</v>
      </c>
      <c r="BN443">
        <v>0.5</v>
      </c>
      <c r="BP443" t="s">
        <v>152</v>
      </c>
      <c r="BZ443" t="s">
        <v>1661</v>
      </c>
      <c r="CA443" t="s">
        <v>146</v>
      </c>
      <c r="CB443" t="s">
        <v>146</v>
      </c>
      <c r="CM443">
        <v>0.5</v>
      </c>
      <c r="CN443" t="s">
        <v>1662</v>
      </c>
    </row>
    <row r="444" spans="1:92" x14ac:dyDescent="0.2">
      <c r="A444" t="s">
        <v>111</v>
      </c>
      <c r="B444" t="b">
        <v>1</v>
      </c>
      <c r="F444" t="str">
        <f>HYPERLINK("https://portal.dnb.de/opac.htm?method=simpleSearch&amp;cqlMode=true&amp;query=idn%3D1268961639", "Portal")</f>
        <v>Portal</v>
      </c>
      <c r="G444" t="s">
        <v>300</v>
      </c>
      <c r="H444" t="s">
        <v>2071</v>
      </c>
      <c r="I444" t="s">
        <v>2072</v>
      </c>
      <c r="J444" t="s">
        <v>2073</v>
      </c>
      <c r="K444" t="s">
        <v>2073</v>
      </c>
      <c r="L444" t="s">
        <v>2073</v>
      </c>
      <c r="N444" t="s">
        <v>2074</v>
      </c>
      <c r="O444" t="s">
        <v>121</v>
      </c>
      <c r="R444" t="s">
        <v>180</v>
      </c>
      <c r="S444" t="s">
        <v>140</v>
      </c>
      <c r="T444" t="s">
        <v>163</v>
      </c>
      <c r="U444" t="s">
        <v>142</v>
      </c>
      <c r="V444" t="s">
        <v>143</v>
      </c>
      <c r="W444" t="s">
        <v>67</v>
      </c>
      <c r="X444" t="s">
        <v>144</v>
      </c>
      <c r="Y444">
        <v>0</v>
      </c>
      <c r="BN444">
        <v>0</v>
      </c>
    </row>
    <row r="445" spans="1:92" x14ac:dyDescent="0.2">
      <c r="A445" t="s">
        <v>111</v>
      </c>
      <c r="B445" t="b">
        <v>1</v>
      </c>
      <c r="C445" t="s">
        <v>146</v>
      </c>
      <c r="E445">
        <v>440</v>
      </c>
      <c r="F445" t="str">
        <f>HYPERLINK("https://portal.dnb.de/opac.htm?method=simpleSearch&amp;cqlMode=true&amp;query=idn%3D1066963428", "Portal")</f>
        <v>Portal</v>
      </c>
      <c r="G445" t="s">
        <v>133</v>
      </c>
      <c r="H445" t="s">
        <v>2075</v>
      </c>
      <c r="I445" t="s">
        <v>2076</v>
      </c>
      <c r="J445" t="s">
        <v>2077</v>
      </c>
      <c r="K445" t="s">
        <v>2077</v>
      </c>
      <c r="L445" t="s">
        <v>2077</v>
      </c>
      <c r="N445" t="s">
        <v>1292</v>
      </c>
      <c r="O445" t="s">
        <v>121</v>
      </c>
      <c r="P445" t="s">
        <v>138</v>
      </c>
      <c r="Q445" t="s">
        <v>1894</v>
      </c>
      <c r="R445" t="s">
        <v>180</v>
      </c>
      <c r="S445" t="s">
        <v>189</v>
      </c>
      <c r="T445" t="s">
        <v>163</v>
      </c>
      <c r="U445" t="s">
        <v>445</v>
      </c>
      <c r="V445" t="s">
        <v>143</v>
      </c>
      <c r="W445" t="s">
        <v>67</v>
      </c>
      <c r="X445" t="s">
        <v>144</v>
      </c>
      <c r="Y445">
        <v>1</v>
      </c>
      <c r="AI445" t="s">
        <v>145</v>
      </c>
      <c r="AK445" t="s">
        <v>146</v>
      </c>
      <c r="AM445" t="s">
        <v>313</v>
      </c>
      <c r="AS445" t="s">
        <v>148</v>
      </c>
      <c r="BG445">
        <v>0</v>
      </c>
      <c r="BH445" t="s">
        <v>2078</v>
      </c>
      <c r="BM445" t="s">
        <v>918</v>
      </c>
      <c r="BN445">
        <v>1.5</v>
      </c>
      <c r="BP445" t="s">
        <v>152</v>
      </c>
      <c r="BZ445" t="s">
        <v>146</v>
      </c>
      <c r="CA445" t="s">
        <v>146</v>
      </c>
      <c r="CB445" t="s">
        <v>146</v>
      </c>
      <c r="CD445" t="s">
        <v>202</v>
      </c>
      <c r="CE445">
        <v>1</v>
      </c>
      <c r="CM445">
        <v>1.5</v>
      </c>
      <c r="CN445" t="s">
        <v>2079</v>
      </c>
    </row>
    <row r="446" spans="1:92" x14ac:dyDescent="0.2">
      <c r="A446" t="s">
        <v>111</v>
      </c>
      <c r="B446" t="b">
        <v>1</v>
      </c>
      <c r="E446">
        <v>442</v>
      </c>
      <c r="F446" t="str">
        <f>HYPERLINK("https://portal.dnb.de/opac.htm?method=simpleSearch&amp;cqlMode=true&amp;query=idn%3D1066968187", "Portal")</f>
        <v>Portal</v>
      </c>
      <c r="G446" t="s">
        <v>133</v>
      </c>
      <c r="H446" t="s">
        <v>2080</v>
      </c>
      <c r="I446" t="s">
        <v>2081</v>
      </c>
      <c r="J446" t="s">
        <v>2082</v>
      </c>
      <c r="K446" t="s">
        <v>2082</v>
      </c>
      <c r="L446" t="s">
        <v>2082</v>
      </c>
      <c r="N446" t="s">
        <v>2083</v>
      </c>
      <c r="O446" t="s">
        <v>121</v>
      </c>
      <c r="P446" t="s">
        <v>138</v>
      </c>
      <c r="R446" t="s">
        <v>347</v>
      </c>
      <c r="S446" t="s">
        <v>189</v>
      </c>
      <c r="T446" t="s">
        <v>141</v>
      </c>
      <c r="U446" t="s">
        <v>886</v>
      </c>
      <c r="W446" t="s">
        <v>67</v>
      </c>
      <c r="X446" t="s">
        <v>144</v>
      </c>
      <c r="Y446">
        <v>0</v>
      </c>
      <c r="BN446">
        <v>0</v>
      </c>
    </row>
    <row r="447" spans="1:92" x14ac:dyDescent="0.2">
      <c r="A447" t="s">
        <v>111</v>
      </c>
      <c r="B447" t="b">
        <v>1</v>
      </c>
      <c r="E447">
        <v>443</v>
      </c>
      <c r="F447" t="str">
        <f>HYPERLINK("https://portal.dnb.de/opac.htm?method=simpleSearch&amp;cqlMode=true&amp;query=idn%3D1066972060", "Portal")</f>
        <v>Portal</v>
      </c>
      <c r="G447" t="s">
        <v>115</v>
      </c>
      <c r="H447" t="s">
        <v>2084</v>
      </c>
      <c r="I447" t="s">
        <v>2085</v>
      </c>
      <c r="J447" t="s">
        <v>2086</v>
      </c>
      <c r="K447" t="s">
        <v>2086</v>
      </c>
      <c r="L447" t="s">
        <v>2086</v>
      </c>
      <c r="N447" t="s">
        <v>694</v>
      </c>
      <c r="O447" t="s">
        <v>121</v>
      </c>
      <c r="P447" t="s">
        <v>138</v>
      </c>
      <c r="R447" t="s">
        <v>161</v>
      </c>
      <c r="S447" t="s">
        <v>140</v>
      </c>
      <c r="T447" t="s">
        <v>163</v>
      </c>
      <c r="U447" t="s">
        <v>1599</v>
      </c>
      <c r="V447" t="s">
        <v>143</v>
      </c>
      <c r="W447" t="s">
        <v>67</v>
      </c>
      <c r="X447" t="s">
        <v>144</v>
      </c>
      <c r="BN447">
        <v>0</v>
      </c>
    </row>
    <row r="448" spans="1:92" x14ac:dyDescent="0.2">
      <c r="A448" t="s">
        <v>111</v>
      </c>
      <c r="B448" t="b">
        <v>1</v>
      </c>
      <c r="F448" t="str">
        <f>HYPERLINK("https://portal.dnb.de/opac.htm?method=simpleSearch&amp;cqlMode=true&amp;query=idn%3D1268950041", "Portal")</f>
        <v>Portal</v>
      </c>
      <c r="G448" t="s">
        <v>300</v>
      </c>
      <c r="H448" t="s">
        <v>2087</v>
      </c>
      <c r="I448" t="s">
        <v>2088</v>
      </c>
      <c r="J448" t="s">
        <v>2089</v>
      </c>
      <c r="K448" t="s">
        <v>2089</v>
      </c>
      <c r="L448" t="s">
        <v>2089</v>
      </c>
      <c r="N448" t="s">
        <v>2090</v>
      </c>
      <c r="O448" t="s">
        <v>121</v>
      </c>
      <c r="R448" t="s">
        <v>180</v>
      </c>
      <c r="S448" t="s">
        <v>140</v>
      </c>
      <c r="T448" t="s">
        <v>471</v>
      </c>
      <c r="U448" t="s">
        <v>164</v>
      </c>
      <c r="V448" t="s">
        <v>143</v>
      </c>
      <c r="W448" t="s">
        <v>67</v>
      </c>
      <c r="X448" t="s">
        <v>144</v>
      </c>
      <c r="Y448">
        <v>0</v>
      </c>
      <c r="BN448">
        <v>0</v>
      </c>
    </row>
    <row r="449" spans="1:92" x14ac:dyDescent="0.2">
      <c r="A449" t="s">
        <v>111</v>
      </c>
      <c r="B449" t="b">
        <v>0</v>
      </c>
      <c r="F449" t="str">
        <f>HYPERLINK("https://portal.dnb.de/opac.htm?method=simpleSearch&amp;cqlMode=true&amp;query=idn%3D", "Portal")</f>
        <v>Portal</v>
      </c>
      <c r="L449" t="s">
        <v>2091</v>
      </c>
      <c r="W449" t="s">
        <v>67</v>
      </c>
      <c r="X449" t="s">
        <v>144</v>
      </c>
      <c r="Z449" t="s">
        <v>2092</v>
      </c>
      <c r="BN449">
        <v>0</v>
      </c>
    </row>
    <row r="450" spans="1:92" x14ac:dyDescent="0.2">
      <c r="A450" t="s">
        <v>111</v>
      </c>
      <c r="B450" t="b">
        <v>1</v>
      </c>
      <c r="E450">
        <v>446</v>
      </c>
      <c r="F450" t="str">
        <f>HYPERLINK("https://portal.dnb.de/opac.htm?method=simpleSearch&amp;cqlMode=true&amp;query=idn%3D1066968381", "Portal")</f>
        <v>Portal</v>
      </c>
      <c r="G450" t="s">
        <v>133</v>
      </c>
      <c r="H450" t="s">
        <v>2093</v>
      </c>
      <c r="I450" t="s">
        <v>2094</v>
      </c>
      <c r="J450" t="s">
        <v>2091</v>
      </c>
      <c r="K450" t="s">
        <v>2091</v>
      </c>
      <c r="L450" t="s">
        <v>2091</v>
      </c>
      <c r="N450" t="s">
        <v>2095</v>
      </c>
      <c r="O450" t="s">
        <v>121</v>
      </c>
      <c r="P450" t="s">
        <v>146</v>
      </c>
      <c r="R450" t="s">
        <v>180</v>
      </c>
      <c r="S450" t="s">
        <v>189</v>
      </c>
      <c r="T450" t="s">
        <v>471</v>
      </c>
      <c r="U450" t="s">
        <v>381</v>
      </c>
      <c r="V450" t="s">
        <v>143</v>
      </c>
      <c r="W450" t="s">
        <v>67</v>
      </c>
      <c r="X450" t="s">
        <v>144</v>
      </c>
      <c r="Y450">
        <v>0</v>
      </c>
      <c r="BN450">
        <v>0</v>
      </c>
    </row>
    <row r="451" spans="1:92" x14ac:dyDescent="0.2">
      <c r="A451" t="s">
        <v>111</v>
      </c>
      <c r="B451" t="b">
        <v>1</v>
      </c>
      <c r="E451">
        <v>447</v>
      </c>
      <c r="F451" t="str">
        <f>HYPERLINK("https://portal.dnb.de/opac.htm?method=simpleSearch&amp;cqlMode=true&amp;query=idn%3D1084610876", "Portal")</f>
        <v>Portal</v>
      </c>
      <c r="G451" t="s">
        <v>115</v>
      </c>
      <c r="H451" t="s">
        <v>2096</v>
      </c>
      <c r="I451" t="s">
        <v>2097</v>
      </c>
      <c r="J451" t="s">
        <v>2098</v>
      </c>
      <c r="K451" t="s">
        <v>2098</v>
      </c>
      <c r="L451" t="s">
        <v>2098</v>
      </c>
      <c r="N451" t="s">
        <v>338</v>
      </c>
      <c r="O451" t="s">
        <v>121</v>
      </c>
      <c r="R451" t="s">
        <v>180</v>
      </c>
      <c r="S451" t="s">
        <v>140</v>
      </c>
      <c r="T451" t="s">
        <v>163</v>
      </c>
      <c r="U451" t="s">
        <v>381</v>
      </c>
      <c r="V451" t="s">
        <v>143</v>
      </c>
      <c r="W451" t="s">
        <v>67</v>
      </c>
      <c r="X451" t="s">
        <v>2099</v>
      </c>
      <c r="Y451">
        <v>0</v>
      </c>
      <c r="BN451">
        <v>0</v>
      </c>
    </row>
    <row r="452" spans="1:92" x14ac:dyDescent="0.2">
      <c r="A452" t="s">
        <v>111</v>
      </c>
      <c r="B452" t="b">
        <v>1</v>
      </c>
      <c r="F452" t="str">
        <f>HYPERLINK("https://portal.dnb.de/opac.htm?method=simpleSearch&amp;cqlMode=true&amp;query=idn%3D1066969248", "Portal")</f>
        <v>Portal</v>
      </c>
      <c r="G452" t="s">
        <v>133</v>
      </c>
      <c r="H452" t="s">
        <v>2100</v>
      </c>
      <c r="I452" t="s">
        <v>2101</v>
      </c>
      <c r="J452" t="s">
        <v>2102</v>
      </c>
      <c r="K452" t="s">
        <v>2102</v>
      </c>
      <c r="L452" t="s">
        <v>2102</v>
      </c>
      <c r="N452" t="s">
        <v>338</v>
      </c>
      <c r="O452" t="s">
        <v>121</v>
      </c>
      <c r="P452" t="s">
        <v>138</v>
      </c>
      <c r="R452" t="s">
        <v>180</v>
      </c>
      <c r="S452" t="s">
        <v>140</v>
      </c>
      <c r="T452" t="s">
        <v>163</v>
      </c>
      <c r="W452" t="s">
        <v>67</v>
      </c>
      <c r="X452" t="s">
        <v>144</v>
      </c>
      <c r="Y452">
        <v>0</v>
      </c>
      <c r="BN452">
        <v>0</v>
      </c>
    </row>
    <row r="453" spans="1:92" x14ac:dyDescent="0.2">
      <c r="A453" t="s">
        <v>111</v>
      </c>
      <c r="B453" t="b">
        <v>1</v>
      </c>
      <c r="E453">
        <v>449</v>
      </c>
      <c r="F453" t="str">
        <f>HYPERLINK("https://portal.dnb.de/opac.htm?method=simpleSearch&amp;cqlMode=true&amp;query=idn%3D1066972249", "Portal")</f>
        <v>Portal</v>
      </c>
      <c r="G453" t="s">
        <v>133</v>
      </c>
      <c r="H453" t="s">
        <v>2103</v>
      </c>
      <c r="I453" t="s">
        <v>2104</v>
      </c>
      <c r="J453" t="s">
        <v>2105</v>
      </c>
      <c r="K453" t="s">
        <v>2105</v>
      </c>
      <c r="L453" t="s">
        <v>2105</v>
      </c>
      <c r="N453" t="s">
        <v>1674</v>
      </c>
      <c r="O453" t="s">
        <v>121</v>
      </c>
      <c r="P453" t="s">
        <v>138</v>
      </c>
      <c r="R453" t="s">
        <v>2106</v>
      </c>
      <c r="S453" t="s">
        <v>140</v>
      </c>
      <c r="T453" t="s">
        <v>141</v>
      </c>
      <c r="U453" t="s">
        <v>386</v>
      </c>
      <c r="W453" t="s">
        <v>67</v>
      </c>
      <c r="X453" t="s">
        <v>144</v>
      </c>
      <c r="Y453">
        <v>2</v>
      </c>
      <c r="BN453">
        <v>0</v>
      </c>
    </row>
    <row r="454" spans="1:92" x14ac:dyDescent="0.2">
      <c r="A454" t="s">
        <v>111</v>
      </c>
      <c r="B454" t="b">
        <v>1</v>
      </c>
      <c r="E454">
        <v>450</v>
      </c>
      <c r="F454" t="str">
        <f>HYPERLINK("https://portal.dnb.de/opac.htm?method=simpleSearch&amp;cqlMode=true&amp;query=idn%3D1066969132", "Portal")</f>
        <v>Portal</v>
      </c>
      <c r="G454" t="s">
        <v>115</v>
      </c>
      <c r="H454" t="s">
        <v>2107</v>
      </c>
      <c r="I454" t="s">
        <v>2108</v>
      </c>
      <c r="J454" t="s">
        <v>2109</v>
      </c>
      <c r="K454" t="s">
        <v>2109</v>
      </c>
      <c r="L454" t="s">
        <v>2109</v>
      </c>
      <c r="N454" t="s">
        <v>1996</v>
      </c>
      <c r="O454" t="s">
        <v>121</v>
      </c>
      <c r="P454" t="s">
        <v>138</v>
      </c>
      <c r="R454" t="s">
        <v>180</v>
      </c>
      <c r="S454" t="s">
        <v>140</v>
      </c>
      <c r="T454" t="s">
        <v>163</v>
      </c>
      <c r="U454" t="s">
        <v>164</v>
      </c>
      <c r="V454" t="s">
        <v>143</v>
      </c>
      <c r="W454" t="s">
        <v>67</v>
      </c>
      <c r="X454" t="s">
        <v>144</v>
      </c>
      <c r="Y454">
        <v>0</v>
      </c>
      <c r="BN454">
        <v>0</v>
      </c>
    </row>
    <row r="455" spans="1:92" x14ac:dyDescent="0.2">
      <c r="A455" t="s">
        <v>111</v>
      </c>
      <c r="B455" t="b">
        <v>1</v>
      </c>
      <c r="E455">
        <v>451</v>
      </c>
      <c r="F455" t="str">
        <f>HYPERLINK("https://portal.dnb.de/opac.htm?method=simpleSearch&amp;cqlMode=true&amp;query=idn%3D1066969434", "Portal")</f>
        <v>Portal</v>
      </c>
      <c r="G455" t="s">
        <v>133</v>
      </c>
      <c r="H455" t="s">
        <v>2110</v>
      </c>
      <c r="I455" t="s">
        <v>2111</v>
      </c>
      <c r="J455" t="s">
        <v>2112</v>
      </c>
      <c r="K455" t="s">
        <v>2112</v>
      </c>
      <c r="L455" t="s">
        <v>2112</v>
      </c>
      <c r="N455" t="s">
        <v>2113</v>
      </c>
      <c r="O455" t="s">
        <v>121</v>
      </c>
      <c r="BN455">
        <v>0</v>
      </c>
    </row>
    <row r="456" spans="1:92" x14ac:dyDescent="0.2">
      <c r="A456" t="s">
        <v>111</v>
      </c>
      <c r="B456" t="b">
        <v>1</v>
      </c>
      <c r="E456">
        <v>452</v>
      </c>
      <c r="F456" t="str">
        <f>HYPERLINK("https://portal.dnb.de/opac.htm?method=simpleSearch&amp;cqlMode=true&amp;query=idn%3D106696601X", "Portal")</f>
        <v>Portal</v>
      </c>
      <c r="G456" t="s">
        <v>115</v>
      </c>
      <c r="H456" t="s">
        <v>2114</v>
      </c>
      <c r="I456" t="s">
        <v>2115</v>
      </c>
      <c r="J456" t="s">
        <v>2116</v>
      </c>
      <c r="K456" t="s">
        <v>2116</v>
      </c>
      <c r="L456" t="s">
        <v>2116</v>
      </c>
      <c r="N456" t="s">
        <v>1466</v>
      </c>
      <c r="O456" t="s">
        <v>121</v>
      </c>
      <c r="P456" t="s">
        <v>138</v>
      </c>
      <c r="R456" t="s">
        <v>161</v>
      </c>
      <c r="S456" t="s">
        <v>140</v>
      </c>
      <c r="T456" t="s">
        <v>163</v>
      </c>
      <c r="U456" t="s">
        <v>164</v>
      </c>
      <c r="V456" t="s">
        <v>143</v>
      </c>
      <c r="W456" t="s">
        <v>67</v>
      </c>
      <c r="X456" t="s">
        <v>144</v>
      </c>
      <c r="Y456">
        <v>1</v>
      </c>
      <c r="BN456">
        <v>0</v>
      </c>
    </row>
    <row r="457" spans="1:92" x14ac:dyDescent="0.2">
      <c r="A457" t="s">
        <v>111</v>
      </c>
      <c r="B457" t="b">
        <v>1</v>
      </c>
      <c r="C457" t="s">
        <v>146</v>
      </c>
      <c r="E457">
        <v>453</v>
      </c>
      <c r="F457" t="str">
        <f>HYPERLINK("https://portal.dnb.de/opac.htm?method=simpleSearch&amp;cqlMode=true&amp;query=idn%3D1066971439", "Portal")</f>
        <v>Portal</v>
      </c>
      <c r="G457" t="s">
        <v>218</v>
      </c>
      <c r="H457" t="s">
        <v>2117</v>
      </c>
      <c r="I457" t="s">
        <v>2118</v>
      </c>
      <c r="J457" t="s">
        <v>2119</v>
      </c>
      <c r="K457" t="s">
        <v>2119</v>
      </c>
      <c r="L457" t="s">
        <v>2119</v>
      </c>
      <c r="N457" t="s">
        <v>1960</v>
      </c>
      <c r="O457" t="s">
        <v>121</v>
      </c>
      <c r="P457" t="s">
        <v>138</v>
      </c>
      <c r="Q457" t="s">
        <v>814</v>
      </c>
      <c r="R457" t="s">
        <v>207</v>
      </c>
      <c r="S457" t="s">
        <v>140</v>
      </c>
      <c r="T457" t="s">
        <v>163</v>
      </c>
      <c r="U457" t="s">
        <v>142</v>
      </c>
      <c r="V457" t="s">
        <v>143</v>
      </c>
      <c r="W457" t="s">
        <v>67</v>
      </c>
      <c r="X457" t="s">
        <v>144</v>
      </c>
      <c r="Y457">
        <v>0</v>
      </c>
      <c r="AI457" t="s">
        <v>165</v>
      </c>
      <c r="AM457" t="s">
        <v>147</v>
      </c>
      <c r="AS457" t="s">
        <v>148</v>
      </c>
      <c r="BC457" t="s">
        <v>166</v>
      </c>
      <c r="BD457" t="s">
        <v>146</v>
      </c>
      <c r="BG457">
        <v>45</v>
      </c>
      <c r="BM457" t="s">
        <v>213</v>
      </c>
      <c r="BN457">
        <v>2</v>
      </c>
      <c r="BP457" t="s">
        <v>152</v>
      </c>
      <c r="BZ457" t="s">
        <v>146</v>
      </c>
      <c r="CA457" t="s">
        <v>146</v>
      </c>
      <c r="CB457" t="s">
        <v>146</v>
      </c>
      <c r="CD457" t="s">
        <v>228</v>
      </c>
      <c r="CM457">
        <v>2</v>
      </c>
      <c r="CN457" t="s">
        <v>2120</v>
      </c>
    </row>
    <row r="458" spans="1:92" x14ac:dyDescent="0.2">
      <c r="A458" t="s">
        <v>111</v>
      </c>
      <c r="B458" t="b">
        <v>1</v>
      </c>
      <c r="E458">
        <v>454</v>
      </c>
      <c r="F458" t="str">
        <f>HYPERLINK("https://portal.dnb.de/opac.htm?method=simpleSearch&amp;cqlMode=true&amp;query=idn%3D1066970092", "Portal")</f>
        <v>Portal</v>
      </c>
      <c r="G458" t="s">
        <v>115</v>
      </c>
      <c r="H458" t="s">
        <v>2121</v>
      </c>
      <c r="I458" t="s">
        <v>2122</v>
      </c>
      <c r="J458" t="s">
        <v>2123</v>
      </c>
      <c r="K458" t="s">
        <v>2123</v>
      </c>
      <c r="L458" t="s">
        <v>2123</v>
      </c>
      <c r="N458" t="s">
        <v>650</v>
      </c>
      <c r="O458" t="s">
        <v>121</v>
      </c>
      <c r="P458" t="s">
        <v>138</v>
      </c>
      <c r="R458" t="s">
        <v>1048</v>
      </c>
      <c r="S458" t="s">
        <v>140</v>
      </c>
      <c r="T458" t="s">
        <v>163</v>
      </c>
      <c r="U458" t="s">
        <v>164</v>
      </c>
      <c r="V458" t="s">
        <v>143</v>
      </c>
      <c r="W458" t="s">
        <v>67</v>
      </c>
      <c r="X458" t="s">
        <v>144</v>
      </c>
      <c r="Y458">
        <v>0</v>
      </c>
      <c r="BN458">
        <v>0</v>
      </c>
    </row>
    <row r="459" spans="1:92" x14ac:dyDescent="0.2">
      <c r="A459" t="s">
        <v>111</v>
      </c>
      <c r="B459" t="b">
        <v>1</v>
      </c>
      <c r="C459" t="s">
        <v>146</v>
      </c>
      <c r="E459">
        <v>455</v>
      </c>
      <c r="F459" t="str">
        <f>HYPERLINK("https://portal.dnb.de/opac.htm?method=simpleSearch&amp;cqlMode=true&amp;query=idn%3D1066970076", "Portal")</f>
        <v>Portal</v>
      </c>
      <c r="G459" t="s">
        <v>115</v>
      </c>
      <c r="H459" t="s">
        <v>2124</v>
      </c>
      <c r="I459" t="s">
        <v>2125</v>
      </c>
      <c r="J459" t="s">
        <v>2126</v>
      </c>
      <c r="K459" t="s">
        <v>2126</v>
      </c>
      <c r="L459" t="s">
        <v>2126</v>
      </c>
      <c r="N459" t="s">
        <v>276</v>
      </c>
      <c r="O459" t="s">
        <v>121</v>
      </c>
      <c r="P459" t="s">
        <v>138</v>
      </c>
      <c r="Q459" t="s">
        <v>2127</v>
      </c>
      <c r="R459" t="s">
        <v>1048</v>
      </c>
      <c r="S459" t="s">
        <v>140</v>
      </c>
      <c r="T459" t="s">
        <v>163</v>
      </c>
      <c r="U459" t="s">
        <v>164</v>
      </c>
      <c r="V459" t="s">
        <v>143</v>
      </c>
      <c r="W459" t="s">
        <v>67</v>
      </c>
      <c r="X459" t="s">
        <v>144</v>
      </c>
      <c r="Y459">
        <v>2</v>
      </c>
      <c r="AI459" t="s">
        <v>518</v>
      </c>
      <c r="AK459" t="s">
        <v>146</v>
      </c>
      <c r="AM459" t="s">
        <v>147</v>
      </c>
      <c r="AS459" t="s">
        <v>148</v>
      </c>
      <c r="BG459">
        <v>60</v>
      </c>
      <c r="BM459" t="s">
        <v>213</v>
      </c>
      <c r="BN459">
        <v>2</v>
      </c>
      <c r="BP459" t="s">
        <v>152</v>
      </c>
      <c r="BZ459" t="s">
        <v>146</v>
      </c>
      <c r="CB459" t="s">
        <v>146</v>
      </c>
      <c r="CD459" t="s">
        <v>202</v>
      </c>
      <c r="CM459">
        <v>2</v>
      </c>
      <c r="CN459" t="s">
        <v>2128</v>
      </c>
    </row>
    <row r="460" spans="1:92" x14ac:dyDescent="0.2">
      <c r="A460" t="s">
        <v>111</v>
      </c>
      <c r="B460" t="b">
        <v>1</v>
      </c>
      <c r="C460" t="s">
        <v>146</v>
      </c>
      <c r="E460">
        <v>456</v>
      </c>
      <c r="F460" t="str">
        <f>HYPERLINK("https://portal.dnb.de/opac.htm?method=simpleSearch&amp;cqlMode=true&amp;query=idn%3D1066967695", "Portal")</f>
        <v>Portal</v>
      </c>
      <c r="G460" t="s">
        <v>133</v>
      </c>
      <c r="H460" t="s">
        <v>2129</v>
      </c>
      <c r="I460" t="s">
        <v>2130</v>
      </c>
      <c r="J460" t="s">
        <v>2131</v>
      </c>
      <c r="K460" t="s">
        <v>2131</v>
      </c>
      <c r="L460" t="s">
        <v>2131</v>
      </c>
      <c r="N460" t="s">
        <v>2132</v>
      </c>
      <c r="O460" t="s">
        <v>121</v>
      </c>
      <c r="P460" t="s">
        <v>138</v>
      </c>
      <c r="Q460" t="s">
        <v>659</v>
      </c>
      <c r="R460" t="s">
        <v>161</v>
      </c>
      <c r="S460" t="s">
        <v>140</v>
      </c>
      <c r="T460" t="s">
        <v>163</v>
      </c>
      <c r="U460" t="s">
        <v>1701</v>
      </c>
      <c r="V460" t="s">
        <v>143</v>
      </c>
      <c r="W460" t="s">
        <v>67</v>
      </c>
      <c r="X460" t="s">
        <v>144</v>
      </c>
      <c r="Y460">
        <v>3</v>
      </c>
      <c r="AA460" t="s">
        <v>617</v>
      </c>
      <c r="AI460" t="s">
        <v>182</v>
      </c>
      <c r="AK460" t="s">
        <v>146</v>
      </c>
      <c r="AM460" t="s">
        <v>313</v>
      </c>
      <c r="AS460" t="s">
        <v>148</v>
      </c>
      <c r="AW460" t="s">
        <v>146</v>
      </c>
      <c r="BC460" t="s">
        <v>166</v>
      </c>
      <c r="BD460" t="s">
        <v>146</v>
      </c>
      <c r="BG460">
        <v>45</v>
      </c>
      <c r="BM460" t="s">
        <v>213</v>
      </c>
      <c r="BN460">
        <v>3</v>
      </c>
      <c r="BP460" t="s">
        <v>152</v>
      </c>
      <c r="BZ460" t="s">
        <v>146</v>
      </c>
      <c r="CA460" t="s">
        <v>146</v>
      </c>
      <c r="CB460" t="s">
        <v>146</v>
      </c>
      <c r="CM460">
        <v>3</v>
      </c>
      <c r="CN460" t="s">
        <v>2133</v>
      </c>
    </row>
    <row r="461" spans="1:92" x14ac:dyDescent="0.2">
      <c r="A461" t="s">
        <v>111</v>
      </c>
      <c r="B461" t="b">
        <v>1</v>
      </c>
      <c r="E461">
        <v>457</v>
      </c>
      <c r="F461" t="str">
        <f>HYPERLINK("https://portal.dnb.de/opac.htm?method=simpleSearch&amp;cqlMode=true&amp;query=idn%3D1066969213", "Portal")</f>
        <v>Portal</v>
      </c>
      <c r="G461" t="s">
        <v>133</v>
      </c>
      <c r="H461" t="s">
        <v>2134</v>
      </c>
      <c r="I461" t="s">
        <v>2135</v>
      </c>
      <c r="J461" t="s">
        <v>2136</v>
      </c>
      <c r="K461" t="s">
        <v>2136</v>
      </c>
      <c r="L461" t="s">
        <v>2136</v>
      </c>
      <c r="N461" t="s">
        <v>2137</v>
      </c>
      <c r="O461" t="s">
        <v>121</v>
      </c>
      <c r="P461" t="s">
        <v>138</v>
      </c>
      <c r="R461" t="s">
        <v>161</v>
      </c>
      <c r="S461" t="s">
        <v>140</v>
      </c>
      <c r="T461" t="s">
        <v>141</v>
      </c>
      <c r="U461" t="s">
        <v>172</v>
      </c>
      <c r="W461" t="s">
        <v>67</v>
      </c>
      <c r="X461" t="s">
        <v>144</v>
      </c>
      <c r="Y461">
        <v>0</v>
      </c>
      <c r="BN461">
        <v>0</v>
      </c>
    </row>
    <row r="462" spans="1:92" x14ac:dyDescent="0.2">
      <c r="A462" t="s">
        <v>111</v>
      </c>
      <c r="B462" t="b">
        <v>1</v>
      </c>
      <c r="E462">
        <v>458</v>
      </c>
      <c r="F462" t="str">
        <f>HYPERLINK("https://portal.dnb.de/opac.htm?method=simpleSearch&amp;cqlMode=true&amp;query=idn%3D1066972249", "Portal")</f>
        <v>Portal</v>
      </c>
      <c r="G462" t="s">
        <v>133</v>
      </c>
      <c r="H462" t="s">
        <v>2138</v>
      </c>
      <c r="I462" t="s">
        <v>2104</v>
      </c>
      <c r="J462" t="s">
        <v>2139</v>
      </c>
      <c r="K462" t="s">
        <v>2139</v>
      </c>
      <c r="L462" t="s">
        <v>2139</v>
      </c>
      <c r="N462" t="s">
        <v>1674</v>
      </c>
      <c r="O462" t="s">
        <v>121</v>
      </c>
      <c r="P462" t="s">
        <v>138</v>
      </c>
      <c r="R462" t="s">
        <v>180</v>
      </c>
      <c r="S462" t="s">
        <v>140</v>
      </c>
      <c r="T462" t="s">
        <v>163</v>
      </c>
      <c r="U462" t="s">
        <v>243</v>
      </c>
      <c r="V462" t="s">
        <v>143</v>
      </c>
      <c r="W462" t="s">
        <v>67</v>
      </c>
      <c r="X462" t="s">
        <v>144</v>
      </c>
      <c r="Y462">
        <v>0</v>
      </c>
      <c r="AI462" t="s">
        <v>182</v>
      </c>
      <c r="AK462" t="s">
        <v>146</v>
      </c>
      <c r="AM462" t="s">
        <v>313</v>
      </c>
      <c r="AS462" t="s">
        <v>148</v>
      </c>
      <c r="BC462" t="s">
        <v>166</v>
      </c>
      <c r="BD462" t="s">
        <v>146</v>
      </c>
      <c r="BG462">
        <v>0</v>
      </c>
      <c r="BH462" t="s">
        <v>2140</v>
      </c>
      <c r="BM462" t="s">
        <v>151</v>
      </c>
      <c r="BN462">
        <v>0</v>
      </c>
      <c r="BP462" t="s">
        <v>152</v>
      </c>
    </row>
    <row r="463" spans="1:92" x14ac:dyDescent="0.2">
      <c r="A463" t="s">
        <v>111</v>
      </c>
      <c r="B463" t="b">
        <v>1</v>
      </c>
      <c r="E463">
        <v>459</v>
      </c>
      <c r="F463" t="str">
        <f>HYPERLINK("https://portal.dnb.de/opac.htm?method=simpleSearch&amp;cqlMode=true&amp;query=idn%3D1066964890", "Portal")</f>
        <v>Portal</v>
      </c>
      <c r="G463" t="s">
        <v>133</v>
      </c>
      <c r="H463" t="s">
        <v>2141</v>
      </c>
      <c r="I463" t="s">
        <v>2142</v>
      </c>
      <c r="J463" t="s">
        <v>2143</v>
      </c>
      <c r="K463" t="s">
        <v>2143</v>
      </c>
      <c r="L463" t="s">
        <v>2143</v>
      </c>
      <c r="N463" t="s">
        <v>2137</v>
      </c>
      <c r="O463" t="s">
        <v>121</v>
      </c>
      <c r="P463" t="s">
        <v>138</v>
      </c>
      <c r="R463" t="s">
        <v>517</v>
      </c>
      <c r="S463" t="s">
        <v>140</v>
      </c>
      <c r="T463" t="s">
        <v>141</v>
      </c>
      <c r="U463" t="s">
        <v>886</v>
      </c>
      <c r="W463" t="s">
        <v>67</v>
      </c>
      <c r="X463" t="s">
        <v>144</v>
      </c>
      <c r="Y463">
        <v>0</v>
      </c>
      <c r="BN463">
        <v>0</v>
      </c>
    </row>
    <row r="464" spans="1:92" x14ac:dyDescent="0.2">
      <c r="A464" t="s">
        <v>111</v>
      </c>
      <c r="B464" t="b">
        <v>1</v>
      </c>
      <c r="E464">
        <v>460</v>
      </c>
      <c r="F464" t="str">
        <f>HYPERLINK("https://portal.dnb.de/opac.htm?method=simpleSearch&amp;cqlMode=true&amp;query=idn%3D1066970106", "Portal")</f>
        <v>Portal</v>
      </c>
      <c r="G464" t="s">
        <v>115</v>
      </c>
      <c r="H464" t="s">
        <v>2144</v>
      </c>
      <c r="I464" t="s">
        <v>2145</v>
      </c>
      <c r="J464" t="s">
        <v>2146</v>
      </c>
      <c r="K464" t="s">
        <v>2146</v>
      </c>
      <c r="L464" t="s">
        <v>2146</v>
      </c>
      <c r="N464" t="s">
        <v>650</v>
      </c>
      <c r="O464" t="s">
        <v>121</v>
      </c>
      <c r="P464" t="s">
        <v>138</v>
      </c>
      <c r="R464" t="s">
        <v>1048</v>
      </c>
      <c r="S464" t="s">
        <v>140</v>
      </c>
      <c r="T464" t="s">
        <v>163</v>
      </c>
      <c r="U464" t="s">
        <v>243</v>
      </c>
      <c r="V464" t="s">
        <v>143</v>
      </c>
      <c r="W464" t="s">
        <v>67</v>
      </c>
      <c r="X464" t="s">
        <v>144</v>
      </c>
      <c r="Y464">
        <v>0</v>
      </c>
      <c r="BN464">
        <v>0</v>
      </c>
    </row>
    <row r="465" spans="1:92" x14ac:dyDescent="0.2">
      <c r="A465" t="s">
        <v>111</v>
      </c>
      <c r="B465" t="b">
        <v>1</v>
      </c>
      <c r="E465">
        <v>461</v>
      </c>
      <c r="F465" t="str">
        <f>HYPERLINK("https://portal.dnb.de/opac.htm?method=simpleSearch&amp;cqlMode=true&amp;query=idn%3D1066970157", "Portal")</f>
        <v>Portal</v>
      </c>
      <c r="G465" t="s">
        <v>115</v>
      </c>
      <c r="H465" t="s">
        <v>2147</v>
      </c>
      <c r="I465" t="s">
        <v>2148</v>
      </c>
      <c r="J465" t="s">
        <v>2149</v>
      </c>
      <c r="K465" t="s">
        <v>2149</v>
      </c>
      <c r="L465" t="s">
        <v>2149</v>
      </c>
      <c r="N465" t="s">
        <v>2150</v>
      </c>
      <c r="O465" t="s">
        <v>121</v>
      </c>
      <c r="P465" t="s">
        <v>138</v>
      </c>
      <c r="R465" t="s">
        <v>161</v>
      </c>
      <c r="S465" t="s">
        <v>140</v>
      </c>
      <c r="T465" t="s">
        <v>141</v>
      </c>
      <c r="U465" t="s">
        <v>198</v>
      </c>
      <c r="V465" t="s">
        <v>143</v>
      </c>
      <c r="W465" t="s">
        <v>67</v>
      </c>
      <c r="X465" t="s">
        <v>144</v>
      </c>
      <c r="Y465">
        <v>1</v>
      </c>
      <c r="AA465" t="s">
        <v>1313</v>
      </c>
      <c r="BN465">
        <v>0</v>
      </c>
    </row>
    <row r="466" spans="1:92" x14ac:dyDescent="0.2">
      <c r="A466" t="s">
        <v>111</v>
      </c>
      <c r="B466" t="b">
        <v>1</v>
      </c>
      <c r="E466">
        <v>462</v>
      </c>
      <c r="F466" t="str">
        <f>HYPERLINK("https://portal.dnb.de/opac.htm?method=simpleSearch&amp;cqlMode=true&amp;query=idn%3D106697098X", "Portal")</f>
        <v>Portal</v>
      </c>
      <c r="G466" t="s">
        <v>133</v>
      </c>
      <c r="H466" t="s">
        <v>2151</v>
      </c>
      <c r="I466" t="s">
        <v>2152</v>
      </c>
      <c r="J466" t="s">
        <v>2153</v>
      </c>
      <c r="K466" t="s">
        <v>2153</v>
      </c>
      <c r="L466" t="s">
        <v>2153</v>
      </c>
      <c r="N466" t="s">
        <v>2154</v>
      </c>
      <c r="O466" t="s">
        <v>121</v>
      </c>
      <c r="P466" t="s">
        <v>138</v>
      </c>
      <c r="R466" t="s">
        <v>161</v>
      </c>
      <c r="S466" t="s">
        <v>140</v>
      </c>
      <c r="T466" t="s">
        <v>471</v>
      </c>
      <c r="U466" t="s">
        <v>1599</v>
      </c>
      <c r="W466" t="s">
        <v>67</v>
      </c>
      <c r="X466" t="s">
        <v>144</v>
      </c>
      <c r="Y466">
        <v>1</v>
      </c>
      <c r="AA466" t="s">
        <v>617</v>
      </c>
      <c r="BN466">
        <v>0</v>
      </c>
    </row>
    <row r="467" spans="1:92" x14ac:dyDescent="0.2">
      <c r="A467" t="s">
        <v>111</v>
      </c>
      <c r="B467" t="b">
        <v>1</v>
      </c>
      <c r="E467">
        <v>463</v>
      </c>
      <c r="F467" t="str">
        <f>HYPERLINK("https://portal.dnb.de/opac.htm?method=simpleSearch&amp;cqlMode=true&amp;query=idn%3D1066971196", "Portal")</f>
        <v>Portal</v>
      </c>
      <c r="G467" t="s">
        <v>218</v>
      </c>
      <c r="H467" t="s">
        <v>2155</v>
      </c>
      <c r="I467" t="s">
        <v>2156</v>
      </c>
      <c r="J467" t="s">
        <v>2157</v>
      </c>
      <c r="K467" t="s">
        <v>2157</v>
      </c>
      <c r="L467" t="s">
        <v>2157</v>
      </c>
      <c r="N467" t="s">
        <v>2158</v>
      </c>
      <c r="O467" t="s">
        <v>121</v>
      </c>
      <c r="P467" t="s">
        <v>138</v>
      </c>
      <c r="R467" t="s">
        <v>180</v>
      </c>
      <c r="S467" t="s">
        <v>140</v>
      </c>
      <c r="T467" t="s">
        <v>163</v>
      </c>
      <c r="U467" t="s">
        <v>2159</v>
      </c>
      <c r="W467" t="s">
        <v>67</v>
      </c>
      <c r="X467" t="s">
        <v>144</v>
      </c>
      <c r="Y467">
        <v>0</v>
      </c>
      <c r="BN467">
        <v>0</v>
      </c>
    </row>
    <row r="468" spans="1:92" x14ac:dyDescent="0.2">
      <c r="A468" t="s">
        <v>111</v>
      </c>
      <c r="B468" t="b">
        <v>1</v>
      </c>
      <c r="C468" t="s">
        <v>146</v>
      </c>
      <c r="E468">
        <v>464</v>
      </c>
      <c r="F468" t="str">
        <f>HYPERLINK("https://portal.dnb.de/opac.htm?method=simpleSearch&amp;cqlMode=true&amp;query=idn%3D106696694X", "Portal")</f>
        <v>Portal</v>
      </c>
      <c r="G468" t="s">
        <v>133</v>
      </c>
      <c r="H468" t="s">
        <v>2160</v>
      </c>
      <c r="I468" t="s">
        <v>2161</v>
      </c>
      <c r="J468" t="s">
        <v>2162</v>
      </c>
      <c r="K468" t="s">
        <v>2162</v>
      </c>
      <c r="L468" t="s">
        <v>2162</v>
      </c>
      <c r="N468" t="s">
        <v>2163</v>
      </c>
      <c r="O468" t="s">
        <v>121</v>
      </c>
      <c r="P468" t="s">
        <v>138</v>
      </c>
      <c r="Q468" t="s">
        <v>2164</v>
      </c>
      <c r="R468" t="s">
        <v>161</v>
      </c>
      <c r="S468" t="s">
        <v>189</v>
      </c>
      <c r="T468" t="s">
        <v>163</v>
      </c>
      <c r="U468" t="s">
        <v>824</v>
      </c>
      <c r="W468" t="s">
        <v>67</v>
      </c>
      <c r="X468" t="s">
        <v>144</v>
      </c>
      <c r="Y468">
        <v>2</v>
      </c>
      <c r="AI468" t="s">
        <v>165</v>
      </c>
      <c r="AK468" t="s">
        <v>146</v>
      </c>
      <c r="AM468" t="s">
        <v>147</v>
      </c>
      <c r="AS468" t="s">
        <v>148</v>
      </c>
      <c r="BG468">
        <v>110</v>
      </c>
      <c r="BI468" t="s">
        <v>146</v>
      </c>
      <c r="BJ468" t="s">
        <v>2165</v>
      </c>
      <c r="BM468" t="s">
        <v>201</v>
      </c>
      <c r="BN468">
        <v>3</v>
      </c>
      <c r="BP468" t="s">
        <v>152</v>
      </c>
      <c r="BZ468" t="s">
        <v>146</v>
      </c>
      <c r="CA468" t="s">
        <v>146</v>
      </c>
      <c r="CB468" t="s">
        <v>146</v>
      </c>
      <c r="CD468" t="s">
        <v>228</v>
      </c>
      <c r="CM468">
        <v>3</v>
      </c>
      <c r="CN468" t="s">
        <v>2166</v>
      </c>
    </row>
    <row r="469" spans="1:92" x14ac:dyDescent="0.2">
      <c r="A469" t="s">
        <v>111</v>
      </c>
      <c r="B469" t="b">
        <v>1</v>
      </c>
      <c r="E469">
        <v>465</v>
      </c>
      <c r="F469" t="str">
        <f>HYPERLINK("https://portal.dnb.de/opac.htm?method=simpleSearch&amp;cqlMode=true&amp;query=idn%3D1066967539", "Portal")</f>
        <v>Portal</v>
      </c>
      <c r="G469" t="s">
        <v>133</v>
      </c>
      <c r="H469" t="s">
        <v>2167</v>
      </c>
      <c r="I469" t="s">
        <v>2168</v>
      </c>
      <c r="J469" t="s">
        <v>2169</v>
      </c>
      <c r="K469" t="s">
        <v>2169</v>
      </c>
      <c r="L469" t="s">
        <v>2169</v>
      </c>
      <c r="N469" t="s">
        <v>2170</v>
      </c>
      <c r="O469" t="s">
        <v>121</v>
      </c>
      <c r="P469" t="s">
        <v>138</v>
      </c>
      <c r="R469" t="s">
        <v>161</v>
      </c>
      <c r="S469" t="s">
        <v>140</v>
      </c>
      <c r="T469" t="s">
        <v>141</v>
      </c>
      <c r="U469" t="s">
        <v>172</v>
      </c>
      <c r="W469" t="s">
        <v>67</v>
      </c>
      <c r="X469" t="s">
        <v>144</v>
      </c>
      <c r="Y469">
        <v>1</v>
      </c>
      <c r="BN469">
        <v>0</v>
      </c>
    </row>
    <row r="470" spans="1:92" x14ac:dyDescent="0.2">
      <c r="A470" t="s">
        <v>111</v>
      </c>
      <c r="B470" t="b">
        <v>1</v>
      </c>
      <c r="E470">
        <v>466</v>
      </c>
      <c r="F470" t="str">
        <f>HYPERLINK("https://portal.dnb.de/opac.htm?method=simpleSearch&amp;cqlMode=true&amp;query=idn%3D106696534X", "Portal")</f>
        <v>Portal</v>
      </c>
      <c r="G470" t="s">
        <v>115</v>
      </c>
      <c r="H470" t="s">
        <v>2171</v>
      </c>
      <c r="I470" t="s">
        <v>2172</v>
      </c>
      <c r="J470" t="s">
        <v>2173</v>
      </c>
      <c r="K470" t="s">
        <v>2173</v>
      </c>
      <c r="L470" t="s">
        <v>2173</v>
      </c>
      <c r="N470" t="s">
        <v>2174</v>
      </c>
      <c r="O470" t="s">
        <v>121</v>
      </c>
      <c r="P470" t="s">
        <v>138</v>
      </c>
      <c r="R470" t="s">
        <v>207</v>
      </c>
      <c r="S470" t="s">
        <v>189</v>
      </c>
      <c r="T470" t="s">
        <v>163</v>
      </c>
      <c r="U470" t="s">
        <v>142</v>
      </c>
      <c r="V470" t="s">
        <v>143</v>
      </c>
      <c r="W470" t="s">
        <v>67</v>
      </c>
      <c r="X470" t="s">
        <v>144</v>
      </c>
      <c r="Y470">
        <v>1</v>
      </c>
      <c r="BN470">
        <v>0</v>
      </c>
    </row>
    <row r="471" spans="1:92" x14ac:dyDescent="0.2">
      <c r="A471" t="s">
        <v>111</v>
      </c>
      <c r="B471" t="b">
        <v>1</v>
      </c>
      <c r="E471">
        <v>467</v>
      </c>
      <c r="F471" t="str">
        <f>HYPERLINK("https://portal.dnb.de/opac.htm?method=simpleSearch&amp;cqlMode=true&amp;query=idn%3D1066965293", "Portal")</f>
        <v>Portal</v>
      </c>
      <c r="G471" t="s">
        <v>115</v>
      </c>
      <c r="H471" t="s">
        <v>2175</v>
      </c>
      <c r="I471" t="s">
        <v>2176</v>
      </c>
      <c r="J471" t="s">
        <v>2177</v>
      </c>
      <c r="K471" t="s">
        <v>2177</v>
      </c>
      <c r="L471" t="s">
        <v>2177</v>
      </c>
      <c r="N471" t="s">
        <v>2178</v>
      </c>
      <c r="O471" t="s">
        <v>121</v>
      </c>
      <c r="P471" t="s">
        <v>138</v>
      </c>
      <c r="R471" t="s">
        <v>139</v>
      </c>
      <c r="S471" t="s">
        <v>140</v>
      </c>
      <c r="T471" t="s">
        <v>141</v>
      </c>
      <c r="U471" t="s">
        <v>142</v>
      </c>
      <c r="V471" t="s">
        <v>143</v>
      </c>
      <c r="W471" t="s">
        <v>67</v>
      </c>
      <c r="X471" t="s">
        <v>144</v>
      </c>
      <c r="Y471">
        <v>0</v>
      </c>
      <c r="BN471">
        <v>0</v>
      </c>
    </row>
    <row r="472" spans="1:92" x14ac:dyDescent="0.2">
      <c r="A472" t="s">
        <v>111</v>
      </c>
      <c r="B472" t="b">
        <v>1</v>
      </c>
      <c r="E472">
        <v>468</v>
      </c>
      <c r="F472" t="str">
        <f>HYPERLINK("https://portal.dnb.de/opac.htm?method=simpleSearch&amp;cqlMode=true&amp;query=idn%3D1066966931", "Portal")</f>
        <v>Portal</v>
      </c>
      <c r="G472" t="s">
        <v>133</v>
      </c>
      <c r="H472" t="s">
        <v>2179</v>
      </c>
      <c r="I472" t="s">
        <v>2180</v>
      </c>
      <c r="J472" t="s">
        <v>2181</v>
      </c>
      <c r="K472" t="s">
        <v>2181</v>
      </c>
      <c r="L472" t="s">
        <v>2181</v>
      </c>
      <c r="N472" t="s">
        <v>2182</v>
      </c>
      <c r="O472" t="s">
        <v>121</v>
      </c>
      <c r="P472" t="s">
        <v>138</v>
      </c>
      <c r="R472" t="s">
        <v>180</v>
      </c>
      <c r="S472" t="s">
        <v>140</v>
      </c>
      <c r="T472" t="s">
        <v>163</v>
      </c>
      <c r="U472" t="s">
        <v>142</v>
      </c>
      <c r="V472" t="s">
        <v>143</v>
      </c>
      <c r="W472" t="s">
        <v>67</v>
      </c>
      <c r="X472" t="s">
        <v>144</v>
      </c>
      <c r="Y472">
        <v>0</v>
      </c>
      <c r="BN472">
        <v>0</v>
      </c>
    </row>
    <row r="473" spans="1:92" x14ac:dyDescent="0.2">
      <c r="A473" t="s">
        <v>111</v>
      </c>
      <c r="B473" t="b">
        <v>1</v>
      </c>
      <c r="E473">
        <v>469</v>
      </c>
      <c r="F473" t="str">
        <f>HYPERLINK("https://portal.dnb.de/opac.htm?method=simpleSearch&amp;cqlMode=true&amp;query=idn%3D1066965862", "Portal")</f>
        <v>Portal</v>
      </c>
      <c r="G473" t="s">
        <v>133</v>
      </c>
      <c r="H473" t="s">
        <v>2183</v>
      </c>
      <c r="I473" t="s">
        <v>2184</v>
      </c>
      <c r="J473" t="s">
        <v>2185</v>
      </c>
      <c r="K473" t="s">
        <v>2185</v>
      </c>
      <c r="L473" t="s">
        <v>2185</v>
      </c>
      <c r="N473" t="s">
        <v>2186</v>
      </c>
      <c r="O473" t="s">
        <v>121</v>
      </c>
      <c r="R473" t="s">
        <v>180</v>
      </c>
      <c r="S473" t="s">
        <v>140</v>
      </c>
      <c r="T473" t="s">
        <v>163</v>
      </c>
      <c r="U473" t="s">
        <v>164</v>
      </c>
      <c r="V473" t="s">
        <v>143</v>
      </c>
      <c r="W473" t="s">
        <v>67</v>
      </c>
      <c r="X473" t="s">
        <v>144</v>
      </c>
      <c r="Y473">
        <v>1</v>
      </c>
      <c r="BN473">
        <v>0</v>
      </c>
    </row>
    <row r="474" spans="1:92" x14ac:dyDescent="0.2">
      <c r="A474" t="s">
        <v>111</v>
      </c>
      <c r="B474" t="b">
        <v>1</v>
      </c>
      <c r="C474" t="s">
        <v>146</v>
      </c>
      <c r="F474" t="str">
        <f>HYPERLINK("https://portal.dnb.de/opac.htm?method=simpleSearch&amp;cqlMode=true&amp;query=idn%3D1268947474", "Portal")</f>
        <v>Portal</v>
      </c>
      <c r="G474" t="s">
        <v>300</v>
      </c>
      <c r="H474" t="s">
        <v>2187</v>
      </c>
      <c r="I474" t="s">
        <v>2188</v>
      </c>
      <c r="J474" t="s">
        <v>2189</v>
      </c>
      <c r="K474" t="s">
        <v>2189</v>
      </c>
      <c r="L474" t="s">
        <v>2189</v>
      </c>
      <c r="N474" t="s">
        <v>2190</v>
      </c>
      <c r="O474" t="s">
        <v>121</v>
      </c>
      <c r="P474" t="s">
        <v>138</v>
      </c>
      <c r="Q474" t="s">
        <v>2191</v>
      </c>
      <c r="R474" t="s">
        <v>180</v>
      </c>
      <c r="S474" t="s">
        <v>140</v>
      </c>
      <c r="T474" t="s">
        <v>163</v>
      </c>
      <c r="U474" t="s">
        <v>386</v>
      </c>
      <c r="W474" t="s">
        <v>67</v>
      </c>
      <c r="X474" t="s">
        <v>144</v>
      </c>
      <c r="Y474">
        <v>1</v>
      </c>
      <c r="AA474" t="s">
        <v>1313</v>
      </c>
      <c r="AI474" t="s">
        <v>145</v>
      </c>
      <c r="AK474" t="s">
        <v>146</v>
      </c>
      <c r="AM474" t="s">
        <v>313</v>
      </c>
      <c r="AS474" t="s">
        <v>148</v>
      </c>
      <c r="BG474">
        <v>0</v>
      </c>
      <c r="BH474" t="s">
        <v>2192</v>
      </c>
      <c r="BM474" t="s">
        <v>918</v>
      </c>
      <c r="BN474">
        <v>1</v>
      </c>
      <c r="BP474" t="s">
        <v>152</v>
      </c>
      <c r="BZ474" t="s">
        <v>2025</v>
      </c>
      <c r="CA474" t="s">
        <v>146</v>
      </c>
      <c r="CB474" t="s">
        <v>146</v>
      </c>
      <c r="CM474">
        <v>1</v>
      </c>
      <c r="CN474" t="s">
        <v>2193</v>
      </c>
    </row>
    <row r="475" spans="1:92" x14ac:dyDescent="0.2">
      <c r="A475" t="s">
        <v>111</v>
      </c>
      <c r="B475" t="b">
        <v>1</v>
      </c>
      <c r="E475">
        <v>472</v>
      </c>
      <c r="F475" t="str">
        <f>HYPERLINK("https://portal.dnb.de/opac.htm?method=simpleSearch&amp;cqlMode=true&amp;query=idn%3D1066968861", "Portal")</f>
        <v>Portal</v>
      </c>
      <c r="G475" t="s">
        <v>133</v>
      </c>
      <c r="H475" t="s">
        <v>2194</v>
      </c>
      <c r="I475" t="s">
        <v>2195</v>
      </c>
      <c r="J475" t="s">
        <v>2196</v>
      </c>
      <c r="K475" t="s">
        <v>2196</v>
      </c>
      <c r="L475" t="s">
        <v>2196</v>
      </c>
      <c r="N475" t="s">
        <v>2197</v>
      </c>
      <c r="O475" t="s">
        <v>121</v>
      </c>
      <c r="P475" t="s">
        <v>138</v>
      </c>
      <c r="R475" t="s">
        <v>161</v>
      </c>
      <c r="S475" t="s">
        <v>189</v>
      </c>
      <c r="T475" t="s">
        <v>163</v>
      </c>
      <c r="U475" t="s">
        <v>142</v>
      </c>
      <c r="V475" t="s">
        <v>143</v>
      </c>
      <c r="W475" t="s">
        <v>67</v>
      </c>
      <c r="X475" t="s">
        <v>144</v>
      </c>
      <c r="Y475">
        <v>0</v>
      </c>
      <c r="BN475">
        <v>0</v>
      </c>
    </row>
    <row r="476" spans="1:92" x14ac:dyDescent="0.2">
      <c r="A476" t="s">
        <v>111</v>
      </c>
      <c r="B476" t="b">
        <v>1</v>
      </c>
      <c r="E476">
        <v>473</v>
      </c>
      <c r="F476" t="str">
        <f>HYPERLINK("https://portal.dnb.de/opac.htm?method=simpleSearch&amp;cqlMode=true&amp;query=idn%3D1066971978", "Portal")</f>
        <v>Portal</v>
      </c>
      <c r="G476" t="s">
        <v>133</v>
      </c>
      <c r="H476" t="s">
        <v>2198</v>
      </c>
      <c r="I476" t="s">
        <v>2199</v>
      </c>
      <c r="J476" t="s">
        <v>2200</v>
      </c>
      <c r="K476" t="s">
        <v>2200</v>
      </c>
      <c r="L476" t="s">
        <v>2200</v>
      </c>
      <c r="N476" t="s">
        <v>2201</v>
      </c>
      <c r="O476" t="s">
        <v>121</v>
      </c>
      <c r="P476" t="s">
        <v>138</v>
      </c>
      <c r="R476" t="s">
        <v>180</v>
      </c>
      <c r="S476" t="s">
        <v>140</v>
      </c>
      <c r="T476" t="s">
        <v>163</v>
      </c>
      <c r="U476" t="s">
        <v>243</v>
      </c>
      <c r="V476" t="s">
        <v>143</v>
      </c>
      <c r="W476" t="s">
        <v>67</v>
      </c>
      <c r="X476" t="s">
        <v>144</v>
      </c>
      <c r="Y476">
        <v>1</v>
      </c>
      <c r="BN476">
        <v>0</v>
      </c>
    </row>
    <row r="477" spans="1:92" x14ac:dyDescent="0.2">
      <c r="A477" t="s">
        <v>111</v>
      </c>
      <c r="B477" t="b">
        <v>1</v>
      </c>
      <c r="E477">
        <v>474</v>
      </c>
      <c r="F477" t="str">
        <f>HYPERLINK("https://portal.dnb.de/opac.htm?method=simpleSearch&amp;cqlMode=true&amp;query=idn%3D106697148X", "Portal")</f>
        <v>Portal</v>
      </c>
      <c r="G477" t="s">
        <v>115</v>
      </c>
      <c r="H477" t="s">
        <v>2202</v>
      </c>
      <c r="I477" t="s">
        <v>2203</v>
      </c>
      <c r="J477" t="s">
        <v>2204</v>
      </c>
      <c r="K477" t="s">
        <v>2204</v>
      </c>
      <c r="L477" t="s">
        <v>2204</v>
      </c>
      <c r="N477" t="s">
        <v>2047</v>
      </c>
      <c r="O477" t="s">
        <v>121</v>
      </c>
      <c r="R477" t="s">
        <v>180</v>
      </c>
      <c r="S477" t="s">
        <v>140</v>
      </c>
      <c r="T477" t="s">
        <v>163</v>
      </c>
      <c r="W477" t="s">
        <v>67</v>
      </c>
      <c r="X477" t="s">
        <v>144</v>
      </c>
      <c r="Y477">
        <v>0</v>
      </c>
      <c r="BN477">
        <v>0</v>
      </c>
    </row>
    <row r="478" spans="1:92" x14ac:dyDescent="0.2">
      <c r="A478" t="s">
        <v>111</v>
      </c>
      <c r="B478" t="b">
        <v>1</v>
      </c>
      <c r="E478">
        <v>475</v>
      </c>
      <c r="F478" t="str">
        <f>HYPERLINK("https://portal.dnb.de/opac.htm?method=simpleSearch&amp;cqlMode=true&amp;query=idn%3D1066965307", "Portal")</f>
        <v>Portal</v>
      </c>
      <c r="G478" t="s">
        <v>115</v>
      </c>
      <c r="H478" t="s">
        <v>2205</v>
      </c>
      <c r="I478" t="s">
        <v>2206</v>
      </c>
      <c r="J478" t="s">
        <v>2207</v>
      </c>
      <c r="K478" t="s">
        <v>2207</v>
      </c>
      <c r="L478" t="s">
        <v>2207</v>
      </c>
      <c r="N478" t="s">
        <v>2178</v>
      </c>
      <c r="O478" t="s">
        <v>121</v>
      </c>
      <c r="P478" t="s">
        <v>138</v>
      </c>
      <c r="R478" t="s">
        <v>180</v>
      </c>
      <c r="S478" t="s">
        <v>140</v>
      </c>
      <c r="T478" t="s">
        <v>471</v>
      </c>
      <c r="U478" t="s">
        <v>660</v>
      </c>
      <c r="V478" t="s">
        <v>143</v>
      </c>
      <c r="W478" t="s">
        <v>67</v>
      </c>
      <c r="X478" t="s">
        <v>144</v>
      </c>
      <c r="Y478">
        <v>1</v>
      </c>
      <c r="BN478">
        <v>0</v>
      </c>
    </row>
    <row r="479" spans="1:92" x14ac:dyDescent="0.2">
      <c r="A479" t="s">
        <v>111</v>
      </c>
      <c r="B479" t="b">
        <v>1</v>
      </c>
      <c r="C479" t="s">
        <v>146</v>
      </c>
      <c r="E479">
        <v>476</v>
      </c>
      <c r="F479" t="str">
        <f>HYPERLINK("https://portal.dnb.de/opac.htm?method=simpleSearch&amp;cqlMode=true&amp;query=idn%3D1066971870", "Portal")</f>
        <v>Portal</v>
      </c>
      <c r="G479" t="s">
        <v>133</v>
      </c>
      <c r="H479" t="s">
        <v>2208</v>
      </c>
      <c r="I479" t="s">
        <v>2209</v>
      </c>
      <c r="J479" t="s">
        <v>2210</v>
      </c>
      <c r="K479" t="s">
        <v>2210</v>
      </c>
      <c r="L479" t="s">
        <v>2210</v>
      </c>
      <c r="N479" t="s">
        <v>2211</v>
      </c>
      <c r="O479" t="s">
        <v>121</v>
      </c>
      <c r="P479" t="s">
        <v>138</v>
      </c>
      <c r="Q479" t="s">
        <v>311</v>
      </c>
      <c r="R479" t="s">
        <v>161</v>
      </c>
      <c r="S479" t="s">
        <v>140</v>
      </c>
      <c r="T479" t="s">
        <v>163</v>
      </c>
      <c r="U479" t="s">
        <v>142</v>
      </c>
      <c r="V479" t="s">
        <v>143</v>
      </c>
      <c r="W479" t="s">
        <v>67</v>
      </c>
      <c r="X479" t="s">
        <v>144</v>
      </c>
      <c r="Y479">
        <v>1</v>
      </c>
      <c r="AI479" t="s">
        <v>165</v>
      </c>
      <c r="AK479" t="s">
        <v>146</v>
      </c>
      <c r="AM479" t="s">
        <v>147</v>
      </c>
      <c r="AS479" t="s">
        <v>148</v>
      </c>
      <c r="BC479" t="s">
        <v>166</v>
      </c>
      <c r="BD479" t="s">
        <v>146</v>
      </c>
      <c r="BG479">
        <v>45</v>
      </c>
      <c r="BM479" t="s">
        <v>213</v>
      </c>
      <c r="BN479">
        <v>1</v>
      </c>
      <c r="BP479" t="s">
        <v>152</v>
      </c>
      <c r="BZ479" t="s">
        <v>2025</v>
      </c>
      <c r="CA479" t="s">
        <v>146</v>
      </c>
      <c r="CB479" t="s">
        <v>146</v>
      </c>
      <c r="CD479" t="s">
        <v>202</v>
      </c>
      <c r="CM479">
        <v>1</v>
      </c>
      <c r="CN479" t="s">
        <v>2212</v>
      </c>
    </row>
    <row r="480" spans="1:92" x14ac:dyDescent="0.2">
      <c r="A480" t="s">
        <v>111</v>
      </c>
      <c r="B480" t="b">
        <v>1</v>
      </c>
      <c r="C480" t="s">
        <v>146</v>
      </c>
      <c r="E480">
        <v>477</v>
      </c>
      <c r="F480" t="str">
        <f>HYPERLINK("https://portal.dnb.de/opac.htm?method=simpleSearch&amp;cqlMode=true&amp;query=idn%3D1066966214", "Portal")</f>
        <v>Portal</v>
      </c>
      <c r="G480" t="s">
        <v>133</v>
      </c>
      <c r="H480" t="s">
        <v>2213</v>
      </c>
      <c r="I480" t="s">
        <v>2214</v>
      </c>
      <c r="J480" t="s">
        <v>2215</v>
      </c>
      <c r="K480" t="s">
        <v>2215</v>
      </c>
      <c r="L480" t="s">
        <v>2215</v>
      </c>
      <c r="N480" t="s">
        <v>2216</v>
      </c>
      <c r="O480" t="s">
        <v>121</v>
      </c>
      <c r="P480" t="s">
        <v>138</v>
      </c>
      <c r="Q480" t="s">
        <v>2217</v>
      </c>
      <c r="R480" t="s">
        <v>180</v>
      </c>
      <c r="S480" t="s">
        <v>140</v>
      </c>
      <c r="T480" t="s">
        <v>471</v>
      </c>
      <c r="U480" t="s">
        <v>164</v>
      </c>
      <c r="V480" t="s">
        <v>143</v>
      </c>
      <c r="W480" t="s">
        <v>67</v>
      </c>
      <c r="X480" t="s">
        <v>144</v>
      </c>
      <c r="Y480">
        <v>1</v>
      </c>
      <c r="AI480" t="s">
        <v>182</v>
      </c>
      <c r="AK480" t="s">
        <v>146</v>
      </c>
      <c r="AM480" t="s">
        <v>313</v>
      </c>
      <c r="AS480" t="s">
        <v>148</v>
      </c>
      <c r="BC480" t="s">
        <v>166</v>
      </c>
      <c r="BD480" t="s">
        <v>146</v>
      </c>
      <c r="BG480">
        <v>60</v>
      </c>
      <c r="BM480" t="s">
        <v>213</v>
      </c>
      <c r="BN480">
        <v>1</v>
      </c>
      <c r="BP480" t="s">
        <v>152</v>
      </c>
      <c r="BZ480" t="s">
        <v>146</v>
      </c>
      <c r="CA480" t="s">
        <v>146</v>
      </c>
      <c r="CB480" t="s">
        <v>146</v>
      </c>
      <c r="CH480" t="s">
        <v>146</v>
      </c>
      <c r="CM480">
        <v>1</v>
      </c>
      <c r="CN480" t="s">
        <v>2218</v>
      </c>
    </row>
    <row r="481" spans="1:92" x14ac:dyDescent="0.2">
      <c r="A481" t="s">
        <v>111</v>
      </c>
      <c r="B481" t="b">
        <v>1</v>
      </c>
      <c r="C481" t="s">
        <v>146</v>
      </c>
      <c r="E481">
        <v>478</v>
      </c>
      <c r="F481" t="str">
        <f>HYPERLINK("https://portal.dnb.de/opac.htm?method=simpleSearch&amp;cqlMode=true&amp;query=idn%3D1066966311", "Portal")</f>
        <v>Portal</v>
      </c>
      <c r="G481" t="s">
        <v>133</v>
      </c>
      <c r="H481" t="s">
        <v>2219</v>
      </c>
      <c r="I481" t="s">
        <v>2220</v>
      </c>
      <c r="J481" t="s">
        <v>2221</v>
      </c>
      <c r="K481" t="s">
        <v>2221</v>
      </c>
      <c r="L481" t="s">
        <v>2221</v>
      </c>
      <c r="N481" t="s">
        <v>2222</v>
      </c>
      <c r="O481" t="s">
        <v>121</v>
      </c>
      <c r="P481" t="s">
        <v>138</v>
      </c>
      <c r="Q481" t="s">
        <v>2223</v>
      </c>
      <c r="R481" t="s">
        <v>161</v>
      </c>
      <c r="S481" t="s">
        <v>140</v>
      </c>
      <c r="T481" t="s">
        <v>471</v>
      </c>
      <c r="U481" t="s">
        <v>1701</v>
      </c>
      <c r="V481" t="s">
        <v>143</v>
      </c>
      <c r="W481" t="s">
        <v>67</v>
      </c>
      <c r="X481" t="s">
        <v>144</v>
      </c>
      <c r="Y481">
        <v>1</v>
      </c>
      <c r="AI481" t="s">
        <v>165</v>
      </c>
      <c r="AK481" t="s">
        <v>146</v>
      </c>
      <c r="AM481" t="s">
        <v>313</v>
      </c>
      <c r="AS481" t="s">
        <v>148</v>
      </c>
      <c r="AW481" t="s">
        <v>146</v>
      </c>
      <c r="BG481">
        <v>60</v>
      </c>
      <c r="BM481" t="s">
        <v>213</v>
      </c>
      <c r="BN481">
        <v>1</v>
      </c>
      <c r="BP481" t="s">
        <v>152</v>
      </c>
      <c r="BV481" t="s">
        <v>2224</v>
      </c>
      <c r="BZ481" t="s">
        <v>2025</v>
      </c>
      <c r="CA481" t="s">
        <v>146</v>
      </c>
      <c r="CB481" t="s">
        <v>146</v>
      </c>
      <c r="CM481">
        <v>1</v>
      </c>
      <c r="CN481" t="s">
        <v>2225</v>
      </c>
    </row>
    <row r="482" spans="1:92" x14ac:dyDescent="0.2">
      <c r="A482" t="s">
        <v>111</v>
      </c>
      <c r="B482" t="b">
        <v>1</v>
      </c>
      <c r="E482">
        <v>479</v>
      </c>
      <c r="F482" t="str">
        <f>HYPERLINK("https://portal.dnb.de/opac.htm?method=simpleSearch&amp;cqlMode=true&amp;query=idn%3D1072320894", "Portal")</f>
        <v>Portal</v>
      </c>
      <c r="G482" t="s">
        <v>115</v>
      </c>
      <c r="H482" t="s">
        <v>2226</v>
      </c>
      <c r="I482" t="s">
        <v>2227</v>
      </c>
      <c r="J482" t="s">
        <v>2228</v>
      </c>
      <c r="K482" t="s">
        <v>2228</v>
      </c>
      <c r="L482" t="s">
        <v>2228</v>
      </c>
      <c r="N482" t="s">
        <v>2229</v>
      </c>
      <c r="O482" t="s">
        <v>121</v>
      </c>
      <c r="R482" t="s">
        <v>139</v>
      </c>
      <c r="S482" t="s">
        <v>189</v>
      </c>
      <c r="T482" t="s">
        <v>163</v>
      </c>
      <c r="W482" t="s">
        <v>67</v>
      </c>
      <c r="X482" t="s">
        <v>144</v>
      </c>
      <c r="Y482">
        <v>0</v>
      </c>
      <c r="BN482">
        <v>0</v>
      </c>
    </row>
    <row r="483" spans="1:92" x14ac:dyDescent="0.2">
      <c r="A483" t="s">
        <v>111</v>
      </c>
      <c r="B483" t="b">
        <v>1</v>
      </c>
      <c r="E483">
        <v>480</v>
      </c>
      <c r="F483" t="str">
        <f>HYPERLINK("https://portal.dnb.de/opac.htm?method=simpleSearch&amp;cqlMode=true&amp;query=idn%3D1072321378", "Portal")</f>
        <v>Portal</v>
      </c>
      <c r="G483" t="s">
        <v>115</v>
      </c>
      <c r="H483" t="s">
        <v>2230</v>
      </c>
      <c r="I483" t="s">
        <v>2231</v>
      </c>
      <c r="J483" t="s">
        <v>2232</v>
      </c>
      <c r="K483" t="s">
        <v>2232</v>
      </c>
      <c r="L483" t="s">
        <v>2232</v>
      </c>
      <c r="N483" t="s">
        <v>818</v>
      </c>
      <c r="O483" t="s">
        <v>121</v>
      </c>
      <c r="R483" t="s">
        <v>139</v>
      </c>
      <c r="S483" t="s">
        <v>189</v>
      </c>
      <c r="T483" t="s">
        <v>471</v>
      </c>
      <c r="U483" t="s">
        <v>508</v>
      </c>
      <c r="V483" t="s">
        <v>143</v>
      </c>
      <c r="W483" t="s">
        <v>67</v>
      </c>
      <c r="X483" t="s">
        <v>144</v>
      </c>
      <c r="Y483">
        <v>0</v>
      </c>
      <c r="AA483" t="s">
        <v>2233</v>
      </c>
      <c r="BN483">
        <v>0</v>
      </c>
    </row>
    <row r="484" spans="1:92" x14ac:dyDescent="0.2">
      <c r="A484" t="s">
        <v>111</v>
      </c>
      <c r="B484" t="b">
        <v>1</v>
      </c>
      <c r="E484">
        <v>481</v>
      </c>
      <c r="F484" t="str">
        <f>HYPERLINK("https://portal.dnb.de/opac.htm?method=simpleSearch&amp;cqlMode=true&amp;query=idn%3D1066967806", "Portal")</f>
        <v>Portal</v>
      </c>
      <c r="G484" t="s">
        <v>133</v>
      </c>
      <c r="H484" t="s">
        <v>2234</v>
      </c>
      <c r="I484" t="s">
        <v>2235</v>
      </c>
      <c r="J484" t="s">
        <v>2236</v>
      </c>
      <c r="K484" t="s">
        <v>2236</v>
      </c>
      <c r="L484" t="s">
        <v>2236</v>
      </c>
      <c r="N484" t="s">
        <v>2237</v>
      </c>
      <c r="O484" t="s">
        <v>121</v>
      </c>
      <c r="P484" t="s">
        <v>138</v>
      </c>
      <c r="R484" t="s">
        <v>161</v>
      </c>
      <c r="S484" t="s">
        <v>189</v>
      </c>
      <c r="T484" t="s">
        <v>141</v>
      </c>
      <c r="U484" t="s">
        <v>142</v>
      </c>
      <c r="V484" t="s">
        <v>143</v>
      </c>
      <c r="W484" t="s">
        <v>67</v>
      </c>
      <c r="X484" t="s">
        <v>144</v>
      </c>
      <c r="Y484">
        <v>0</v>
      </c>
      <c r="BN484">
        <v>0</v>
      </c>
    </row>
    <row r="485" spans="1:92" x14ac:dyDescent="0.2">
      <c r="A485" t="s">
        <v>111</v>
      </c>
      <c r="B485" t="b">
        <v>1</v>
      </c>
      <c r="E485">
        <v>482</v>
      </c>
      <c r="F485" t="str">
        <f>HYPERLINK("https://portal.dnb.de/opac.htm?method=simpleSearch&amp;cqlMode=true&amp;query=idn%3D1066971323", "Portal")</f>
        <v>Portal</v>
      </c>
      <c r="G485" t="s">
        <v>133</v>
      </c>
      <c r="H485" t="s">
        <v>2238</v>
      </c>
      <c r="I485" t="s">
        <v>2239</v>
      </c>
      <c r="J485" t="s">
        <v>2240</v>
      </c>
      <c r="K485" t="s">
        <v>2240</v>
      </c>
      <c r="L485" t="s">
        <v>2240</v>
      </c>
      <c r="N485" t="s">
        <v>2241</v>
      </c>
      <c r="O485" t="s">
        <v>121</v>
      </c>
      <c r="P485" t="s">
        <v>138</v>
      </c>
      <c r="R485" t="s">
        <v>171</v>
      </c>
      <c r="S485" t="s">
        <v>140</v>
      </c>
      <c r="T485" t="s">
        <v>163</v>
      </c>
      <c r="U485" t="s">
        <v>172</v>
      </c>
      <c r="W485" t="s">
        <v>67</v>
      </c>
      <c r="X485" t="s">
        <v>144</v>
      </c>
      <c r="Y485">
        <v>0</v>
      </c>
      <c r="AA485" t="s">
        <v>2242</v>
      </c>
      <c r="BN485">
        <v>0</v>
      </c>
    </row>
    <row r="486" spans="1:92" x14ac:dyDescent="0.2">
      <c r="A486" t="s">
        <v>111</v>
      </c>
      <c r="B486" t="b">
        <v>1</v>
      </c>
      <c r="E486">
        <v>483</v>
      </c>
      <c r="F486" t="str">
        <f>HYPERLINK("https://portal.dnb.de/opac.htm?method=simpleSearch&amp;cqlMode=true&amp;query=idn%3D1066966842", "Portal")</f>
        <v>Portal</v>
      </c>
      <c r="G486" t="s">
        <v>133</v>
      </c>
      <c r="H486" t="s">
        <v>2243</v>
      </c>
      <c r="I486" t="s">
        <v>2244</v>
      </c>
      <c r="J486" t="s">
        <v>2245</v>
      </c>
      <c r="K486" t="s">
        <v>2245</v>
      </c>
      <c r="L486" t="s">
        <v>2245</v>
      </c>
      <c r="N486" t="s">
        <v>2246</v>
      </c>
      <c r="O486" t="s">
        <v>121</v>
      </c>
      <c r="P486" t="s">
        <v>138</v>
      </c>
      <c r="R486" t="s">
        <v>180</v>
      </c>
      <c r="S486" t="s">
        <v>189</v>
      </c>
      <c r="T486" t="s">
        <v>163</v>
      </c>
      <c r="U486" t="s">
        <v>243</v>
      </c>
      <c r="V486" t="s">
        <v>143</v>
      </c>
      <c r="W486" t="s">
        <v>67</v>
      </c>
      <c r="X486" t="s">
        <v>144</v>
      </c>
      <c r="Y486">
        <v>0</v>
      </c>
      <c r="BN486">
        <v>0</v>
      </c>
    </row>
    <row r="487" spans="1:92" x14ac:dyDescent="0.2">
      <c r="A487" t="s">
        <v>111</v>
      </c>
      <c r="B487" t="b">
        <v>1</v>
      </c>
      <c r="E487">
        <v>484</v>
      </c>
      <c r="F487" t="str">
        <f>HYPERLINK("https://portal.dnb.de/opac.htm?method=simpleSearch&amp;cqlMode=true&amp;query=idn%3D1066968977", "Portal")</f>
        <v>Portal</v>
      </c>
      <c r="G487" t="s">
        <v>133</v>
      </c>
      <c r="H487" t="s">
        <v>2247</v>
      </c>
      <c r="I487" t="s">
        <v>2248</v>
      </c>
      <c r="J487" t="s">
        <v>2249</v>
      </c>
      <c r="K487" t="s">
        <v>2249</v>
      </c>
      <c r="L487" t="s">
        <v>2249</v>
      </c>
      <c r="N487" t="s">
        <v>818</v>
      </c>
      <c r="O487" t="s">
        <v>121</v>
      </c>
      <c r="P487" t="s">
        <v>138</v>
      </c>
      <c r="R487" t="s">
        <v>180</v>
      </c>
      <c r="S487" t="s">
        <v>140</v>
      </c>
      <c r="T487" t="s">
        <v>163</v>
      </c>
      <c r="U487" t="s">
        <v>1599</v>
      </c>
      <c r="W487" t="s">
        <v>67</v>
      </c>
      <c r="X487" t="s">
        <v>144</v>
      </c>
      <c r="Y487">
        <v>1</v>
      </c>
      <c r="BN487">
        <v>0</v>
      </c>
    </row>
    <row r="488" spans="1:92" x14ac:dyDescent="0.2">
      <c r="A488" t="s">
        <v>111</v>
      </c>
      <c r="B488" t="b">
        <v>1</v>
      </c>
      <c r="E488">
        <v>485</v>
      </c>
      <c r="F488" t="str">
        <f>HYPERLINK("https://portal.dnb.de/opac.htm?method=simpleSearch&amp;cqlMode=true&amp;query=idn%3D1066966729", "Portal")</f>
        <v>Portal</v>
      </c>
      <c r="G488" t="s">
        <v>133</v>
      </c>
      <c r="H488" t="s">
        <v>2250</v>
      </c>
      <c r="I488" t="s">
        <v>2251</v>
      </c>
      <c r="J488" t="s">
        <v>2252</v>
      </c>
      <c r="K488" t="s">
        <v>2252</v>
      </c>
      <c r="L488" t="s">
        <v>2252</v>
      </c>
      <c r="N488" t="s">
        <v>2253</v>
      </c>
      <c r="O488" t="s">
        <v>121</v>
      </c>
      <c r="P488" t="s">
        <v>138</v>
      </c>
      <c r="R488" t="s">
        <v>161</v>
      </c>
      <c r="S488" t="s">
        <v>189</v>
      </c>
      <c r="T488" t="s">
        <v>163</v>
      </c>
      <c r="U488" t="s">
        <v>172</v>
      </c>
      <c r="W488" t="s">
        <v>67</v>
      </c>
      <c r="X488" t="s">
        <v>144</v>
      </c>
      <c r="Y488">
        <v>1</v>
      </c>
      <c r="BN488">
        <v>0</v>
      </c>
    </row>
    <row r="489" spans="1:92" x14ac:dyDescent="0.2">
      <c r="A489" t="s">
        <v>111</v>
      </c>
      <c r="B489" t="b">
        <v>1</v>
      </c>
      <c r="E489">
        <v>486</v>
      </c>
      <c r="F489" t="str">
        <f>HYPERLINK("https://portal.dnb.de/opac.htm?method=simpleSearch&amp;cqlMode=true&amp;query=idn%3D1066972354", "Portal")</f>
        <v>Portal</v>
      </c>
      <c r="G489" t="s">
        <v>133</v>
      </c>
      <c r="H489" t="s">
        <v>2254</v>
      </c>
      <c r="I489" t="s">
        <v>2255</v>
      </c>
      <c r="J489" t="s">
        <v>2256</v>
      </c>
      <c r="K489" t="s">
        <v>2256</v>
      </c>
      <c r="L489" t="s">
        <v>2256</v>
      </c>
      <c r="N489" t="s">
        <v>2257</v>
      </c>
      <c r="O489" t="s">
        <v>121</v>
      </c>
      <c r="P489" t="s">
        <v>138</v>
      </c>
      <c r="R489" t="s">
        <v>1101</v>
      </c>
      <c r="S489" t="s">
        <v>189</v>
      </c>
      <c r="T489" t="s">
        <v>163</v>
      </c>
      <c r="U489" t="s">
        <v>886</v>
      </c>
      <c r="W489" t="s">
        <v>67</v>
      </c>
      <c r="X489" t="s">
        <v>144</v>
      </c>
      <c r="Y489">
        <v>0</v>
      </c>
      <c r="BN489">
        <v>0</v>
      </c>
    </row>
    <row r="490" spans="1:92" x14ac:dyDescent="0.2">
      <c r="A490" t="s">
        <v>111</v>
      </c>
      <c r="B490" t="b">
        <v>1</v>
      </c>
      <c r="C490" t="s">
        <v>146</v>
      </c>
      <c r="E490">
        <v>487</v>
      </c>
      <c r="F490" t="str">
        <f>HYPERLINK("https://portal.dnb.de/opac.htm?method=simpleSearch&amp;cqlMode=true&amp;query=idn%3D1066966176", "Portal")</f>
        <v>Portal</v>
      </c>
      <c r="G490" t="s">
        <v>133</v>
      </c>
      <c r="H490" t="s">
        <v>2258</v>
      </c>
      <c r="I490" t="s">
        <v>2259</v>
      </c>
      <c r="J490" t="s">
        <v>2260</v>
      </c>
      <c r="K490" t="s">
        <v>2260</v>
      </c>
      <c r="L490" t="s">
        <v>2260</v>
      </c>
      <c r="N490" t="s">
        <v>1972</v>
      </c>
      <c r="O490" t="s">
        <v>121</v>
      </c>
      <c r="Q490" t="s">
        <v>2261</v>
      </c>
      <c r="S490" t="s">
        <v>162</v>
      </c>
      <c r="AI490" t="s">
        <v>165</v>
      </c>
      <c r="AK490" t="s">
        <v>146</v>
      </c>
      <c r="AM490" t="s">
        <v>147</v>
      </c>
      <c r="AS490" t="s">
        <v>148</v>
      </c>
      <c r="BC490" t="s">
        <v>287</v>
      </c>
      <c r="BD490" t="s">
        <v>146</v>
      </c>
      <c r="BG490">
        <v>45</v>
      </c>
      <c r="BM490" t="s">
        <v>213</v>
      </c>
      <c r="BN490">
        <v>3.5</v>
      </c>
      <c r="BR490" t="s">
        <v>146</v>
      </c>
      <c r="BZ490" t="s">
        <v>146</v>
      </c>
      <c r="CA490" t="s">
        <v>146</v>
      </c>
      <c r="CB490" t="s">
        <v>146</v>
      </c>
      <c r="CD490" t="s">
        <v>202</v>
      </c>
      <c r="CL490" t="s">
        <v>560</v>
      </c>
      <c r="CM490">
        <v>3.5</v>
      </c>
      <c r="CN490" t="s">
        <v>2262</v>
      </c>
    </row>
    <row r="491" spans="1:92" x14ac:dyDescent="0.2">
      <c r="A491" t="s">
        <v>111</v>
      </c>
      <c r="B491" t="b">
        <v>1</v>
      </c>
      <c r="E491">
        <v>488</v>
      </c>
      <c r="F491" t="str">
        <f>HYPERLINK("https://portal.dnb.de/opac.htm?method=simpleSearch&amp;cqlMode=true&amp;query=idn%3D1066967911", "Portal")</f>
        <v>Portal</v>
      </c>
      <c r="G491" t="s">
        <v>133</v>
      </c>
      <c r="H491" t="s">
        <v>2263</v>
      </c>
      <c r="I491" t="s">
        <v>2264</v>
      </c>
      <c r="J491" t="s">
        <v>2265</v>
      </c>
      <c r="K491" t="s">
        <v>2265</v>
      </c>
      <c r="L491" t="s">
        <v>2265</v>
      </c>
      <c r="N491" t="s">
        <v>128</v>
      </c>
      <c r="O491" t="s">
        <v>121</v>
      </c>
      <c r="BN491">
        <v>0</v>
      </c>
    </row>
    <row r="492" spans="1:92" x14ac:dyDescent="0.2">
      <c r="A492" t="s">
        <v>111</v>
      </c>
      <c r="B492" t="b">
        <v>1</v>
      </c>
      <c r="E492">
        <v>489</v>
      </c>
      <c r="F492" t="str">
        <f>HYPERLINK("https://portal.dnb.de/opac.htm?method=simpleSearch&amp;cqlMode=true&amp;query=idn%3D106696792X", "Portal")</f>
        <v>Portal</v>
      </c>
      <c r="G492" t="s">
        <v>133</v>
      </c>
      <c r="H492" t="s">
        <v>2266</v>
      </c>
      <c r="I492" t="s">
        <v>2267</v>
      </c>
      <c r="J492" t="s">
        <v>2268</v>
      </c>
      <c r="K492" t="s">
        <v>2268</v>
      </c>
      <c r="L492" t="s">
        <v>2268</v>
      </c>
      <c r="N492" t="s">
        <v>128</v>
      </c>
      <c r="O492" t="s">
        <v>121</v>
      </c>
      <c r="BN492">
        <v>0</v>
      </c>
    </row>
    <row r="493" spans="1:92" x14ac:dyDescent="0.2">
      <c r="A493" t="s">
        <v>111</v>
      </c>
      <c r="B493" t="b">
        <v>1</v>
      </c>
      <c r="E493">
        <v>490</v>
      </c>
      <c r="F493" t="str">
        <f>HYPERLINK("https://portal.dnb.de/opac.htm?method=simpleSearch&amp;cqlMode=true&amp;query=idn%3D106696792X", "Portal")</f>
        <v>Portal</v>
      </c>
      <c r="G493" t="s">
        <v>133</v>
      </c>
      <c r="H493" t="s">
        <v>2269</v>
      </c>
      <c r="I493" t="s">
        <v>2267</v>
      </c>
      <c r="J493" t="s">
        <v>2270</v>
      </c>
      <c r="K493" t="s">
        <v>2270</v>
      </c>
      <c r="L493" t="s">
        <v>2270</v>
      </c>
      <c r="N493" t="s">
        <v>128</v>
      </c>
      <c r="O493" t="s">
        <v>121</v>
      </c>
      <c r="BN493">
        <v>0</v>
      </c>
    </row>
    <row r="494" spans="1:92" x14ac:dyDescent="0.2">
      <c r="A494" t="s">
        <v>111</v>
      </c>
      <c r="B494" t="b">
        <v>1</v>
      </c>
      <c r="E494">
        <v>491</v>
      </c>
      <c r="F494" t="str">
        <f>HYPERLINK("https://portal.dnb.de/opac.htm?method=simpleSearch&amp;cqlMode=true&amp;query=idn%3D1066966753", "Portal")</f>
        <v>Portal</v>
      </c>
      <c r="G494" t="s">
        <v>133</v>
      </c>
      <c r="H494" t="s">
        <v>2271</v>
      </c>
      <c r="I494" t="s">
        <v>2272</v>
      </c>
      <c r="J494" t="s">
        <v>2273</v>
      </c>
      <c r="K494" t="s">
        <v>2273</v>
      </c>
      <c r="L494" t="s">
        <v>2273</v>
      </c>
      <c r="N494" t="s">
        <v>2274</v>
      </c>
      <c r="O494" t="s">
        <v>121</v>
      </c>
      <c r="P494" t="s">
        <v>138</v>
      </c>
      <c r="R494" t="s">
        <v>171</v>
      </c>
      <c r="S494" t="s">
        <v>140</v>
      </c>
      <c r="T494" t="s">
        <v>141</v>
      </c>
      <c r="U494" t="s">
        <v>142</v>
      </c>
      <c r="V494" t="s">
        <v>143</v>
      </c>
      <c r="W494" t="s">
        <v>1263</v>
      </c>
      <c r="X494" t="s">
        <v>144</v>
      </c>
      <c r="Y494">
        <v>0</v>
      </c>
      <c r="AA494" t="s">
        <v>1222</v>
      </c>
      <c r="BN494">
        <v>0</v>
      </c>
    </row>
    <row r="495" spans="1:92" x14ac:dyDescent="0.2">
      <c r="A495" t="s">
        <v>111</v>
      </c>
      <c r="B495" t="b">
        <v>1</v>
      </c>
      <c r="E495">
        <v>492</v>
      </c>
      <c r="F495" t="str">
        <f>HYPERLINK("https://portal.dnb.de/opac.htm?method=simpleSearch&amp;cqlMode=true&amp;query=idn%3D1066970130", "Portal")</f>
        <v>Portal</v>
      </c>
      <c r="G495" t="s">
        <v>133</v>
      </c>
      <c r="H495" t="s">
        <v>2275</v>
      </c>
      <c r="I495" t="s">
        <v>2276</v>
      </c>
      <c r="J495" t="s">
        <v>2277</v>
      </c>
      <c r="K495" t="s">
        <v>2277</v>
      </c>
      <c r="L495" t="s">
        <v>2277</v>
      </c>
      <c r="N495" t="s">
        <v>2278</v>
      </c>
      <c r="O495" t="s">
        <v>121</v>
      </c>
      <c r="P495" t="s">
        <v>138</v>
      </c>
      <c r="R495" t="s">
        <v>161</v>
      </c>
      <c r="S495" t="s">
        <v>140</v>
      </c>
      <c r="T495" t="s">
        <v>163</v>
      </c>
      <c r="U495" t="s">
        <v>164</v>
      </c>
      <c r="V495" t="s">
        <v>143</v>
      </c>
      <c r="W495" t="s">
        <v>67</v>
      </c>
      <c r="X495" t="s">
        <v>144</v>
      </c>
      <c r="Y495">
        <v>0</v>
      </c>
      <c r="BN495">
        <v>0</v>
      </c>
    </row>
    <row r="496" spans="1:92" x14ac:dyDescent="0.2">
      <c r="A496" t="s">
        <v>111</v>
      </c>
      <c r="B496" t="b">
        <v>1</v>
      </c>
      <c r="C496" t="s">
        <v>146</v>
      </c>
      <c r="E496">
        <v>493</v>
      </c>
      <c r="F496" t="str">
        <f>HYPERLINK("https://portal.dnb.de/opac.htm?method=simpleSearch&amp;cqlMode=true&amp;query=idn%3D1066972206", "Portal")</f>
        <v>Portal</v>
      </c>
      <c r="G496" t="s">
        <v>115</v>
      </c>
      <c r="H496" t="s">
        <v>2279</v>
      </c>
      <c r="I496" t="s">
        <v>2280</v>
      </c>
      <c r="J496" t="s">
        <v>2281</v>
      </c>
      <c r="K496" t="s">
        <v>2281</v>
      </c>
      <c r="L496" t="s">
        <v>2281</v>
      </c>
      <c r="N496" t="s">
        <v>818</v>
      </c>
      <c r="O496" t="s">
        <v>121</v>
      </c>
      <c r="P496" t="s">
        <v>138</v>
      </c>
      <c r="Q496" t="s">
        <v>814</v>
      </c>
      <c r="R496" t="s">
        <v>180</v>
      </c>
      <c r="S496" t="s">
        <v>140</v>
      </c>
      <c r="T496" t="s">
        <v>163</v>
      </c>
      <c r="U496" t="s">
        <v>660</v>
      </c>
      <c r="V496" t="s">
        <v>143</v>
      </c>
      <c r="W496" t="s">
        <v>67</v>
      </c>
      <c r="X496" t="s">
        <v>144</v>
      </c>
      <c r="Y496">
        <v>0</v>
      </c>
      <c r="AA496" t="s">
        <v>2282</v>
      </c>
      <c r="AI496" t="s">
        <v>182</v>
      </c>
      <c r="AK496" t="s">
        <v>146</v>
      </c>
      <c r="AM496" t="s">
        <v>313</v>
      </c>
      <c r="AS496" t="s">
        <v>148</v>
      </c>
      <c r="BC496" t="s">
        <v>166</v>
      </c>
      <c r="BD496" t="s">
        <v>146</v>
      </c>
      <c r="BG496">
        <v>60</v>
      </c>
      <c r="BM496" t="s">
        <v>213</v>
      </c>
      <c r="BN496">
        <v>0.5</v>
      </c>
      <c r="BP496" t="s">
        <v>152</v>
      </c>
      <c r="BZ496" t="s">
        <v>1661</v>
      </c>
      <c r="CA496" t="s">
        <v>146</v>
      </c>
      <c r="CB496" t="s">
        <v>146</v>
      </c>
      <c r="CM496">
        <v>0.5</v>
      </c>
      <c r="CN496" t="s">
        <v>1662</v>
      </c>
    </row>
    <row r="497" spans="1:92" x14ac:dyDescent="0.2">
      <c r="A497" t="s">
        <v>111</v>
      </c>
      <c r="B497" t="b">
        <v>1</v>
      </c>
      <c r="E497">
        <v>494</v>
      </c>
      <c r="F497" t="str">
        <f>HYPERLINK("https://portal.dnb.de/opac.htm?method=simpleSearch&amp;cqlMode=true&amp;query=idn%3D1066969949", "Portal")</f>
        <v>Portal</v>
      </c>
      <c r="G497" t="s">
        <v>133</v>
      </c>
      <c r="H497" t="s">
        <v>2283</v>
      </c>
      <c r="I497" t="s">
        <v>2284</v>
      </c>
      <c r="J497" t="s">
        <v>2285</v>
      </c>
      <c r="K497" t="s">
        <v>2285</v>
      </c>
      <c r="L497" t="s">
        <v>2285</v>
      </c>
      <c r="N497" t="s">
        <v>2286</v>
      </c>
      <c r="O497" t="s">
        <v>121</v>
      </c>
      <c r="P497" t="s">
        <v>138</v>
      </c>
      <c r="R497" t="s">
        <v>171</v>
      </c>
      <c r="S497" t="s">
        <v>140</v>
      </c>
      <c r="T497" t="s">
        <v>163</v>
      </c>
      <c r="U497" t="s">
        <v>142</v>
      </c>
      <c r="V497" t="s">
        <v>143</v>
      </c>
      <c r="W497" t="s">
        <v>67</v>
      </c>
      <c r="X497" t="s">
        <v>144</v>
      </c>
      <c r="Y497">
        <v>0</v>
      </c>
      <c r="BN497">
        <v>0</v>
      </c>
    </row>
    <row r="498" spans="1:92" x14ac:dyDescent="0.2">
      <c r="A498" t="s">
        <v>111</v>
      </c>
      <c r="B498" t="b">
        <v>1</v>
      </c>
      <c r="E498">
        <v>495</v>
      </c>
      <c r="F498" t="str">
        <f>HYPERLINK("https://portal.dnb.de/opac.htm?method=simpleSearch&amp;cqlMode=true&amp;query=idn%3D1066969280", "Portal")</f>
        <v>Portal</v>
      </c>
      <c r="G498" t="s">
        <v>115</v>
      </c>
      <c r="H498" t="s">
        <v>2287</v>
      </c>
      <c r="I498" t="s">
        <v>2288</v>
      </c>
      <c r="J498" t="s">
        <v>2289</v>
      </c>
      <c r="K498" t="s">
        <v>2289</v>
      </c>
      <c r="L498" t="s">
        <v>2289</v>
      </c>
      <c r="N498" t="s">
        <v>1683</v>
      </c>
      <c r="O498" t="s">
        <v>121</v>
      </c>
      <c r="P498" t="s">
        <v>138</v>
      </c>
      <c r="R498" t="s">
        <v>207</v>
      </c>
      <c r="S498" t="s">
        <v>140</v>
      </c>
      <c r="T498" t="s">
        <v>163</v>
      </c>
      <c r="U498" t="s">
        <v>198</v>
      </c>
      <c r="V498" t="s">
        <v>143</v>
      </c>
      <c r="W498" t="s">
        <v>67</v>
      </c>
      <c r="X498" t="s">
        <v>144</v>
      </c>
      <c r="Y498">
        <v>2</v>
      </c>
      <c r="BN498">
        <v>0</v>
      </c>
    </row>
    <row r="499" spans="1:92" x14ac:dyDescent="0.2">
      <c r="A499" t="s">
        <v>111</v>
      </c>
      <c r="B499" t="b">
        <v>1</v>
      </c>
      <c r="E499">
        <v>496</v>
      </c>
      <c r="F499" t="str">
        <f>HYPERLINK("https://portal.dnb.de/opac.htm?method=simpleSearch&amp;cqlMode=true&amp;query=idn%3D1066969965", "Portal")</f>
        <v>Portal</v>
      </c>
      <c r="G499" t="s">
        <v>115</v>
      </c>
      <c r="H499" t="s">
        <v>2290</v>
      </c>
      <c r="I499" t="s">
        <v>2291</v>
      </c>
      <c r="J499" t="s">
        <v>2292</v>
      </c>
      <c r="K499" t="s">
        <v>2292</v>
      </c>
      <c r="L499" t="s">
        <v>2292</v>
      </c>
      <c r="N499" t="s">
        <v>2293</v>
      </c>
      <c r="O499" t="s">
        <v>121</v>
      </c>
      <c r="P499" t="s">
        <v>138</v>
      </c>
      <c r="R499" t="s">
        <v>180</v>
      </c>
      <c r="S499" t="s">
        <v>140</v>
      </c>
      <c r="T499" t="s">
        <v>163</v>
      </c>
      <c r="U499" t="s">
        <v>164</v>
      </c>
      <c r="V499" t="s">
        <v>143</v>
      </c>
      <c r="W499" t="s">
        <v>67</v>
      </c>
      <c r="X499" t="s">
        <v>144</v>
      </c>
      <c r="Y499">
        <v>0</v>
      </c>
      <c r="BN499">
        <v>0</v>
      </c>
    </row>
    <row r="500" spans="1:92" x14ac:dyDescent="0.2">
      <c r="A500" t="s">
        <v>111</v>
      </c>
      <c r="B500" t="b">
        <v>1</v>
      </c>
      <c r="E500">
        <v>497</v>
      </c>
      <c r="F500" t="str">
        <f>HYPERLINK("https://portal.dnb.de/opac.htm?method=simpleSearch&amp;cqlMode=true&amp;query=idn%3D1066968926", "Portal")</f>
        <v>Portal</v>
      </c>
      <c r="G500" t="s">
        <v>115</v>
      </c>
      <c r="H500" t="s">
        <v>2294</v>
      </c>
      <c r="I500" t="s">
        <v>2295</v>
      </c>
      <c r="J500" t="s">
        <v>2296</v>
      </c>
      <c r="K500" t="s">
        <v>2296</v>
      </c>
      <c r="L500" t="s">
        <v>2296</v>
      </c>
      <c r="N500" t="s">
        <v>428</v>
      </c>
      <c r="O500" t="s">
        <v>121</v>
      </c>
      <c r="P500" t="s">
        <v>138</v>
      </c>
      <c r="R500" t="s">
        <v>180</v>
      </c>
      <c r="S500" t="s">
        <v>140</v>
      </c>
      <c r="T500" t="s">
        <v>163</v>
      </c>
      <c r="U500" t="s">
        <v>243</v>
      </c>
      <c r="V500" t="s">
        <v>143</v>
      </c>
      <c r="W500" t="s">
        <v>67</v>
      </c>
      <c r="X500" t="s">
        <v>144</v>
      </c>
      <c r="Y500">
        <v>0</v>
      </c>
      <c r="BN500">
        <v>0</v>
      </c>
    </row>
    <row r="501" spans="1:92" x14ac:dyDescent="0.2">
      <c r="A501" t="s">
        <v>111</v>
      </c>
      <c r="B501" t="b">
        <v>1</v>
      </c>
      <c r="E501">
        <v>498</v>
      </c>
      <c r="F501" t="str">
        <f>HYPERLINK("https://portal.dnb.de/opac.htm?method=simpleSearch&amp;cqlMode=true&amp;query=idn%3D1066969760", "Portal")</f>
        <v>Portal</v>
      </c>
      <c r="G501" t="s">
        <v>115</v>
      </c>
      <c r="H501" t="s">
        <v>2297</v>
      </c>
      <c r="I501" t="s">
        <v>2298</v>
      </c>
      <c r="J501" t="s">
        <v>2299</v>
      </c>
      <c r="K501" t="s">
        <v>2299</v>
      </c>
      <c r="L501" t="s">
        <v>2299</v>
      </c>
      <c r="N501" t="s">
        <v>1031</v>
      </c>
      <c r="O501" t="s">
        <v>121</v>
      </c>
      <c r="P501" t="s">
        <v>138</v>
      </c>
      <c r="R501" t="s">
        <v>161</v>
      </c>
      <c r="S501" t="s">
        <v>140</v>
      </c>
      <c r="T501" t="s">
        <v>163</v>
      </c>
      <c r="U501" t="s">
        <v>243</v>
      </c>
      <c r="V501" t="s">
        <v>143</v>
      </c>
      <c r="W501" t="s">
        <v>67</v>
      </c>
      <c r="X501" t="s">
        <v>144</v>
      </c>
      <c r="Y501">
        <v>0</v>
      </c>
      <c r="BN501">
        <v>0</v>
      </c>
    </row>
    <row r="502" spans="1:92" x14ac:dyDescent="0.2">
      <c r="A502" t="s">
        <v>111</v>
      </c>
      <c r="B502" t="b">
        <v>1</v>
      </c>
      <c r="E502">
        <v>499</v>
      </c>
      <c r="F502" t="str">
        <f>HYPERLINK("https://portal.dnb.de/opac.htm?method=simpleSearch&amp;cqlMode=true&amp;query=idn%3D1066969337", "Portal")</f>
        <v>Portal</v>
      </c>
      <c r="G502" t="s">
        <v>133</v>
      </c>
      <c r="H502" t="s">
        <v>2300</v>
      </c>
      <c r="I502" t="s">
        <v>2301</v>
      </c>
      <c r="J502" t="s">
        <v>2302</v>
      </c>
      <c r="K502" t="s">
        <v>2302</v>
      </c>
      <c r="L502" t="s">
        <v>2302</v>
      </c>
      <c r="N502" t="s">
        <v>2303</v>
      </c>
      <c r="O502" t="s">
        <v>121</v>
      </c>
      <c r="P502" t="s">
        <v>138</v>
      </c>
      <c r="R502" t="s">
        <v>139</v>
      </c>
      <c r="S502" t="s">
        <v>140</v>
      </c>
      <c r="T502" t="s">
        <v>163</v>
      </c>
      <c r="U502" t="s">
        <v>243</v>
      </c>
      <c r="V502" t="s">
        <v>143</v>
      </c>
      <c r="W502" t="s">
        <v>67</v>
      </c>
      <c r="X502" t="s">
        <v>144</v>
      </c>
      <c r="Y502">
        <v>1</v>
      </c>
      <c r="BN502">
        <v>0</v>
      </c>
    </row>
    <row r="503" spans="1:92" x14ac:dyDescent="0.2">
      <c r="A503" t="s">
        <v>111</v>
      </c>
      <c r="B503" t="b">
        <v>1</v>
      </c>
      <c r="E503">
        <v>500</v>
      </c>
      <c r="F503" t="str">
        <f>HYPERLINK("https://portal.dnb.de/opac.htm?method=simpleSearch&amp;cqlMode=true&amp;query=idn%3D1066969337", "Portal")</f>
        <v>Portal</v>
      </c>
      <c r="G503" t="s">
        <v>133</v>
      </c>
      <c r="H503" t="s">
        <v>2304</v>
      </c>
      <c r="I503" t="s">
        <v>2301</v>
      </c>
      <c r="J503" t="s">
        <v>2305</v>
      </c>
      <c r="K503" t="s">
        <v>2305</v>
      </c>
      <c r="L503" t="s">
        <v>2305</v>
      </c>
      <c r="N503" t="s">
        <v>2303</v>
      </c>
      <c r="O503" t="s">
        <v>121</v>
      </c>
      <c r="P503" t="s">
        <v>138</v>
      </c>
      <c r="R503" t="s">
        <v>180</v>
      </c>
      <c r="S503" t="s">
        <v>140</v>
      </c>
      <c r="T503" t="s">
        <v>163</v>
      </c>
      <c r="U503" t="s">
        <v>381</v>
      </c>
      <c r="V503" t="s">
        <v>143</v>
      </c>
      <c r="W503" t="s">
        <v>67</v>
      </c>
      <c r="X503" t="s">
        <v>144</v>
      </c>
      <c r="Y503">
        <v>0</v>
      </c>
      <c r="BN503">
        <v>0</v>
      </c>
    </row>
    <row r="504" spans="1:92" x14ac:dyDescent="0.2">
      <c r="A504" t="s">
        <v>111</v>
      </c>
      <c r="B504" t="b">
        <v>1</v>
      </c>
      <c r="E504">
        <v>501</v>
      </c>
      <c r="F504" t="str">
        <f>HYPERLINK("https://portal.dnb.de/opac.htm?method=simpleSearch&amp;cqlMode=true&amp;query=idn%3D106697229X", "Portal")</f>
        <v>Portal</v>
      </c>
      <c r="G504" t="s">
        <v>133</v>
      </c>
      <c r="H504" t="s">
        <v>2306</v>
      </c>
      <c r="I504" t="s">
        <v>2307</v>
      </c>
      <c r="J504" t="s">
        <v>2308</v>
      </c>
      <c r="K504" t="s">
        <v>2308</v>
      </c>
      <c r="L504" t="s">
        <v>2308</v>
      </c>
      <c r="N504" t="s">
        <v>2309</v>
      </c>
      <c r="O504" t="s">
        <v>121</v>
      </c>
      <c r="P504" t="s">
        <v>138</v>
      </c>
      <c r="R504" t="s">
        <v>180</v>
      </c>
      <c r="S504" t="s">
        <v>189</v>
      </c>
      <c r="T504" t="s">
        <v>471</v>
      </c>
      <c r="U504" t="s">
        <v>2310</v>
      </c>
      <c r="W504" t="s">
        <v>67</v>
      </c>
      <c r="X504" t="s">
        <v>144</v>
      </c>
      <c r="Y504">
        <v>0</v>
      </c>
      <c r="BN504">
        <v>0</v>
      </c>
    </row>
    <row r="505" spans="1:92" x14ac:dyDescent="0.2">
      <c r="A505" t="s">
        <v>111</v>
      </c>
      <c r="B505" t="b">
        <v>1</v>
      </c>
      <c r="E505">
        <v>502</v>
      </c>
      <c r="F505" t="str">
        <f>HYPERLINK("https://portal.dnb.de/opac.htm?method=simpleSearch&amp;cqlMode=true&amp;query=idn%3D1066970742", "Portal")</f>
        <v>Portal</v>
      </c>
      <c r="G505" t="s">
        <v>133</v>
      </c>
      <c r="H505" t="s">
        <v>2311</v>
      </c>
      <c r="I505" t="s">
        <v>2312</v>
      </c>
      <c r="J505" t="s">
        <v>2313</v>
      </c>
      <c r="K505" t="s">
        <v>2313</v>
      </c>
      <c r="L505" t="s">
        <v>2313</v>
      </c>
      <c r="N505" t="s">
        <v>2314</v>
      </c>
      <c r="O505" t="s">
        <v>121</v>
      </c>
      <c r="P505" t="s">
        <v>138</v>
      </c>
      <c r="R505" t="s">
        <v>161</v>
      </c>
      <c r="S505" t="s">
        <v>189</v>
      </c>
      <c r="T505" t="s">
        <v>141</v>
      </c>
      <c r="U505" t="s">
        <v>1599</v>
      </c>
      <c r="W505" t="s">
        <v>67</v>
      </c>
      <c r="X505" t="s">
        <v>144</v>
      </c>
      <c r="Y505">
        <v>1</v>
      </c>
      <c r="BN505">
        <v>0</v>
      </c>
    </row>
    <row r="506" spans="1:92" x14ac:dyDescent="0.2">
      <c r="A506" t="s">
        <v>111</v>
      </c>
      <c r="B506" t="b">
        <v>1</v>
      </c>
      <c r="E506">
        <v>503</v>
      </c>
      <c r="F506" t="str">
        <f>HYPERLINK("https://portal.dnb.de/opac.htm?method=simpleSearch&amp;cqlMode=true&amp;query=idn%3D1066970246", "Portal")</f>
        <v>Portal</v>
      </c>
      <c r="G506" t="s">
        <v>133</v>
      </c>
      <c r="H506" t="s">
        <v>2315</v>
      </c>
      <c r="I506" t="s">
        <v>2316</v>
      </c>
      <c r="J506" t="s">
        <v>2317</v>
      </c>
      <c r="K506" t="s">
        <v>2317</v>
      </c>
      <c r="L506" t="s">
        <v>2317</v>
      </c>
      <c r="N506" t="s">
        <v>2318</v>
      </c>
      <c r="O506" t="s">
        <v>121</v>
      </c>
      <c r="P506" t="s">
        <v>146</v>
      </c>
      <c r="R506" t="s">
        <v>161</v>
      </c>
      <c r="S506" t="s">
        <v>189</v>
      </c>
      <c r="T506" t="s">
        <v>141</v>
      </c>
      <c r="U506" t="s">
        <v>172</v>
      </c>
      <c r="W506" t="s">
        <v>67</v>
      </c>
      <c r="X506" t="s">
        <v>144</v>
      </c>
      <c r="Y506">
        <v>0</v>
      </c>
      <c r="BN506">
        <v>0</v>
      </c>
    </row>
    <row r="507" spans="1:92" x14ac:dyDescent="0.2">
      <c r="A507" t="s">
        <v>111</v>
      </c>
      <c r="B507" t="b">
        <v>1</v>
      </c>
      <c r="C507" t="s">
        <v>146</v>
      </c>
      <c r="E507">
        <v>504</v>
      </c>
      <c r="F507" t="str">
        <f>HYPERLINK("https://portal.dnb.de/opac.htm?method=simpleSearch&amp;cqlMode=true&amp;query=idn%3D1066965137", "Portal")</f>
        <v>Portal</v>
      </c>
      <c r="G507" t="s">
        <v>133</v>
      </c>
      <c r="H507" t="s">
        <v>2319</v>
      </c>
      <c r="I507" t="s">
        <v>2320</v>
      </c>
      <c r="J507" t="s">
        <v>2321</v>
      </c>
      <c r="K507" t="s">
        <v>2321</v>
      </c>
      <c r="L507" t="s">
        <v>2321</v>
      </c>
      <c r="N507" t="s">
        <v>2322</v>
      </c>
      <c r="O507" t="s">
        <v>121</v>
      </c>
      <c r="P507" t="s">
        <v>138</v>
      </c>
      <c r="Q507" t="s">
        <v>537</v>
      </c>
      <c r="R507" t="s">
        <v>161</v>
      </c>
      <c r="S507" t="s">
        <v>140</v>
      </c>
      <c r="T507" t="s">
        <v>141</v>
      </c>
      <c r="U507" t="s">
        <v>1329</v>
      </c>
      <c r="W507" t="s">
        <v>67</v>
      </c>
      <c r="X507" t="s">
        <v>144</v>
      </c>
      <c r="Y507">
        <v>3</v>
      </c>
      <c r="AI507" t="s">
        <v>165</v>
      </c>
      <c r="AK507" t="s">
        <v>146</v>
      </c>
      <c r="AM507" t="s">
        <v>147</v>
      </c>
      <c r="AS507" t="s">
        <v>148</v>
      </c>
      <c r="BG507">
        <v>60</v>
      </c>
      <c r="BM507" t="s">
        <v>213</v>
      </c>
      <c r="BN507">
        <v>1</v>
      </c>
      <c r="BP507" t="s">
        <v>152</v>
      </c>
      <c r="BZ507" t="s">
        <v>2025</v>
      </c>
      <c r="CA507" t="s">
        <v>146</v>
      </c>
      <c r="CB507" t="s">
        <v>146</v>
      </c>
      <c r="CD507" t="s">
        <v>202</v>
      </c>
      <c r="CF507" t="s">
        <v>146</v>
      </c>
      <c r="CM507">
        <v>1</v>
      </c>
      <c r="CN507" t="s">
        <v>2323</v>
      </c>
    </row>
    <row r="508" spans="1:92" x14ac:dyDescent="0.2">
      <c r="A508" t="s">
        <v>111</v>
      </c>
      <c r="B508" t="b">
        <v>1</v>
      </c>
      <c r="E508">
        <v>505</v>
      </c>
      <c r="F508" t="str">
        <f>HYPERLINK("https://portal.dnb.de/opac.htm?method=simpleSearch&amp;cqlMode=true&amp;query=idn%3D1067439234", "Portal")</f>
        <v>Portal</v>
      </c>
      <c r="G508" t="s">
        <v>218</v>
      </c>
      <c r="H508" t="s">
        <v>2324</v>
      </c>
      <c r="I508" t="s">
        <v>2325</v>
      </c>
      <c r="J508" t="s">
        <v>2326</v>
      </c>
      <c r="K508" t="s">
        <v>2326</v>
      </c>
      <c r="L508" t="s">
        <v>2326</v>
      </c>
      <c r="N508" t="s">
        <v>2327</v>
      </c>
      <c r="O508" t="s">
        <v>121</v>
      </c>
      <c r="BN508">
        <v>0</v>
      </c>
    </row>
    <row r="509" spans="1:92" x14ac:dyDescent="0.2">
      <c r="A509" t="s">
        <v>111</v>
      </c>
      <c r="B509" t="b">
        <v>1</v>
      </c>
      <c r="E509">
        <v>506</v>
      </c>
      <c r="F509" t="str">
        <f>HYPERLINK("https://portal.dnb.de/opac.htm?method=simpleSearch&amp;cqlMode=true&amp;query=idn%3D1067439250", "Portal")</f>
        <v>Portal</v>
      </c>
      <c r="G509" t="s">
        <v>218</v>
      </c>
      <c r="H509" t="s">
        <v>2328</v>
      </c>
      <c r="I509" t="s">
        <v>2329</v>
      </c>
      <c r="J509" t="s">
        <v>2330</v>
      </c>
      <c r="K509" t="s">
        <v>2330</v>
      </c>
      <c r="L509" t="s">
        <v>2330</v>
      </c>
      <c r="N509" t="s">
        <v>2331</v>
      </c>
      <c r="O509" t="s">
        <v>121</v>
      </c>
      <c r="BN509">
        <v>0</v>
      </c>
    </row>
    <row r="510" spans="1:92" x14ac:dyDescent="0.2">
      <c r="A510" t="s">
        <v>111</v>
      </c>
      <c r="B510" t="b">
        <v>1</v>
      </c>
      <c r="E510">
        <v>507</v>
      </c>
      <c r="F510" t="str">
        <f>HYPERLINK("https://portal.dnb.de/opac.htm?method=simpleSearch&amp;cqlMode=true&amp;query=idn%3D1066965277", "Portal")</f>
        <v>Portal</v>
      </c>
      <c r="G510" t="s">
        <v>133</v>
      </c>
      <c r="H510" t="s">
        <v>2332</v>
      </c>
      <c r="I510" t="s">
        <v>2333</v>
      </c>
      <c r="J510" t="s">
        <v>2334</v>
      </c>
      <c r="K510" t="s">
        <v>2334</v>
      </c>
      <c r="L510" t="s">
        <v>2334</v>
      </c>
      <c r="N510" t="s">
        <v>2335</v>
      </c>
      <c r="O510" t="s">
        <v>121</v>
      </c>
      <c r="P510" t="s">
        <v>146</v>
      </c>
      <c r="R510" t="s">
        <v>207</v>
      </c>
      <c r="S510" t="s">
        <v>189</v>
      </c>
      <c r="T510" t="s">
        <v>141</v>
      </c>
      <c r="U510" t="s">
        <v>172</v>
      </c>
      <c r="W510" t="s">
        <v>67</v>
      </c>
      <c r="X510" t="s">
        <v>144</v>
      </c>
      <c r="Y510">
        <v>0</v>
      </c>
      <c r="BN510">
        <v>0</v>
      </c>
    </row>
    <row r="511" spans="1:92" x14ac:dyDescent="0.2">
      <c r="A511" t="s">
        <v>111</v>
      </c>
      <c r="B511" t="b">
        <v>1</v>
      </c>
      <c r="F511" t="str">
        <f>HYPERLINK("https://portal.dnb.de/opac.htm?method=simpleSearch&amp;cqlMode=true&amp;query=idn%3D1072321602", "Portal")</f>
        <v>Portal</v>
      </c>
      <c r="G511" t="s">
        <v>115</v>
      </c>
      <c r="H511" t="s">
        <v>2336</v>
      </c>
      <c r="I511" t="s">
        <v>2337</v>
      </c>
      <c r="J511" t="s">
        <v>2338</v>
      </c>
      <c r="K511" t="s">
        <v>2338</v>
      </c>
      <c r="L511" t="s">
        <v>2338</v>
      </c>
      <c r="N511" t="s">
        <v>2339</v>
      </c>
      <c r="O511" t="s">
        <v>121</v>
      </c>
      <c r="P511" t="s">
        <v>146</v>
      </c>
      <c r="R511" t="s">
        <v>139</v>
      </c>
      <c r="S511" t="s">
        <v>189</v>
      </c>
      <c r="T511" t="s">
        <v>141</v>
      </c>
      <c r="U511" t="s">
        <v>172</v>
      </c>
      <c r="W511" t="s">
        <v>67</v>
      </c>
      <c r="X511" t="s">
        <v>144</v>
      </c>
      <c r="Y511">
        <v>0</v>
      </c>
      <c r="BN511">
        <v>0</v>
      </c>
    </row>
    <row r="512" spans="1:92" x14ac:dyDescent="0.2">
      <c r="A512" t="s">
        <v>111</v>
      </c>
      <c r="B512" t="b">
        <v>1</v>
      </c>
      <c r="E512">
        <v>508</v>
      </c>
      <c r="F512" t="str">
        <f>HYPERLINK("https://portal.dnb.de/opac.htm?method=simpleSearch&amp;cqlMode=true&amp;query=idn%3D1200511840", "Portal")</f>
        <v>Portal</v>
      </c>
      <c r="G512" t="s">
        <v>115</v>
      </c>
      <c r="H512" t="s">
        <v>2340</v>
      </c>
      <c r="I512" t="s">
        <v>2341</v>
      </c>
      <c r="J512" t="s">
        <v>2342</v>
      </c>
      <c r="K512" t="s">
        <v>2342</v>
      </c>
      <c r="L512" t="s">
        <v>2343</v>
      </c>
      <c r="N512" t="s">
        <v>2344</v>
      </c>
      <c r="O512" t="s">
        <v>121</v>
      </c>
      <c r="Q512" t="s">
        <v>2345</v>
      </c>
      <c r="R512" t="s">
        <v>180</v>
      </c>
      <c r="S512" t="s">
        <v>189</v>
      </c>
      <c r="T512" t="s">
        <v>163</v>
      </c>
      <c r="U512" t="s">
        <v>2346</v>
      </c>
      <c r="W512" t="s">
        <v>67</v>
      </c>
      <c r="X512" t="s">
        <v>144</v>
      </c>
      <c r="Y512">
        <v>2</v>
      </c>
      <c r="BN512">
        <v>0</v>
      </c>
    </row>
    <row r="513" spans="1:92" x14ac:dyDescent="0.2">
      <c r="A513" t="s">
        <v>111</v>
      </c>
      <c r="B513" t="b">
        <v>1</v>
      </c>
      <c r="E513">
        <v>509</v>
      </c>
      <c r="F513" t="str">
        <f>HYPERLINK("https://portal.dnb.de/opac.htm?method=simpleSearch&amp;cqlMode=true&amp;query=idn%3D1072321904", "Portal")</f>
        <v>Portal</v>
      </c>
      <c r="G513" t="s">
        <v>115</v>
      </c>
      <c r="H513" t="s">
        <v>2347</v>
      </c>
      <c r="I513" t="s">
        <v>2348</v>
      </c>
      <c r="J513" t="s">
        <v>2349</v>
      </c>
      <c r="K513" t="s">
        <v>2349</v>
      </c>
      <c r="L513" t="s">
        <v>2349</v>
      </c>
      <c r="N513" t="s">
        <v>2350</v>
      </c>
      <c r="O513" t="s">
        <v>121</v>
      </c>
      <c r="P513" t="s">
        <v>146</v>
      </c>
      <c r="R513" t="s">
        <v>1101</v>
      </c>
      <c r="S513" t="s">
        <v>189</v>
      </c>
      <c r="T513" t="s">
        <v>471</v>
      </c>
      <c r="U513" t="s">
        <v>1804</v>
      </c>
      <c r="V513" t="s">
        <v>143</v>
      </c>
      <c r="W513" t="s">
        <v>67</v>
      </c>
      <c r="X513" t="s">
        <v>144</v>
      </c>
      <c r="Y513">
        <v>1</v>
      </c>
      <c r="BN513">
        <v>0</v>
      </c>
    </row>
    <row r="514" spans="1:92" x14ac:dyDescent="0.2">
      <c r="A514" t="s">
        <v>111</v>
      </c>
      <c r="B514" t="b">
        <v>1</v>
      </c>
      <c r="E514">
        <v>510</v>
      </c>
      <c r="F514" t="str">
        <f>HYPERLINK("https://portal.dnb.de/opac.htm?method=simpleSearch&amp;cqlMode=true&amp;query=idn%3D1066966877", "Portal")</f>
        <v>Portal</v>
      </c>
      <c r="G514" t="s">
        <v>133</v>
      </c>
      <c r="H514" t="s">
        <v>2351</v>
      </c>
      <c r="I514" t="s">
        <v>2352</v>
      </c>
      <c r="J514" t="s">
        <v>2353</v>
      </c>
      <c r="K514" t="s">
        <v>2353</v>
      </c>
      <c r="L514" t="s">
        <v>2353</v>
      </c>
      <c r="N514" t="s">
        <v>2354</v>
      </c>
      <c r="O514" t="s">
        <v>121</v>
      </c>
      <c r="P514" t="s">
        <v>138</v>
      </c>
      <c r="R514" t="s">
        <v>180</v>
      </c>
      <c r="S514" t="s">
        <v>140</v>
      </c>
      <c r="T514" t="s">
        <v>163</v>
      </c>
      <c r="U514" t="s">
        <v>660</v>
      </c>
      <c r="V514" t="s">
        <v>143</v>
      </c>
      <c r="W514" t="s">
        <v>67</v>
      </c>
      <c r="X514" t="s">
        <v>144</v>
      </c>
      <c r="Y514">
        <v>2</v>
      </c>
      <c r="BN514">
        <v>0</v>
      </c>
    </row>
    <row r="515" spans="1:92" x14ac:dyDescent="0.2">
      <c r="A515" t="s">
        <v>111</v>
      </c>
      <c r="B515" t="b">
        <v>1</v>
      </c>
      <c r="E515">
        <v>511</v>
      </c>
      <c r="F515" t="str">
        <f>HYPERLINK("https://portal.dnb.de/opac.htm?method=simpleSearch&amp;cqlMode=true&amp;query=idn%3D1066965196", "Portal")</f>
        <v>Portal</v>
      </c>
      <c r="G515" t="s">
        <v>133</v>
      </c>
      <c r="H515" t="s">
        <v>2355</v>
      </c>
      <c r="I515" t="s">
        <v>2356</v>
      </c>
      <c r="J515" t="s">
        <v>2357</v>
      </c>
      <c r="K515" t="s">
        <v>2357</v>
      </c>
      <c r="L515" t="s">
        <v>2357</v>
      </c>
      <c r="N515" t="s">
        <v>1598</v>
      </c>
      <c r="O515" t="s">
        <v>121</v>
      </c>
      <c r="P515" t="s">
        <v>138</v>
      </c>
      <c r="R515" t="s">
        <v>161</v>
      </c>
      <c r="S515" t="s">
        <v>189</v>
      </c>
      <c r="T515" t="s">
        <v>163</v>
      </c>
      <c r="U515" t="s">
        <v>445</v>
      </c>
      <c r="V515" t="s">
        <v>143</v>
      </c>
      <c r="W515" t="s">
        <v>67</v>
      </c>
      <c r="X515" t="s">
        <v>144</v>
      </c>
      <c r="Y515">
        <v>2</v>
      </c>
      <c r="BN515">
        <v>0</v>
      </c>
    </row>
    <row r="516" spans="1:92" x14ac:dyDescent="0.2">
      <c r="A516" t="s">
        <v>111</v>
      </c>
      <c r="B516" t="b">
        <v>1</v>
      </c>
      <c r="E516">
        <v>512</v>
      </c>
      <c r="F516" t="str">
        <f>HYPERLINK("https://portal.dnb.de/opac.htm?method=simpleSearch&amp;cqlMode=true&amp;query=idn%3D1067439293", "Portal")</f>
        <v>Portal</v>
      </c>
      <c r="G516" t="s">
        <v>218</v>
      </c>
      <c r="H516" t="s">
        <v>2358</v>
      </c>
      <c r="I516" t="s">
        <v>2359</v>
      </c>
      <c r="J516" t="s">
        <v>2360</v>
      </c>
      <c r="K516" t="s">
        <v>2360</v>
      </c>
      <c r="L516" t="s">
        <v>2360</v>
      </c>
      <c r="N516" t="s">
        <v>2361</v>
      </c>
      <c r="O516" t="s">
        <v>121</v>
      </c>
      <c r="BN516">
        <v>0</v>
      </c>
    </row>
    <row r="517" spans="1:92" x14ac:dyDescent="0.2">
      <c r="A517" t="s">
        <v>111</v>
      </c>
      <c r="B517" t="b">
        <v>1</v>
      </c>
      <c r="E517">
        <v>513</v>
      </c>
      <c r="F517" t="str">
        <f>HYPERLINK("https://portal.dnb.de/opac.htm?method=simpleSearch&amp;cqlMode=true&amp;query=idn%3D1066966362", "Portal")</f>
        <v>Portal</v>
      </c>
      <c r="G517" t="s">
        <v>133</v>
      </c>
      <c r="H517" t="s">
        <v>2362</v>
      </c>
      <c r="I517" t="s">
        <v>2363</v>
      </c>
      <c r="J517" t="s">
        <v>2364</v>
      </c>
      <c r="K517" t="s">
        <v>2364</v>
      </c>
      <c r="L517" t="s">
        <v>2364</v>
      </c>
      <c r="N517" t="s">
        <v>2365</v>
      </c>
      <c r="O517" t="s">
        <v>121</v>
      </c>
      <c r="P517" t="s">
        <v>146</v>
      </c>
      <c r="R517" t="s">
        <v>517</v>
      </c>
      <c r="S517" t="s">
        <v>189</v>
      </c>
      <c r="T517" t="s">
        <v>471</v>
      </c>
      <c r="U517" t="s">
        <v>172</v>
      </c>
      <c r="W517" t="s">
        <v>67</v>
      </c>
      <c r="X517" t="s">
        <v>144</v>
      </c>
      <c r="Y517">
        <v>0</v>
      </c>
      <c r="BN517">
        <v>0</v>
      </c>
    </row>
    <row r="518" spans="1:92" x14ac:dyDescent="0.2">
      <c r="A518" t="s">
        <v>111</v>
      </c>
      <c r="B518" t="b">
        <v>1</v>
      </c>
      <c r="E518">
        <v>514</v>
      </c>
      <c r="F518" t="str">
        <f>HYPERLINK("https://portal.dnb.de/opac.htm?method=simpleSearch&amp;cqlMode=true&amp;query=idn%3D1066966346", "Portal")</f>
        <v>Portal</v>
      </c>
      <c r="G518" t="s">
        <v>133</v>
      </c>
      <c r="H518" t="s">
        <v>2366</v>
      </c>
      <c r="I518" t="s">
        <v>2367</v>
      </c>
      <c r="J518" t="s">
        <v>2368</v>
      </c>
      <c r="K518" t="s">
        <v>2368</v>
      </c>
      <c r="L518" t="s">
        <v>2368</v>
      </c>
      <c r="N518" t="s">
        <v>2369</v>
      </c>
      <c r="O518" t="s">
        <v>121</v>
      </c>
      <c r="P518" t="s">
        <v>138</v>
      </c>
      <c r="R518" t="s">
        <v>161</v>
      </c>
      <c r="S518" t="s">
        <v>189</v>
      </c>
      <c r="T518" t="s">
        <v>163</v>
      </c>
      <c r="U518" t="s">
        <v>2370</v>
      </c>
      <c r="W518" t="s">
        <v>67</v>
      </c>
      <c r="X518" t="s">
        <v>144</v>
      </c>
      <c r="Y518">
        <v>3</v>
      </c>
      <c r="BN518">
        <v>0</v>
      </c>
    </row>
    <row r="519" spans="1:92" x14ac:dyDescent="0.2">
      <c r="A519" t="s">
        <v>111</v>
      </c>
      <c r="B519" t="b">
        <v>1</v>
      </c>
      <c r="E519">
        <v>515</v>
      </c>
      <c r="F519" t="str">
        <f>HYPERLINK("https://portal.dnb.de/opac.htm?method=simpleSearch&amp;cqlMode=true&amp;query=idn%3D1066968349", "Portal")</f>
        <v>Portal</v>
      </c>
      <c r="G519" t="s">
        <v>115</v>
      </c>
      <c r="H519" t="s">
        <v>2371</v>
      </c>
      <c r="I519" t="s">
        <v>2372</v>
      </c>
      <c r="J519" t="s">
        <v>2373</v>
      </c>
      <c r="K519" t="s">
        <v>2373</v>
      </c>
      <c r="L519" t="s">
        <v>2373</v>
      </c>
      <c r="N519" t="s">
        <v>2374</v>
      </c>
      <c r="O519" t="s">
        <v>121</v>
      </c>
      <c r="P519" t="s">
        <v>146</v>
      </c>
      <c r="R519" t="s">
        <v>180</v>
      </c>
      <c r="S519" t="s">
        <v>140</v>
      </c>
      <c r="T519" t="s">
        <v>163</v>
      </c>
      <c r="U519" t="s">
        <v>1423</v>
      </c>
      <c r="V519" t="s">
        <v>143</v>
      </c>
      <c r="W519" t="s">
        <v>67</v>
      </c>
      <c r="X519" t="s">
        <v>144</v>
      </c>
      <c r="Y519">
        <v>0</v>
      </c>
      <c r="BN519">
        <v>0</v>
      </c>
    </row>
    <row r="520" spans="1:92" x14ac:dyDescent="0.2">
      <c r="A520" t="s">
        <v>111</v>
      </c>
      <c r="B520" t="b">
        <v>1</v>
      </c>
      <c r="E520">
        <v>516</v>
      </c>
      <c r="F520" t="str">
        <f>HYPERLINK("https://portal.dnb.de/opac.htm?method=simpleSearch&amp;cqlMode=true&amp;query=idn%3D1066965897", "Portal")</f>
        <v>Portal</v>
      </c>
      <c r="G520" t="s">
        <v>133</v>
      </c>
      <c r="H520" t="s">
        <v>2375</v>
      </c>
      <c r="I520" t="s">
        <v>2376</v>
      </c>
      <c r="J520" t="s">
        <v>2377</v>
      </c>
      <c r="K520" t="s">
        <v>2377</v>
      </c>
      <c r="L520" t="s">
        <v>2377</v>
      </c>
      <c r="N520" t="s">
        <v>2378</v>
      </c>
      <c r="O520" t="s">
        <v>121</v>
      </c>
      <c r="R520" t="s">
        <v>139</v>
      </c>
      <c r="S520" t="s">
        <v>189</v>
      </c>
      <c r="T520" t="s">
        <v>163</v>
      </c>
      <c r="U520" t="s">
        <v>172</v>
      </c>
      <c r="W520" t="s">
        <v>67</v>
      </c>
      <c r="X520" t="s">
        <v>144</v>
      </c>
      <c r="Y520">
        <v>0</v>
      </c>
      <c r="BN520">
        <v>0</v>
      </c>
    </row>
    <row r="521" spans="1:92" x14ac:dyDescent="0.2">
      <c r="A521" t="s">
        <v>111</v>
      </c>
      <c r="B521" t="b">
        <v>1</v>
      </c>
      <c r="E521">
        <v>517</v>
      </c>
      <c r="F521" t="str">
        <f>HYPERLINK("https://portal.dnb.de/opac.htm?method=simpleSearch&amp;cqlMode=true&amp;query=idn%3D1072322234", "Portal")</f>
        <v>Portal</v>
      </c>
      <c r="G521" t="s">
        <v>115</v>
      </c>
      <c r="H521" t="s">
        <v>2379</v>
      </c>
      <c r="I521" t="s">
        <v>2380</v>
      </c>
      <c r="J521" t="s">
        <v>2381</v>
      </c>
      <c r="K521" t="s">
        <v>2381</v>
      </c>
      <c r="L521" t="s">
        <v>2381</v>
      </c>
      <c r="N521" t="s">
        <v>1860</v>
      </c>
      <c r="O521" t="s">
        <v>121</v>
      </c>
      <c r="BN521">
        <v>0</v>
      </c>
    </row>
    <row r="522" spans="1:92" x14ac:dyDescent="0.2">
      <c r="A522" t="s">
        <v>111</v>
      </c>
      <c r="B522" t="b">
        <v>1</v>
      </c>
      <c r="E522">
        <v>518</v>
      </c>
      <c r="F522" t="str">
        <f>HYPERLINK("https://portal.dnb.de/opac.htm?method=simpleSearch&amp;cqlMode=true&amp;query=idn%3D1066963800", "Portal")</f>
        <v>Portal</v>
      </c>
      <c r="G522" t="s">
        <v>133</v>
      </c>
      <c r="H522" t="s">
        <v>2382</v>
      </c>
      <c r="I522" t="s">
        <v>2383</v>
      </c>
      <c r="J522" t="s">
        <v>2384</v>
      </c>
      <c r="K522" t="s">
        <v>2384</v>
      </c>
      <c r="L522" t="s">
        <v>2384</v>
      </c>
      <c r="N522" t="s">
        <v>2385</v>
      </c>
      <c r="O522" t="s">
        <v>121</v>
      </c>
      <c r="P522" t="s">
        <v>146</v>
      </c>
      <c r="R522" t="s">
        <v>161</v>
      </c>
      <c r="S522" t="s">
        <v>189</v>
      </c>
      <c r="T522" t="s">
        <v>163</v>
      </c>
      <c r="U522" t="s">
        <v>386</v>
      </c>
      <c r="W522" t="s">
        <v>67</v>
      </c>
      <c r="X522" t="s">
        <v>144</v>
      </c>
      <c r="Y522">
        <v>0</v>
      </c>
      <c r="BN522">
        <v>0</v>
      </c>
    </row>
    <row r="523" spans="1:92" x14ac:dyDescent="0.2">
      <c r="A523" t="s">
        <v>111</v>
      </c>
      <c r="B523" t="b">
        <v>1</v>
      </c>
      <c r="E523">
        <v>519</v>
      </c>
      <c r="F523" t="str">
        <f>HYPERLINK("https://portal.dnb.de/opac.htm?method=simpleSearch&amp;cqlMode=true&amp;query=idn%3D1072097877", "Portal")</f>
        <v>Portal</v>
      </c>
      <c r="G523" t="s">
        <v>115</v>
      </c>
      <c r="H523" t="s">
        <v>2386</v>
      </c>
      <c r="I523" t="s">
        <v>2387</v>
      </c>
      <c r="J523" t="s">
        <v>2388</v>
      </c>
      <c r="K523" t="s">
        <v>2388</v>
      </c>
      <c r="L523" t="s">
        <v>2388</v>
      </c>
      <c r="N523" t="s">
        <v>2389</v>
      </c>
      <c r="O523" t="s">
        <v>121</v>
      </c>
      <c r="P523" t="s">
        <v>138</v>
      </c>
      <c r="R523" t="s">
        <v>180</v>
      </c>
      <c r="S523" t="s">
        <v>140</v>
      </c>
      <c r="T523" t="s">
        <v>163</v>
      </c>
      <c r="U523" t="s">
        <v>381</v>
      </c>
      <c r="V523" t="s">
        <v>143</v>
      </c>
      <c r="W523" t="s">
        <v>67</v>
      </c>
      <c r="X523" t="s">
        <v>144</v>
      </c>
      <c r="Y523">
        <v>2</v>
      </c>
      <c r="BN523">
        <v>0</v>
      </c>
    </row>
    <row r="524" spans="1:92" x14ac:dyDescent="0.2">
      <c r="A524" t="s">
        <v>111</v>
      </c>
      <c r="B524" t="b">
        <v>1</v>
      </c>
      <c r="E524">
        <v>520</v>
      </c>
      <c r="F524" t="str">
        <f>HYPERLINK("https://portal.dnb.de/opac.htm?method=simpleSearch&amp;cqlMode=true&amp;query=idn%3D1066967830", "Portal")</f>
        <v>Portal</v>
      </c>
      <c r="G524" t="s">
        <v>133</v>
      </c>
      <c r="H524" t="s">
        <v>2390</v>
      </c>
      <c r="I524" t="s">
        <v>2391</v>
      </c>
      <c r="J524" t="s">
        <v>2392</v>
      </c>
      <c r="K524" t="s">
        <v>2392</v>
      </c>
      <c r="L524" t="s">
        <v>2392</v>
      </c>
      <c r="N524" t="s">
        <v>2393</v>
      </c>
      <c r="O524" t="s">
        <v>121</v>
      </c>
      <c r="P524" t="s">
        <v>146</v>
      </c>
      <c r="R524" t="s">
        <v>180</v>
      </c>
      <c r="S524" t="s">
        <v>140</v>
      </c>
      <c r="T524" t="s">
        <v>163</v>
      </c>
      <c r="U524" t="s">
        <v>824</v>
      </c>
      <c r="W524" t="s">
        <v>67</v>
      </c>
      <c r="X524" t="s">
        <v>144</v>
      </c>
      <c r="Y524">
        <v>3</v>
      </c>
      <c r="BN524">
        <v>0</v>
      </c>
    </row>
    <row r="525" spans="1:92" x14ac:dyDescent="0.2">
      <c r="A525" t="s">
        <v>111</v>
      </c>
      <c r="B525" t="b">
        <v>1</v>
      </c>
      <c r="C525" t="s">
        <v>146</v>
      </c>
      <c r="E525">
        <v>521</v>
      </c>
      <c r="F525" t="str">
        <f>HYPERLINK("https://portal.dnb.de/opac.htm?method=simpleSearch&amp;cqlMode=true&amp;query=idn%3D1066965560", "Portal")</f>
        <v>Portal</v>
      </c>
      <c r="G525" t="s">
        <v>115</v>
      </c>
      <c r="H525" t="s">
        <v>2394</v>
      </c>
      <c r="I525" t="s">
        <v>2395</v>
      </c>
      <c r="J525" t="s">
        <v>2396</v>
      </c>
      <c r="K525" t="s">
        <v>2396</v>
      </c>
      <c r="L525" t="s">
        <v>2396</v>
      </c>
      <c r="N525" t="s">
        <v>2397</v>
      </c>
      <c r="O525" t="s">
        <v>121</v>
      </c>
      <c r="Q525" t="s">
        <v>2398</v>
      </c>
      <c r="S525" t="s">
        <v>162</v>
      </c>
      <c r="AI525" t="s">
        <v>182</v>
      </c>
      <c r="AM525" t="s">
        <v>266</v>
      </c>
      <c r="AS525" t="s">
        <v>148</v>
      </c>
      <c r="AX525" t="s">
        <v>146</v>
      </c>
      <c r="BC525" t="s">
        <v>166</v>
      </c>
      <c r="BD525" t="s">
        <v>146</v>
      </c>
      <c r="BE525">
        <v>0</v>
      </c>
      <c r="BF525" t="s">
        <v>146</v>
      </c>
      <c r="BG525">
        <v>110</v>
      </c>
      <c r="BI525" t="s">
        <v>146</v>
      </c>
      <c r="BJ525" t="s">
        <v>2399</v>
      </c>
      <c r="BM525" t="s">
        <v>213</v>
      </c>
      <c r="BN525">
        <v>2</v>
      </c>
      <c r="BR525" t="s">
        <v>146</v>
      </c>
      <c r="BZ525" t="s">
        <v>146</v>
      </c>
      <c r="CA525" t="s">
        <v>146</v>
      </c>
      <c r="CB525" t="s">
        <v>146</v>
      </c>
      <c r="CD525" t="s">
        <v>237</v>
      </c>
      <c r="CH525" t="s">
        <v>146</v>
      </c>
      <c r="CM525">
        <v>2</v>
      </c>
      <c r="CN525" t="s">
        <v>2400</v>
      </c>
    </row>
    <row r="526" spans="1:92" x14ac:dyDescent="0.2">
      <c r="A526" t="s">
        <v>111</v>
      </c>
      <c r="B526" t="b">
        <v>1</v>
      </c>
      <c r="C526" t="s">
        <v>146</v>
      </c>
      <c r="E526">
        <v>522</v>
      </c>
      <c r="F526" t="str">
        <f>HYPERLINK("https://portal.dnb.de/opac.htm?method=simpleSearch&amp;cqlMode=true&amp;query=idn%3D1066966265", "Portal")</f>
        <v>Portal</v>
      </c>
      <c r="G526" t="s">
        <v>133</v>
      </c>
      <c r="H526" t="s">
        <v>2401</v>
      </c>
      <c r="I526" t="s">
        <v>2402</v>
      </c>
      <c r="J526" t="s">
        <v>2403</v>
      </c>
      <c r="K526" t="s">
        <v>2403</v>
      </c>
      <c r="L526" t="s">
        <v>2403</v>
      </c>
      <c r="N526" t="s">
        <v>818</v>
      </c>
      <c r="O526" t="s">
        <v>121</v>
      </c>
      <c r="P526" t="s">
        <v>146</v>
      </c>
      <c r="Q526" t="s">
        <v>537</v>
      </c>
      <c r="R526" t="s">
        <v>139</v>
      </c>
      <c r="S526" t="s">
        <v>140</v>
      </c>
      <c r="T526" t="s">
        <v>163</v>
      </c>
      <c r="U526" t="s">
        <v>198</v>
      </c>
      <c r="V526" t="s">
        <v>143</v>
      </c>
      <c r="W526" t="s">
        <v>67</v>
      </c>
      <c r="X526" t="s">
        <v>144</v>
      </c>
      <c r="Y526">
        <v>3</v>
      </c>
      <c r="AI526" t="s">
        <v>145</v>
      </c>
      <c r="AK526" t="s">
        <v>146</v>
      </c>
      <c r="AM526" t="s">
        <v>147</v>
      </c>
      <c r="AS526" t="s">
        <v>148</v>
      </c>
      <c r="BC526" t="s">
        <v>166</v>
      </c>
      <c r="BD526" t="s">
        <v>146</v>
      </c>
      <c r="BG526" t="s">
        <v>1476</v>
      </c>
      <c r="BI526" t="s">
        <v>146</v>
      </c>
      <c r="BJ526" t="s">
        <v>2404</v>
      </c>
      <c r="BM526" t="s">
        <v>1478</v>
      </c>
      <c r="BN526">
        <v>1</v>
      </c>
      <c r="BP526" t="s">
        <v>152</v>
      </c>
      <c r="BZ526" t="s">
        <v>146</v>
      </c>
      <c r="CA526" t="s">
        <v>146</v>
      </c>
      <c r="CB526" t="s">
        <v>146</v>
      </c>
      <c r="CD526" t="s">
        <v>202</v>
      </c>
      <c r="CF526" t="s">
        <v>146</v>
      </c>
      <c r="CM526">
        <v>1</v>
      </c>
      <c r="CN526" t="s">
        <v>2405</v>
      </c>
    </row>
    <row r="527" spans="1:92" x14ac:dyDescent="0.2">
      <c r="A527" t="s">
        <v>111</v>
      </c>
      <c r="B527" t="b">
        <v>1</v>
      </c>
      <c r="E527">
        <v>523</v>
      </c>
      <c r="F527" t="str">
        <f>HYPERLINK("https://portal.dnb.de/opac.htm?method=simpleSearch&amp;cqlMode=true&amp;query=idn%3D1072098342", "Portal")</f>
        <v>Portal</v>
      </c>
      <c r="G527" t="s">
        <v>115</v>
      </c>
      <c r="H527" t="s">
        <v>2406</v>
      </c>
      <c r="I527" t="s">
        <v>2407</v>
      </c>
      <c r="J527" t="s">
        <v>2408</v>
      </c>
      <c r="K527" t="s">
        <v>2408</v>
      </c>
      <c r="L527" t="s">
        <v>2408</v>
      </c>
      <c r="N527" t="s">
        <v>2409</v>
      </c>
      <c r="O527" t="s">
        <v>121</v>
      </c>
      <c r="P527" t="s">
        <v>138</v>
      </c>
      <c r="R527" t="s">
        <v>207</v>
      </c>
      <c r="S527" t="s">
        <v>140</v>
      </c>
      <c r="T527" t="s">
        <v>163</v>
      </c>
      <c r="U527" t="s">
        <v>164</v>
      </c>
      <c r="V527" t="s">
        <v>143</v>
      </c>
      <c r="W527" t="s">
        <v>1263</v>
      </c>
      <c r="X527" t="s">
        <v>144</v>
      </c>
      <c r="Y527">
        <v>0</v>
      </c>
      <c r="AA527" t="s">
        <v>2410</v>
      </c>
      <c r="BN527">
        <v>0</v>
      </c>
    </row>
    <row r="528" spans="1:92" x14ac:dyDescent="0.2">
      <c r="A528" t="s">
        <v>111</v>
      </c>
      <c r="B528" t="b">
        <v>1</v>
      </c>
      <c r="E528">
        <v>524</v>
      </c>
      <c r="F528" t="str">
        <f>HYPERLINK("https://portal.dnb.de/opac.htm?method=simpleSearch&amp;cqlMode=true&amp;query=idn%3D1066971625", "Portal")</f>
        <v>Portal</v>
      </c>
      <c r="G528" t="s">
        <v>133</v>
      </c>
      <c r="H528" t="s">
        <v>2411</v>
      </c>
      <c r="I528" t="s">
        <v>2412</v>
      </c>
      <c r="J528" t="s">
        <v>2413</v>
      </c>
      <c r="K528" t="s">
        <v>2413</v>
      </c>
      <c r="L528" t="s">
        <v>2413</v>
      </c>
      <c r="N528" t="s">
        <v>2414</v>
      </c>
      <c r="O528" t="s">
        <v>121</v>
      </c>
      <c r="P528" t="s">
        <v>138</v>
      </c>
      <c r="R528" t="s">
        <v>139</v>
      </c>
      <c r="S528" t="s">
        <v>189</v>
      </c>
      <c r="U528" t="s">
        <v>386</v>
      </c>
      <c r="W528" t="s">
        <v>67</v>
      </c>
      <c r="X528" t="s">
        <v>144</v>
      </c>
      <c r="Y528">
        <v>0</v>
      </c>
      <c r="BN528">
        <v>0</v>
      </c>
    </row>
    <row r="529" spans="1:92" x14ac:dyDescent="0.2">
      <c r="A529" t="s">
        <v>111</v>
      </c>
      <c r="B529" t="b">
        <v>1</v>
      </c>
      <c r="C529" t="s">
        <v>146</v>
      </c>
      <c r="E529">
        <v>525</v>
      </c>
      <c r="F529" t="str">
        <f>HYPERLINK("https://portal.dnb.de/opac.htm?method=simpleSearch&amp;cqlMode=true&amp;query=idn%3D1066971390", "Portal")</f>
        <v>Portal</v>
      </c>
      <c r="G529" t="s">
        <v>133</v>
      </c>
      <c r="H529" t="s">
        <v>2415</v>
      </c>
      <c r="I529" t="s">
        <v>2416</v>
      </c>
      <c r="J529" t="s">
        <v>2417</v>
      </c>
      <c r="K529" t="s">
        <v>2417</v>
      </c>
      <c r="L529" t="s">
        <v>2417</v>
      </c>
      <c r="N529" t="s">
        <v>936</v>
      </c>
      <c r="O529" t="s">
        <v>121</v>
      </c>
      <c r="P529" t="s">
        <v>138</v>
      </c>
      <c r="Q529" t="s">
        <v>567</v>
      </c>
      <c r="R529" t="s">
        <v>180</v>
      </c>
      <c r="S529" t="s">
        <v>140</v>
      </c>
      <c r="T529" t="s">
        <v>141</v>
      </c>
      <c r="U529" t="s">
        <v>1599</v>
      </c>
      <c r="W529" t="s">
        <v>67</v>
      </c>
      <c r="X529" t="s">
        <v>144</v>
      </c>
      <c r="Y529">
        <v>1</v>
      </c>
      <c r="AI529" t="s">
        <v>182</v>
      </c>
      <c r="AK529" t="s">
        <v>146</v>
      </c>
      <c r="AM529" t="s">
        <v>313</v>
      </c>
      <c r="AS529" t="s">
        <v>148</v>
      </c>
      <c r="BG529">
        <v>45</v>
      </c>
      <c r="BM529" t="s">
        <v>213</v>
      </c>
      <c r="BN529">
        <v>1</v>
      </c>
      <c r="BP529" t="s">
        <v>152</v>
      </c>
      <c r="BZ529" t="s">
        <v>146</v>
      </c>
      <c r="CA529" t="s">
        <v>146</v>
      </c>
      <c r="CB529" t="s">
        <v>146</v>
      </c>
      <c r="CM529">
        <v>1</v>
      </c>
      <c r="CN529" t="s">
        <v>2418</v>
      </c>
    </row>
    <row r="530" spans="1:92" x14ac:dyDescent="0.2">
      <c r="A530" t="s">
        <v>111</v>
      </c>
      <c r="B530" t="b">
        <v>1</v>
      </c>
      <c r="E530">
        <v>526</v>
      </c>
      <c r="F530" t="str">
        <f>HYPERLINK("https://portal.dnb.de/opac.htm?method=simpleSearch&amp;cqlMode=true&amp;query=idn%3D1072322579", "Portal")</f>
        <v>Portal</v>
      </c>
      <c r="G530" t="s">
        <v>115</v>
      </c>
      <c r="H530" t="s">
        <v>2419</v>
      </c>
      <c r="I530" t="s">
        <v>2420</v>
      </c>
      <c r="J530" t="s">
        <v>2421</v>
      </c>
      <c r="K530" t="s">
        <v>2421</v>
      </c>
      <c r="L530" t="s">
        <v>2421</v>
      </c>
      <c r="N530" t="s">
        <v>2422</v>
      </c>
      <c r="O530" t="s">
        <v>121</v>
      </c>
      <c r="Q530" t="s">
        <v>1343</v>
      </c>
      <c r="R530" t="s">
        <v>207</v>
      </c>
      <c r="S530" t="s">
        <v>189</v>
      </c>
      <c r="T530" t="s">
        <v>141</v>
      </c>
      <c r="U530" t="s">
        <v>243</v>
      </c>
      <c r="V530" t="s">
        <v>143</v>
      </c>
      <c r="W530" t="s">
        <v>67</v>
      </c>
      <c r="X530" t="s">
        <v>144</v>
      </c>
      <c r="Y530">
        <v>0</v>
      </c>
      <c r="AA530" t="s">
        <v>617</v>
      </c>
      <c r="BN530">
        <v>0</v>
      </c>
    </row>
    <row r="531" spans="1:92" x14ac:dyDescent="0.2">
      <c r="A531" t="s">
        <v>111</v>
      </c>
      <c r="B531" t="b">
        <v>1</v>
      </c>
      <c r="F531" t="str">
        <f>HYPERLINK("https://portal.dnb.de/opac.htm?method=simpleSearch&amp;cqlMode=true&amp;query=idn%3D1268951293", "Portal")</f>
        <v>Portal</v>
      </c>
      <c r="G531" t="s">
        <v>300</v>
      </c>
      <c r="H531" t="s">
        <v>2423</v>
      </c>
      <c r="I531" t="s">
        <v>2424</v>
      </c>
      <c r="J531" t="s">
        <v>2425</v>
      </c>
      <c r="K531" t="s">
        <v>2425</v>
      </c>
      <c r="L531" t="s">
        <v>2425</v>
      </c>
      <c r="N531" t="s">
        <v>741</v>
      </c>
      <c r="O531" t="s">
        <v>121</v>
      </c>
      <c r="P531" t="s">
        <v>138</v>
      </c>
      <c r="R531" t="s">
        <v>180</v>
      </c>
      <c r="S531" t="s">
        <v>140</v>
      </c>
      <c r="T531" t="s">
        <v>163</v>
      </c>
      <c r="U531" t="s">
        <v>660</v>
      </c>
      <c r="V531" t="s">
        <v>143</v>
      </c>
      <c r="W531" t="s">
        <v>67</v>
      </c>
      <c r="X531" t="s">
        <v>144</v>
      </c>
      <c r="Y531">
        <v>1</v>
      </c>
      <c r="BN531">
        <v>0</v>
      </c>
    </row>
    <row r="532" spans="1:92" x14ac:dyDescent="0.2">
      <c r="A532" t="s">
        <v>111</v>
      </c>
      <c r="B532" t="b">
        <v>1</v>
      </c>
      <c r="E532">
        <v>529</v>
      </c>
      <c r="F532" t="str">
        <f>HYPERLINK("https://portal.dnb.de/opac.htm?method=simpleSearch&amp;cqlMode=true&amp;query=idn%3D1066971889", "Portal")</f>
        <v>Portal</v>
      </c>
      <c r="G532" t="s">
        <v>115</v>
      </c>
      <c r="H532" t="s">
        <v>2426</v>
      </c>
      <c r="I532" t="s">
        <v>2427</v>
      </c>
      <c r="J532" t="s">
        <v>2428</v>
      </c>
      <c r="K532" t="s">
        <v>2428</v>
      </c>
      <c r="L532" t="s">
        <v>2428</v>
      </c>
      <c r="N532" t="s">
        <v>2429</v>
      </c>
      <c r="O532" t="s">
        <v>121</v>
      </c>
      <c r="P532" t="s">
        <v>138</v>
      </c>
      <c r="R532" t="s">
        <v>207</v>
      </c>
      <c r="S532" t="s">
        <v>140</v>
      </c>
      <c r="T532" t="s">
        <v>163</v>
      </c>
      <c r="U532" t="s">
        <v>712</v>
      </c>
      <c r="V532" t="s">
        <v>143</v>
      </c>
      <c r="W532" t="s">
        <v>67</v>
      </c>
      <c r="X532" t="s">
        <v>144</v>
      </c>
      <c r="Y532">
        <v>2</v>
      </c>
      <c r="BN532">
        <v>0</v>
      </c>
    </row>
    <row r="533" spans="1:92" x14ac:dyDescent="0.2">
      <c r="A533" t="s">
        <v>111</v>
      </c>
      <c r="B533" t="b">
        <v>1</v>
      </c>
      <c r="C533" t="s">
        <v>146</v>
      </c>
      <c r="E533">
        <v>530</v>
      </c>
      <c r="F533" t="str">
        <f>HYPERLINK("https://portal.dnb.de/opac.htm?method=simpleSearch&amp;cqlMode=true&amp;query=idn%3D106697134X", "Portal")</f>
        <v>Portal</v>
      </c>
      <c r="G533" t="s">
        <v>133</v>
      </c>
      <c r="H533" t="s">
        <v>2430</v>
      </c>
      <c r="I533" t="s">
        <v>2431</v>
      </c>
      <c r="J533" t="s">
        <v>2432</v>
      </c>
      <c r="K533" t="s">
        <v>2432</v>
      </c>
      <c r="L533" t="s">
        <v>2432</v>
      </c>
      <c r="N533" t="s">
        <v>2433</v>
      </c>
      <c r="O533" t="s">
        <v>121</v>
      </c>
      <c r="Q533" t="s">
        <v>616</v>
      </c>
      <c r="S533" t="s">
        <v>162</v>
      </c>
      <c r="AI533" t="s">
        <v>145</v>
      </c>
      <c r="AK533" t="s">
        <v>146</v>
      </c>
      <c r="AM533" t="s">
        <v>147</v>
      </c>
      <c r="AS533" t="s">
        <v>148</v>
      </c>
      <c r="BG533">
        <v>110</v>
      </c>
      <c r="BM533" t="s">
        <v>213</v>
      </c>
      <c r="BN533">
        <v>2</v>
      </c>
      <c r="BR533" t="s">
        <v>146</v>
      </c>
      <c r="BZ533" t="s">
        <v>146</v>
      </c>
      <c r="CA533" t="s">
        <v>146</v>
      </c>
      <c r="CB533" t="s">
        <v>146</v>
      </c>
      <c r="CC533" t="s">
        <v>146</v>
      </c>
      <c r="CM533">
        <v>2</v>
      </c>
      <c r="CN533" t="s">
        <v>2434</v>
      </c>
    </row>
    <row r="534" spans="1:92" x14ac:dyDescent="0.2">
      <c r="A534" t="s">
        <v>111</v>
      </c>
      <c r="B534" t="b">
        <v>1</v>
      </c>
      <c r="E534">
        <v>531</v>
      </c>
      <c r="F534" t="str">
        <f>HYPERLINK("https://portal.dnb.de/opac.htm?method=simpleSearch&amp;cqlMode=true&amp;query=idn%3D106696520X", "Portal")</f>
        <v>Portal</v>
      </c>
      <c r="G534" t="s">
        <v>133</v>
      </c>
      <c r="H534" t="s">
        <v>2435</v>
      </c>
      <c r="I534" t="s">
        <v>2436</v>
      </c>
      <c r="J534" t="s">
        <v>2437</v>
      </c>
      <c r="K534" t="s">
        <v>2437</v>
      </c>
      <c r="L534" t="s">
        <v>2437</v>
      </c>
      <c r="N534" t="s">
        <v>2438</v>
      </c>
      <c r="O534" t="s">
        <v>121</v>
      </c>
      <c r="P534" t="s">
        <v>138</v>
      </c>
      <c r="R534" t="s">
        <v>171</v>
      </c>
      <c r="S534" t="s">
        <v>189</v>
      </c>
      <c r="T534" t="s">
        <v>163</v>
      </c>
      <c r="U534" t="s">
        <v>172</v>
      </c>
      <c r="W534" t="s">
        <v>67</v>
      </c>
      <c r="X534" t="s">
        <v>144</v>
      </c>
      <c r="Y534">
        <v>0</v>
      </c>
      <c r="BN534">
        <v>0</v>
      </c>
    </row>
    <row r="535" spans="1:92" x14ac:dyDescent="0.2">
      <c r="A535" t="s">
        <v>111</v>
      </c>
      <c r="B535" t="b">
        <v>1</v>
      </c>
      <c r="E535">
        <v>532</v>
      </c>
      <c r="F535" t="str">
        <f>HYPERLINK("https://portal.dnb.de/opac.htm?method=simpleSearch&amp;cqlMode=true&amp;query=idn%3D1066967229", "Portal")</f>
        <v>Portal</v>
      </c>
      <c r="G535" t="s">
        <v>133</v>
      </c>
      <c r="H535" t="s">
        <v>2439</v>
      </c>
      <c r="I535" t="s">
        <v>2440</v>
      </c>
      <c r="J535" t="s">
        <v>2441</v>
      </c>
      <c r="K535" t="s">
        <v>2441</v>
      </c>
      <c r="L535" t="s">
        <v>2441</v>
      </c>
      <c r="N535" t="s">
        <v>2442</v>
      </c>
      <c r="O535" t="s">
        <v>121</v>
      </c>
      <c r="P535" t="s">
        <v>138</v>
      </c>
      <c r="R535" t="s">
        <v>180</v>
      </c>
      <c r="S535" t="s">
        <v>140</v>
      </c>
      <c r="T535" t="s">
        <v>163</v>
      </c>
      <c r="U535" t="s">
        <v>172</v>
      </c>
      <c r="W535" t="s">
        <v>67</v>
      </c>
      <c r="X535" t="s">
        <v>144</v>
      </c>
      <c r="Y535">
        <v>0</v>
      </c>
      <c r="BN535">
        <v>0</v>
      </c>
    </row>
    <row r="536" spans="1:92" x14ac:dyDescent="0.2">
      <c r="A536" t="s">
        <v>111</v>
      </c>
      <c r="B536" t="b">
        <v>1</v>
      </c>
      <c r="E536">
        <v>533</v>
      </c>
      <c r="F536" t="str">
        <f>HYPERLINK("https://portal.dnb.de/opac.htm?method=simpleSearch&amp;cqlMode=true&amp;query=idn%3D1072098903", "Portal")</f>
        <v>Portal</v>
      </c>
      <c r="G536" t="s">
        <v>115</v>
      </c>
      <c r="H536" t="s">
        <v>2443</v>
      </c>
      <c r="I536" t="s">
        <v>2444</v>
      </c>
      <c r="J536" t="s">
        <v>2445</v>
      </c>
      <c r="K536" t="s">
        <v>2445</v>
      </c>
      <c r="L536" t="s">
        <v>2445</v>
      </c>
      <c r="N536" t="s">
        <v>2446</v>
      </c>
      <c r="O536" t="s">
        <v>121</v>
      </c>
      <c r="P536" t="s">
        <v>138</v>
      </c>
      <c r="R536" t="s">
        <v>188</v>
      </c>
      <c r="S536" t="s">
        <v>140</v>
      </c>
      <c r="T536" t="s">
        <v>141</v>
      </c>
      <c r="U536" t="s">
        <v>172</v>
      </c>
      <c r="W536" t="s">
        <v>67</v>
      </c>
      <c r="X536" t="s">
        <v>144</v>
      </c>
      <c r="Y536">
        <v>0</v>
      </c>
      <c r="AA536" t="s">
        <v>2447</v>
      </c>
      <c r="BN536">
        <v>0</v>
      </c>
    </row>
    <row r="537" spans="1:92" x14ac:dyDescent="0.2">
      <c r="A537" t="s">
        <v>111</v>
      </c>
      <c r="B537" t="b">
        <v>1</v>
      </c>
      <c r="E537">
        <v>534</v>
      </c>
      <c r="F537" t="str">
        <f>HYPERLINK("https://portal.dnb.de/opac.htm?method=simpleSearch&amp;cqlMode=true&amp;query=idn%3D1072099748", "Portal")</f>
        <v>Portal</v>
      </c>
      <c r="G537" t="s">
        <v>115</v>
      </c>
      <c r="H537" t="s">
        <v>2448</v>
      </c>
      <c r="I537" t="s">
        <v>2449</v>
      </c>
      <c r="J537" t="s">
        <v>2450</v>
      </c>
      <c r="K537" t="s">
        <v>2450</v>
      </c>
      <c r="L537" t="s">
        <v>2450</v>
      </c>
      <c r="N537" t="s">
        <v>2451</v>
      </c>
      <c r="O537" t="s">
        <v>121</v>
      </c>
      <c r="P537" t="s">
        <v>138</v>
      </c>
      <c r="R537" t="s">
        <v>207</v>
      </c>
      <c r="S537" t="s">
        <v>162</v>
      </c>
      <c r="T537" t="s">
        <v>141</v>
      </c>
      <c r="U537" t="s">
        <v>172</v>
      </c>
      <c r="W537" t="s">
        <v>67</v>
      </c>
      <c r="X537" t="s">
        <v>144</v>
      </c>
      <c r="Y537">
        <v>0</v>
      </c>
      <c r="BN537">
        <v>0</v>
      </c>
    </row>
    <row r="538" spans="1:92" x14ac:dyDescent="0.2">
      <c r="A538" t="s">
        <v>111</v>
      </c>
      <c r="B538" t="b">
        <v>1</v>
      </c>
      <c r="E538">
        <v>535</v>
      </c>
      <c r="F538" t="str">
        <f>HYPERLINK("https://portal.dnb.de/opac.htm?method=simpleSearch&amp;cqlMode=true&amp;query=idn%3D1066966001", "Portal")</f>
        <v>Portal</v>
      </c>
      <c r="G538" t="s">
        <v>133</v>
      </c>
      <c r="H538" t="s">
        <v>2452</v>
      </c>
      <c r="I538" t="s">
        <v>2453</v>
      </c>
      <c r="J538" t="s">
        <v>2454</v>
      </c>
      <c r="K538" t="s">
        <v>2454</v>
      </c>
      <c r="L538" t="s">
        <v>2454</v>
      </c>
      <c r="N538" t="s">
        <v>1466</v>
      </c>
      <c r="O538" t="s">
        <v>121</v>
      </c>
      <c r="P538" t="s">
        <v>138</v>
      </c>
      <c r="R538" t="s">
        <v>347</v>
      </c>
      <c r="S538" t="s">
        <v>140</v>
      </c>
      <c r="T538" t="s">
        <v>163</v>
      </c>
      <c r="U538" t="s">
        <v>243</v>
      </c>
      <c r="V538" t="s">
        <v>143</v>
      </c>
      <c r="W538" t="s">
        <v>67</v>
      </c>
      <c r="X538" t="s">
        <v>144</v>
      </c>
      <c r="Y538">
        <v>0</v>
      </c>
      <c r="BN538">
        <v>0</v>
      </c>
    </row>
    <row r="539" spans="1:92" x14ac:dyDescent="0.2">
      <c r="A539" t="s">
        <v>111</v>
      </c>
      <c r="B539" t="b">
        <v>1</v>
      </c>
      <c r="E539">
        <v>536</v>
      </c>
      <c r="F539" t="str">
        <f>HYPERLINK("https://portal.dnb.de/opac.htm?method=simpleSearch&amp;cqlMode=true&amp;query=idn%3D1066969507", "Portal")</f>
        <v>Portal</v>
      </c>
      <c r="G539" t="s">
        <v>115</v>
      </c>
      <c r="H539" t="s">
        <v>2455</v>
      </c>
      <c r="I539" t="s">
        <v>2456</v>
      </c>
      <c r="J539" t="s">
        <v>2457</v>
      </c>
      <c r="K539" t="s">
        <v>2457</v>
      </c>
      <c r="L539" t="s">
        <v>2457</v>
      </c>
      <c r="N539" t="s">
        <v>2458</v>
      </c>
      <c r="O539" t="s">
        <v>121</v>
      </c>
      <c r="BN539">
        <v>0</v>
      </c>
    </row>
    <row r="540" spans="1:92" x14ac:dyDescent="0.2">
      <c r="A540" t="s">
        <v>111</v>
      </c>
      <c r="B540" t="b">
        <v>1</v>
      </c>
      <c r="E540">
        <v>537</v>
      </c>
      <c r="F540" t="str">
        <f>HYPERLINK("https://portal.dnb.de/opac.htm?method=simpleSearch&amp;cqlMode=true&amp;query=idn%3D1066972982", "Portal")</f>
        <v>Portal</v>
      </c>
      <c r="G540" t="s">
        <v>133</v>
      </c>
      <c r="H540" t="s">
        <v>2459</v>
      </c>
      <c r="I540" t="s">
        <v>2460</v>
      </c>
      <c r="J540" t="s">
        <v>2461</v>
      </c>
      <c r="K540" t="s">
        <v>2461</v>
      </c>
      <c r="L540" t="s">
        <v>2461</v>
      </c>
      <c r="N540" t="s">
        <v>2462</v>
      </c>
      <c r="O540" t="s">
        <v>121</v>
      </c>
      <c r="P540" t="s">
        <v>138</v>
      </c>
      <c r="R540" t="s">
        <v>180</v>
      </c>
      <c r="S540" t="s">
        <v>189</v>
      </c>
      <c r="T540" t="s">
        <v>163</v>
      </c>
      <c r="U540" t="s">
        <v>886</v>
      </c>
      <c r="W540" t="s">
        <v>67</v>
      </c>
      <c r="X540" t="s">
        <v>144</v>
      </c>
      <c r="Y540">
        <v>0</v>
      </c>
      <c r="BN540">
        <v>0</v>
      </c>
    </row>
    <row r="541" spans="1:92" x14ac:dyDescent="0.2">
      <c r="A541" t="s">
        <v>111</v>
      </c>
      <c r="B541" t="b">
        <v>1</v>
      </c>
      <c r="E541">
        <v>538</v>
      </c>
      <c r="F541" t="str">
        <f>HYPERLINK("https://portal.dnb.de/opac.htm?method=simpleSearch&amp;cqlMode=true&amp;query=idn%3D1072100134", "Portal")</f>
        <v>Portal</v>
      </c>
      <c r="G541" t="s">
        <v>115</v>
      </c>
      <c r="H541" t="s">
        <v>2463</v>
      </c>
      <c r="I541" t="s">
        <v>2464</v>
      </c>
      <c r="J541" t="s">
        <v>2465</v>
      </c>
      <c r="K541" t="s">
        <v>2465</v>
      </c>
      <c r="L541" t="s">
        <v>2465</v>
      </c>
      <c r="N541" t="s">
        <v>2466</v>
      </c>
      <c r="O541" t="s">
        <v>121</v>
      </c>
      <c r="P541" t="s">
        <v>138</v>
      </c>
      <c r="R541" t="s">
        <v>180</v>
      </c>
      <c r="S541" t="s">
        <v>140</v>
      </c>
      <c r="T541" t="s">
        <v>163</v>
      </c>
      <c r="U541" t="s">
        <v>164</v>
      </c>
      <c r="V541" t="s">
        <v>143</v>
      </c>
      <c r="W541" t="s">
        <v>67</v>
      </c>
      <c r="X541" t="s">
        <v>144</v>
      </c>
      <c r="Y541">
        <v>0</v>
      </c>
      <c r="BN541">
        <v>0</v>
      </c>
    </row>
    <row r="542" spans="1:92" x14ac:dyDescent="0.2">
      <c r="A542" t="s">
        <v>111</v>
      </c>
      <c r="B542" t="b">
        <v>1</v>
      </c>
      <c r="E542">
        <v>539</v>
      </c>
      <c r="F542" t="str">
        <f>HYPERLINK("https://portal.dnb.de/opac.htm?method=simpleSearch&amp;cqlMode=true&amp;query=idn%3D1066965854", "Portal")</f>
        <v>Portal</v>
      </c>
      <c r="G542" t="s">
        <v>133</v>
      </c>
      <c r="H542" t="s">
        <v>2467</v>
      </c>
      <c r="I542" t="s">
        <v>2468</v>
      </c>
      <c r="J542" t="s">
        <v>2469</v>
      </c>
      <c r="K542" t="s">
        <v>2469</v>
      </c>
      <c r="L542" t="s">
        <v>2469</v>
      </c>
      <c r="N542" t="s">
        <v>2470</v>
      </c>
      <c r="O542" t="s">
        <v>121</v>
      </c>
      <c r="P542" t="s">
        <v>138</v>
      </c>
      <c r="R542" t="s">
        <v>207</v>
      </c>
      <c r="S542" t="s">
        <v>140</v>
      </c>
      <c r="T542" t="s">
        <v>163</v>
      </c>
      <c r="U542" t="s">
        <v>660</v>
      </c>
      <c r="V542" t="s">
        <v>143</v>
      </c>
      <c r="W542" t="s">
        <v>67</v>
      </c>
      <c r="X542" t="s">
        <v>144</v>
      </c>
      <c r="Y542">
        <v>0</v>
      </c>
      <c r="AA542" t="s">
        <v>2471</v>
      </c>
      <c r="BN542">
        <v>0</v>
      </c>
    </row>
    <row r="543" spans="1:92" x14ac:dyDescent="0.2">
      <c r="A543" t="s">
        <v>111</v>
      </c>
      <c r="B543" t="b">
        <v>1</v>
      </c>
      <c r="E543">
        <v>540</v>
      </c>
      <c r="F543" t="str">
        <f>HYPERLINK("https://portal.dnb.de/opac.htm?method=simpleSearch&amp;cqlMode=true&amp;query=idn%3D1072323095", "Portal")</f>
        <v>Portal</v>
      </c>
      <c r="G543" t="s">
        <v>115</v>
      </c>
      <c r="H543" t="s">
        <v>2472</v>
      </c>
      <c r="I543" t="s">
        <v>2473</v>
      </c>
      <c r="J543" t="s">
        <v>2474</v>
      </c>
      <c r="K543" t="s">
        <v>2474</v>
      </c>
      <c r="L543" t="s">
        <v>2474</v>
      </c>
      <c r="N543" t="s">
        <v>1503</v>
      </c>
      <c r="O543" t="s">
        <v>121</v>
      </c>
      <c r="P543" t="s">
        <v>138</v>
      </c>
      <c r="R543" t="s">
        <v>517</v>
      </c>
      <c r="S543" t="s">
        <v>189</v>
      </c>
      <c r="T543" t="s">
        <v>141</v>
      </c>
      <c r="U543" t="s">
        <v>886</v>
      </c>
      <c r="W543" t="s">
        <v>67</v>
      </c>
      <c r="X543" t="s">
        <v>144</v>
      </c>
      <c r="Y543">
        <v>0</v>
      </c>
      <c r="BN543">
        <v>0</v>
      </c>
    </row>
    <row r="544" spans="1:92" x14ac:dyDescent="0.2">
      <c r="A544" t="s">
        <v>111</v>
      </c>
      <c r="B544" t="b">
        <v>1</v>
      </c>
      <c r="E544">
        <v>543</v>
      </c>
      <c r="F544" t="str">
        <f>HYPERLINK("https://portal.dnb.de/opac.htm?method=simpleSearch&amp;cqlMode=true&amp;query=idn%3D1066970696", "Portal")</f>
        <v>Portal</v>
      </c>
      <c r="G544" t="s">
        <v>133</v>
      </c>
      <c r="H544" t="s">
        <v>2475</v>
      </c>
      <c r="I544" t="s">
        <v>2476</v>
      </c>
      <c r="J544" t="s">
        <v>2477</v>
      </c>
      <c r="K544" t="s">
        <v>2477</v>
      </c>
      <c r="L544" t="s">
        <v>2477</v>
      </c>
      <c r="N544" t="s">
        <v>2478</v>
      </c>
      <c r="O544" t="s">
        <v>121</v>
      </c>
      <c r="P544" t="s">
        <v>138</v>
      </c>
      <c r="R544" t="s">
        <v>207</v>
      </c>
      <c r="S544" t="s">
        <v>189</v>
      </c>
      <c r="T544" t="s">
        <v>163</v>
      </c>
      <c r="U544" t="s">
        <v>243</v>
      </c>
      <c r="V544" t="s">
        <v>143</v>
      </c>
      <c r="W544" t="s">
        <v>67</v>
      </c>
      <c r="X544" t="s">
        <v>144</v>
      </c>
      <c r="Y544">
        <v>0</v>
      </c>
      <c r="BN544">
        <v>0</v>
      </c>
    </row>
    <row r="545" spans="1:92" x14ac:dyDescent="0.2">
      <c r="A545" t="s">
        <v>111</v>
      </c>
      <c r="B545" t="b">
        <v>1</v>
      </c>
      <c r="E545">
        <v>544</v>
      </c>
      <c r="F545" t="str">
        <f>HYPERLINK("https://portal.dnb.de/opac.htm?method=simpleSearch&amp;cqlMode=true&amp;query=idn%3D1072100355", "Portal")</f>
        <v>Portal</v>
      </c>
      <c r="G545" t="s">
        <v>115</v>
      </c>
      <c r="H545" t="s">
        <v>2479</v>
      </c>
      <c r="I545" t="s">
        <v>2480</v>
      </c>
      <c r="J545" t="s">
        <v>2481</v>
      </c>
      <c r="K545" t="s">
        <v>2481</v>
      </c>
      <c r="L545" t="s">
        <v>2481</v>
      </c>
      <c r="N545" t="s">
        <v>2482</v>
      </c>
      <c r="O545" t="s">
        <v>121</v>
      </c>
      <c r="P545" t="s">
        <v>138</v>
      </c>
      <c r="R545" t="s">
        <v>139</v>
      </c>
      <c r="S545" t="s">
        <v>189</v>
      </c>
      <c r="T545" t="s">
        <v>163</v>
      </c>
      <c r="U545" t="s">
        <v>660</v>
      </c>
      <c r="V545" t="s">
        <v>143</v>
      </c>
      <c r="W545" t="s">
        <v>67</v>
      </c>
      <c r="X545" t="s">
        <v>144</v>
      </c>
      <c r="Y545">
        <v>0</v>
      </c>
      <c r="BN545">
        <v>0</v>
      </c>
    </row>
    <row r="546" spans="1:92" x14ac:dyDescent="0.2">
      <c r="A546" t="s">
        <v>111</v>
      </c>
      <c r="B546" t="b">
        <v>1</v>
      </c>
      <c r="E546">
        <v>545</v>
      </c>
      <c r="F546" t="str">
        <f>HYPERLINK("https://portal.dnb.de/opac.htm?method=simpleSearch&amp;cqlMode=true&amp;query=idn%3D1072101181", "Portal")</f>
        <v>Portal</v>
      </c>
      <c r="G546" t="s">
        <v>115</v>
      </c>
      <c r="H546" t="s">
        <v>2483</v>
      </c>
      <c r="I546" t="s">
        <v>2484</v>
      </c>
      <c r="J546" t="s">
        <v>2485</v>
      </c>
      <c r="K546" t="s">
        <v>2485</v>
      </c>
      <c r="L546" t="s">
        <v>2485</v>
      </c>
      <c r="N546" t="s">
        <v>2486</v>
      </c>
      <c r="O546" t="s">
        <v>121</v>
      </c>
      <c r="P546" t="s">
        <v>138</v>
      </c>
      <c r="Q546" t="s">
        <v>486</v>
      </c>
      <c r="R546" t="s">
        <v>139</v>
      </c>
      <c r="S546" t="s">
        <v>189</v>
      </c>
      <c r="T546" t="s">
        <v>163</v>
      </c>
      <c r="U546" t="s">
        <v>1599</v>
      </c>
      <c r="W546" t="s">
        <v>67</v>
      </c>
      <c r="X546" t="s">
        <v>144</v>
      </c>
      <c r="Y546">
        <v>0</v>
      </c>
      <c r="BN546">
        <v>0</v>
      </c>
    </row>
    <row r="547" spans="1:92" x14ac:dyDescent="0.2">
      <c r="A547" t="s">
        <v>111</v>
      </c>
      <c r="B547" t="b">
        <v>1</v>
      </c>
      <c r="E547">
        <v>546</v>
      </c>
      <c r="F547" t="str">
        <f>HYPERLINK("https://portal.dnb.de/opac.htm?method=simpleSearch&amp;cqlMode=true&amp;query=idn%3D1066971374", "Portal")</f>
        <v>Portal</v>
      </c>
      <c r="G547" t="s">
        <v>133</v>
      </c>
      <c r="H547" t="s">
        <v>2487</v>
      </c>
      <c r="I547" t="s">
        <v>2488</v>
      </c>
      <c r="J547" t="s">
        <v>2489</v>
      </c>
      <c r="K547" t="s">
        <v>2489</v>
      </c>
      <c r="L547" t="s">
        <v>2489</v>
      </c>
      <c r="N547" t="s">
        <v>2490</v>
      </c>
      <c r="O547" t="s">
        <v>121</v>
      </c>
      <c r="P547" t="s">
        <v>138</v>
      </c>
      <c r="R547" t="s">
        <v>188</v>
      </c>
      <c r="S547" t="s">
        <v>140</v>
      </c>
      <c r="T547" t="s">
        <v>141</v>
      </c>
      <c r="U547" t="s">
        <v>886</v>
      </c>
      <c r="W547" t="s">
        <v>67</v>
      </c>
      <c r="X547" t="s">
        <v>144</v>
      </c>
      <c r="Y547">
        <v>0</v>
      </c>
      <c r="BN547">
        <v>0</v>
      </c>
    </row>
    <row r="548" spans="1:92" x14ac:dyDescent="0.2">
      <c r="A548" t="s">
        <v>111</v>
      </c>
      <c r="B548" t="b">
        <v>1</v>
      </c>
      <c r="E548">
        <v>547</v>
      </c>
      <c r="F548" t="str">
        <f>HYPERLINK("https://portal.dnb.de/opac.htm?method=simpleSearch&amp;cqlMode=true&amp;query=idn%3D1066965943", "Portal")</f>
        <v>Portal</v>
      </c>
      <c r="G548" t="s">
        <v>133</v>
      </c>
      <c r="H548" t="s">
        <v>2491</v>
      </c>
      <c r="I548" t="s">
        <v>2492</v>
      </c>
      <c r="J548" t="s">
        <v>2493</v>
      </c>
      <c r="K548" t="s">
        <v>2493</v>
      </c>
      <c r="L548" t="s">
        <v>2493</v>
      </c>
      <c r="N548" t="s">
        <v>2494</v>
      </c>
      <c r="O548" t="s">
        <v>121</v>
      </c>
      <c r="BN548">
        <v>0</v>
      </c>
    </row>
    <row r="549" spans="1:92" x14ac:dyDescent="0.2">
      <c r="A549" t="s">
        <v>111</v>
      </c>
      <c r="B549" t="b">
        <v>1</v>
      </c>
      <c r="E549">
        <v>548</v>
      </c>
      <c r="F549" t="str">
        <f>HYPERLINK("https://portal.dnb.de/opac.htm?method=simpleSearch&amp;cqlMode=true&amp;query=idn%3D1066965544", "Portal")</f>
        <v>Portal</v>
      </c>
      <c r="G549" t="s">
        <v>133</v>
      </c>
      <c r="H549" t="s">
        <v>2495</v>
      </c>
      <c r="I549" t="s">
        <v>2496</v>
      </c>
      <c r="J549" t="s">
        <v>2497</v>
      </c>
      <c r="K549" t="s">
        <v>2497</v>
      </c>
      <c r="L549" t="s">
        <v>2497</v>
      </c>
      <c r="N549" t="s">
        <v>2498</v>
      </c>
      <c r="O549" t="s">
        <v>121</v>
      </c>
      <c r="P549" t="s">
        <v>138</v>
      </c>
      <c r="R549" t="s">
        <v>180</v>
      </c>
      <c r="S549" t="s">
        <v>140</v>
      </c>
      <c r="T549" t="s">
        <v>163</v>
      </c>
      <c r="U549" t="s">
        <v>886</v>
      </c>
      <c r="W549" t="s">
        <v>67</v>
      </c>
      <c r="X549" t="s">
        <v>144</v>
      </c>
      <c r="Y549">
        <v>1</v>
      </c>
      <c r="BN549">
        <v>0</v>
      </c>
    </row>
    <row r="550" spans="1:92" x14ac:dyDescent="0.2">
      <c r="A550" t="s">
        <v>111</v>
      </c>
      <c r="B550" t="b">
        <v>1</v>
      </c>
      <c r="E550">
        <v>549</v>
      </c>
      <c r="F550" t="str">
        <f>HYPERLINK("https://portal.dnb.de/opac.htm?method=simpleSearch&amp;cqlMode=true&amp;query=idn%3D1066966087", "Portal")</f>
        <v>Portal</v>
      </c>
      <c r="G550" t="s">
        <v>133</v>
      </c>
      <c r="H550" t="s">
        <v>2499</v>
      </c>
      <c r="I550" t="s">
        <v>2500</v>
      </c>
      <c r="J550" t="s">
        <v>2501</v>
      </c>
      <c r="K550" t="s">
        <v>2501</v>
      </c>
      <c r="L550" t="s">
        <v>2501</v>
      </c>
      <c r="N550" t="s">
        <v>1198</v>
      </c>
      <c r="O550" t="s">
        <v>121</v>
      </c>
      <c r="P550" t="s">
        <v>138</v>
      </c>
      <c r="R550" t="s">
        <v>180</v>
      </c>
      <c r="S550" t="s">
        <v>189</v>
      </c>
      <c r="T550" t="s">
        <v>163</v>
      </c>
      <c r="U550" t="s">
        <v>386</v>
      </c>
      <c r="W550" t="s">
        <v>67</v>
      </c>
      <c r="X550" t="s">
        <v>144</v>
      </c>
      <c r="Y550">
        <v>0</v>
      </c>
      <c r="BN550">
        <v>0</v>
      </c>
    </row>
    <row r="551" spans="1:92" x14ac:dyDescent="0.2">
      <c r="A551" t="s">
        <v>111</v>
      </c>
      <c r="B551" t="b">
        <v>1</v>
      </c>
      <c r="E551">
        <v>550</v>
      </c>
      <c r="F551" t="str">
        <f>HYPERLINK("https://portal.dnb.de/opac.htm?method=simpleSearch&amp;cqlMode=true&amp;query=idn%3D1072101475", "Portal")</f>
        <v>Portal</v>
      </c>
      <c r="G551" t="s">
        <v>115</v>
      </c>
      <c r="H551" t="s">
        <v>2502</v>
      </c>
      <c r="I551" t="s">
        <v>2503</v>
      </c>
      <c r="J551" t="s">
        <v>2504</v>
      </c>
      <c r="K551" t="s">
        <v>2504</v>
      </c>
      <c r="L551" t="s">
        <v>2504</v>
      </c>
      <c r="N551" t="s">
        <v>2505</v>
      </c>
      <c r="O551" t="s">
        <v>121</v>
      </c>
      <c r="P551" t="s">
        <v>138</v>
      </c>
      <c r="R551" t="s">
        <v>180</v>
      </c>
      <c r="S551" t="s">
        <v>140</v>
      </c>
      <c r="T551" t="s">
        <v>163</v>
      </c>
      <c r="U551" t="s">
        <v>164</v>
      </c>
      <c r="V551" t="s">
        <v>143</v>
      </c>
      <c r="W551" t="s">
        <v>67</v>
      </c>
      <c r="X551" t="s">
        <v>144</v>
      </c>
      <c r="Y551">
        <v>0</v>
      </c>
      <c r="AA551" t="s">
        <v>2242</v>
      </c>
      <c r="BN551">
        <v>0</v>
      </c>
    </row>
    <row r="552" spans="1:92" x14ac:dyDescent="0.2">
      <c r="A552" t="s">
        <v>111</v>
      </c>
      <c r="B552" t="b">
        <v>1</v>
      </c>
      <c r="E552">
        <v>551</v>
      </c>
      <c r="F552" t="str">
        <f>HYPERLINK("https://portal.dnb.de/opac.htm?method=simpleSearch&amp;cqlMode=true&amp;query=idn%3D1066971862", "Portal")</f>
        <v>Portal</v>
      </c>
      <c r="G552" t="s">
        <v>133</v>
      </c>
      <c r="H552" t="s">
        <v>2506</v>
      </c>
      <c r="I552" t="s">
        <v>2507</v>
      </c>
      <c r="J552" t="s">
        <v>2508</v>
      </c>
      <c r="K552" t="s">
        <v>2508</v>
      </c>
      <c r="L552" t="s">
        <v>2508</v>
      </c>
      <c r="N552" t="s">
        <v>2509</v>
      </c>
      <c r="O552" t="s">
        <v>121</v>
      </c>
      <c r="P552" t="s">
        <v>138</v>
      </c>
      <c r="R552" t="s">
        <v>139</v>
      </c>
      <c r="S552" t="s">
        <v>189</v>
      </c>
      <c r="T552" t="s">
        <v>163</v>
      </c>
      <c r="U552" t="s">
        <v>172</v>
      </c>
      <c r="W552" t="s">
        <v>67</v>
      </c>
      <c r="X552" t="s">
        <v>144</v>
      </c>
      <c r="Y552">
        <v>1</v>
      </c>
      <c r="BN552">
        <v>0</v>
      </c>
    </row>
    <row r="553" spans="1:92" x14ac:dyDescent="0.2">
      <c r="A553" t="s">
        <v>111</v>
      </c>
      <c r="B553" t="b">
        <v>1</v>
      </c>
      <c r="E553">
        <v>552</v>
      </c>
      <c r="F553" t="str">
        <f>HYPERLINK("https://portal.dnb.de/opac.htm?method=simpleSearch&amp;cqlMode=true&amp;query=idn%3D1072105233", "Portal")</f>
        <v>Portal</v>
      </c>
      <c r="G553" t="s">
        <v>115</v>
      </c>
      <c r="H553" t="s">
        <v>2510</v>
      </c>
      <c r="I553" t="s">
        <v>2511</v>
      </c>
      <c r="J553" t="s">
        <v>2512</v>
      </c>
      <c r="K553" t="s">
        <v>2512</v>
      </c>
      <c r="L553" t="s">
        <v>2512</v>
      </c>
      <c r="N553" t="s">
        <v>2513</v>
      </c>
      <c r="O553" t="s">
        <v>121</v>
      </c>
      <c r="P553" t="s">
        <v>138</v>
      </c>
      <c r="R553" t="s">
        <v>161</v>
      </c>
      <c r="S553" t="s">
        <v>189</v>
      </c>
      <c r="T553" t="s">
        <v>163</v>
      </c>
      <c r="U553" t="s">
        <v>172</v>
      </c>
      <c r="W553" t="s">
        <v>67</v>
      </c>
      <c r="X553" t="s">
        <v>144</v>
      </c>
      <c r="Y553">
        <v>0</v>
      </c>
      <c r="BN553">
        <v>0</v>
      </c>
    </row>
    <row r="554" spans="1:92" x14ac:dyDescent="0.2">
      <c r="A554" t="s">
        <v>111</v>
      </c>
      <c r="B554" t="b">
        <v>1</v>
      </c>
      <c r="E554">
        <v>553</v>
      </c>
      <c r="F554" t="str">
        <f>HYPERLINK("https://portal.dnb.de/opac.htm?method=simpleSearch&amp;cqlMode=true&amp;query=idn%3D1066970939", "Portal")</f>
        <v>Portal</v>
      </c>
      <c r="G554" t="s">
        <v>133</v>
      </c>
      <c r="H554" t="s">
        <v>2514</v>
      </c>
      <c r="I554" t="s">
        <v>2515</v>
      </c>
      <c r="J554" t="s">
        <v>2516</v>
      </c>
      <c r="K554" t="s">
        <v>2516</v>
      </c>
      <c r="L554" t="s">
        <v>2516</v>
      </c>
      <c r="N554" t="s">
        <v>2517</v>
      </c>
      <c r="O554" t="s">
        <v>121</v>
      </c>
      <c r="P554" t="s">
        <v>138</v>
      </c>
      <c r="R554" t="s">
        <v>180</v>
      </c>
      <c r="S554" t="s">
        <v>189</v>
      </c>
      <c r="T554" t="s">
        <v>471</v>
      </c>
      <c r="U554" t="s">
        <v>1425</v>
      </c>
      <c r="W554" t="s">
        <v>67</v>
      </c>
      <c r="X554" t="s">
        <v>144</v>
      </c>
      <c r="Y554">
        <v>2</v>
      </c>
      <c r="AI554" t="s">
        <v>182</v>
      </c>
      <c r="AK554" t="s">
        <v>146</v>
      </c>
      <c r="AM554" t="s">
        <v>313</v>
      </c>
      <c r="AR554" t="s">
        <v>146</v>
      </c>
      <c r="AS554" t="s">
        <v>148</v>
      </c>
      <c r="BG554">
        <v>0</v>
      </c>
      <c r="BH554" t="s">
        <v>2518</v>
      </c>
      <c r="BM554" t="s">
        <v>151</v>
      </c>
      <c r="BN554">
        <v>0</v>
      </c>
      <c r="BP554" t="s">
        <v>152</v>
      </c>
      <c r="BV554" t="s">
        <v>2519</v>
      </c>
    </row>
    <row r="555" spans="1:92" x14ac:dyDescent="0.2">
      <c r="A555" t="s">
        <v>111</v>
      </c>
      <c r="B555" t="b">
        <v>1</v>
      </c>
      <c r="E555">
        <v>554</v>
      </c>
      <c r="F555" t="str">
        <f>HYPERLINK("https://portal.dnb.de/opac.htm?method=simpleSearch&amp;cqlMode=true&amp;query=idn%3D106696811X", "Portal")</f>
        <v>Portal</v>
      </c>
      <c r="G555" t="s">
        <v>115</v>
      </c>
      <c r="H555" t="s">
        <v>2520</v>
      </c>
      <c r="I555" t="s">
        <v>2521</v>
      </c>
      <c r="J555" t="s">
        <v>2522</v>
      </c>
      <c r="K555" t="s">
        <v>2522</v>
      </c>
      <c r="L555" t="s">
        <v>2522</v>
      </c>
      <c r="N555" t="s">
        <v>2523</v>
      </c>
      <c r="O555" t="s">
        <v>121</v>
      </c>
      <c r="P555" t="s">
        <v>138</v>
      </c>
      <c r="Q555" t="s">
        <v>1199</v>
      </c>
      <c r="R555" t="s">
        <v>517</v>
      </c>
      <c r="S555" t="s">
        <v>140</v>
      </c>
      <c r="T555" t="s">
        <v>163</v>
      </c>
      <c r="U555" t="s">
        <v>172</v>
      </c>
      <c r="W555" t="s">
        <v>67</v>
      </c>
      <c r="X555" t="s">
        <v>144</v>
      </c>
      <c r="Y555">
        <v>0</v>
      </c>
      <c r="BN555">
        <v>0</v>
      </c>
    </row>
    <row r="556" spans="1:92" x14ac:dyDescent="0.2">
      <c r="A556" t="s">
        <v>111</v>
      </c>
      <c r="B556" t="b">
        <v>1</v>
      </c>
      <c r="E556">
        <v>555</v>
      </c>
      <c r="F556" t="str">
        <f>HYPERLINK("https://portal.dnb.de/opac.htm?method=simpleSearch&amp;cqlMode=true&amp;query=idn%3D1072105721", "Portal")</f>
        <v>Portal</v>
      </c>
      <c r="G556" t="s">
        <v>115</v>
      </c>
      <c r="H556" t="s">
        <v>2524</v>
      </c>
      <c r="I556" t="s">
        <v>2525</v>
      </c>
      <c r="J556" t="s">
        <v>2526</v>
      </c>
      <c r="K556" t="s">
        <v>2526</v>
      </c>
      <c r="L556" t="s">
        <v>2526</v>
      </c>
      <c r="N556" t="s">
        <v>654</v>
      </c>
      <c r="O556" t="s">
        <v>121</v>
      </c>
      <c r="P556" t="s">
        <v>138</v>
      </c>
      <c r="R556" t="s">
        <v>161</v>
      </c>
      <c r="S556" t="s">
        <v>140</v>
      </c>
      <c r="T556" t="s">
        <v>141</v>
      </c>
      <c r="U556" t="s">
        <v>172</v>
      </c>
      <c r="W556" t="s">
        <v>67</v>
      </c>
      <c r="X556" t="s">
        <v>144</v>
      </c>
      <c r="Y556">
        <v>1</v>
      </c>
      <c r="BN556">
        <v>0</v>
      </c>
    </row>
    <row r="557" spans="1:92" x14ac:dyDescent="0.2">
      <c r="A557" t="s">
        <v>111</v>
      </c>
      <c r="B557" t="b">
        <v>1</v>
      </c>
      <c r="C557" t="s">
        <v>146</v>
      </c>
      <c r="E557">
        <v>556</v>
      </c>
      <c r="F557" t="str">
        <f>HYPERLINK("https://portal.dnb.de/opac.htm?method=simpleSearch&amp;cqlMode=true&amp;query=idn%3D1072172607", "Portal")</f>
        <v>Portal</v>
      </c>
      <c r="G557" t="s">
        <v>115</v>
      </c>
      <c r="H557" t="s">
        <v>2527</v>
      </c>
      <c r="I557" t="s">
        <v>2528</v>
      </c>
      <c r="J557" t="s">
        <v>2529</v>
      </c>
      <c r="K557" t="s">
        <v>2529</v>
      </c>
      <c r="L557" t="s">
        <v>2529</v>
      </c>
      <c r="N557" t="s">
        <v>1598</v>
      </c>
      <c r="O557" t="s">
        <v>121</v>
      </c>
      <c r="P557" t="s">
        <v>138</v>
      </c>
      <c r="Q557" t="s">
        <v>1199</v>
      </c>
      <c r="R557" t="s">
        <v>517</v>
      </c>
      <c r="S557" t="s">
        <v>189</v>
      </c>
      <c r="T557" t="s">
        <v>141</v>
      </c>
      <c r="U557" t="s">
        <v>142</v>
      </c>
      <c r="V557" t="s">
        <v>143</v>
      </c>
      <c r="W557" t="s">
        <v>67</v>
      </c>
      <c r="X557" t="s">
        <v>144</v>
      </c>
      <c r="Y557">
        <v>2</v>
      </c>
      <c r="AI557" t="s">
        <v>518</v>
      </c>
      <c r="AK557" t="s">
        <v>146</v>
      </c>
      <c r="AM557" t="s">
        <v>147</v>
      </c>
      <c r="AS557" t="s">
        <v>148</v>
      </c>
      <c r="BC557" t="s">
        <v>166</v>
      </c>
      <c r="BD557" t="s">
        <v>146</v>
      </c>
      <c r="BG557" t="s">
        <v>1476</v>
      </c>
      <c r="BM557" t="s">
        <v>201</v>
      </c>
      <c r="BN557">
        <v>0.5</v>
      </c>
      <c r="BP557" t="s">
        <v>152</v>
      </c>
      <c r="BV557" t="s">
        <v>2530</v>
      </c>
      <c r="BZ557" t="s">
        <v>146</v>
      </c>
      <c r="CD557" t="s">
        <v>237</v>
      </c>
      <c r="CF557" t="s">
        <v>146</v>
      </c>
      <c r="CM557">
        <v>0.5</v>
      </c>
      <c r="CN557" t="s">
        <v>2531</v>
      </c>
    </row>
    <row r="558" spans="1:92" x14ac:dyDescent="0.2">
      <c r="A558" t="s">
        <v>111</v>
      </c>
      <c r="B558" t="b">
        <v>1</v>
      </c>
      <c r="E558">
        <v>557</v>
      </c>
      <c r="F558" t="str">
        <f>HYPERLINK("https://portal.dnb.de/opac.htm?method=simpleSearch&amp;cqlMode=true&amp;query=idn%3D1066968225", "Portal")</f>
        <v>Portal</v>
      </c>
      <c r="G558" t="s">
        <v>133</v>
      </c>
      <c r="H558" t="s">
        <v>2532</v>
      </c>
      <c r="I558" t="s">
        <v>2533</v>
      </c>
      <c r="J558" t="s">
        <v>2534</v>
      </c>
      <c r="K558" t="s">
        <v>2534</v>
      </c>
      <c r="L558" t="s">
        <v>2534</v>
      </c>
      <c r="N558" t="s">
        <v>2535</v>
      </c>
      <c r="O558" t="s">
        <v>121</v>
      </c>
      <c r="P558" t="s">
        <v>138</v>
      </c>
      <c r="R558" t="s">
        <v>161</v>
      </c>
      <c r="S558" t="s">
        <v>140</v>
      </c>
      <c r="T558" t="s">
        <v>163</v>
      </c>
      <c r="U558" t="s">
        <v>397</v>
      </c>
      <c r="V558" t="s">
        <v>143</v>
      </c>
      <c r="W558" t="s">
        <v>67</v>
      </c>
      <c r="X558" t="s">
        <v>144</v>
      </c>
      <c r="Y558">
        <v>3</v>
      </c>
      <c r="AA558" t="s">
        <v>617</v>
      </c>
      <c r="AI558" t="s">
        <v>182</v>
      </c>
      <c r="AK558" t="s">
        <v>146</v>
      </c>
      <c r="AM558" t="s">
        <v>313</v>
      </c>
      <c r="AS558" t="s">
        <v>148</v>
      </c>
      <c r="BC558" t="s">
        <v>166</v>
      </c>
      <c r="BD558" t="s">
        <v>146</v>
      </c>
      <c r="BG558">
        <v>60</v>
      </c>
      <c r="BM558" t="s">
        <v>151</v>
      </c>
      <c r="BN558">
        <v>0</v>
      </c>
      <c r="BP558" t="s">
        <v>152</v>
      </c>
      <c r="BV558" t="s">
        <v>230</v>
      </c>
      <c r="BZ558" t="s">
        <v>2536</v>
      </c>
    </row>
    <row r="559" spans="1:92" x14ac:dyDescent="0.2">
      <c r="A559" t="s">
        <v>111</v>
      </c>
      <c r="B559" t="b">
        <v>1</v>
      </c>
      <c r="E559">
        <v>558</v>
      </c>
      <c r="F559" t="str">
        <f>HYPERLINK("https://portal.dnb.de/opac.htm?method=simpleSearch&amp;cqlMode=true&amp;query=idn%3D1066967679", "Portal")</f>
        <v>Portal</v>
      </c>
      <c r="G559" t="s">
        <v>133</v>
      </c>
      <c r="H559" t="s">
        <v>2537</v>
      </c>
      <c r="I559" t="s">
        <v>2538</v>
      </c>
      <c r="J559" t="s">
        <v>2539</v>
      </c>
      <c r="K559" t="s">
        <v>2539</v>
      </c>
      <c r="L559" t="s">
        <v>2539</v>
      </c>
      <c r="N559" t="s">
        <v>2540</v>
      </c>
      <c r="O559" t="s">
        <v>121</v>
      </c>
      <c r="BN559">
        <v>0</v>
      </c>
    </row>
    <row r="560" spans="1:92" x14ac:dyDescent="0.2">
      <c r="A560" t="s">
        <v>111</v>
      </c>
      <c r="B560" t="b">
        <v>1</v>
      </c>
      <c r="E560">
        <v>559</v>
      </c>
      <c r="F560" t="str">
        <f>HYPERLINK("https://portal.dnb.de/opac.htm?method=simpleSearch&amp;cqlMode=true&amp;query=idn%3D107237840X", "Portal")</f>
        <v>Portal</v>
      </c>
      <c r="G560" t="s">
        <v>115</v>
      </c>
      <c r="H560" t="s">
        <v>2541</v>
      </c>
      <c r="I560" t="s">
        <v>2542</v>
      </c>
      <c r="J560" t="s">
        <v>2543</v>
      </c>
      <c r="K560" t="s">
        <v>2543</v>
      </c>
      <c r="L560" t="s">
        <v>2543</v>
      </c>
      <c r="N560" t="s">
        <v>2544</v>
      </c>
      <c r="O560" t="s">
        <v>121</v>
      </c>
      <c r="P560" t="s">
        <v>138</v>
      </c>
      <c r="R560" t="s">
        <v>517</v>
      </c>
      <c r="S560" t="s">
        <v>189</v>
      </c>
      <c r="T560" t="s">
        <v>163</v>
      </c>
      <c r="U560" t="s">
        <v>172</v>
      </c>
      <c r="W560" t="s">
        <v>67</v>
      </c>
      <c r="X560" t="s">
        <v>144</v>
      </c>
      <c r="Y560">
        <v>0</v>
      </c>
      <c r="BN560">
        <v>0</v>
      </c>
    </row>
    <row r="561" spans="1:111" x14ac:dyDescent="0.2">
      <c r="A561" t="s">
        <v>111</v>
      </c>
      <c r="B561" t="b">
        <v>1</v>
      </c>
      <c r="E561">
        <v>560</v>
      </c>
      <c r="F561" t="str">
        <f>HYPERLINK("https://portal.dnb.de/opac.htm?method=simpleSearch&amp;cqlMode=true&amp;query=idn%3D1072106345", "Portal")</f>
        <v>Portal</v>
      </c>
      <c r="G561" t="s">
        <v>115</v>
      </c>
      <c r="H561" t="s">
        <v>2545</v>
      </c>
      <c r="I561" t="s">
        <v>2546</v>
      </c>
      <c r="J561" t="s">
        <v>2547</v>
      </c>
      <c r="K561" t="s">
        <v>2547</v>
      </c>
      <c r="L561" t="s">
        <v>2547</v>
      </c>
      <c r="N561" t="s">
        <v>2548</v>
      </c>
      <c r="O561" t="s">
        <v>121</v>
      </c>
      <c r="P561" t="s">
        <v>138</v>
      </c>
      <c r="R561" t="s">
        <v>139</v>
      </c>
      <c r="S561" t="s">
        <v>189</v>
      </c>
      <c r="T561" t="s">
        <v>141</v>
      </c>
      <c r="U561" t="s">
        <v>164</v>
      </c>
      <c r="V561" t="s">
        <v>143</v>
      </c>
      <c r="W561" t="s">
        <v>67</v>
      </c>
      <c r="X561" t="s">
        <v>144</v>
      </c>
      <c r="Y561">
        <v>1</v>
      </c>
      <c r="BN561">
        <v>0</v>
      </c>
    </row>
    <row r="562" spans="1:111" x14ac:dyDescent="0.2">
      <c r="A562" t="s">
        <v>111</v>
      </c>
      <c r="B562" t="b">
        <v>1</v>
      </c>
      <c r="E562">
        <v>561</v>
      </c>
      <c r="F562" t="str">
        <f>HYPERLINK("https://portal.dnb.de/opac.htm?method=simpleSearch&amp;cqlMode=true&amp;query=idn%3D1072106558", "Portal")</f>
        <v>Portal</v>
      </c>
      <c r="G562" t="s">
        <v>115</v>
      </c>
      <c r="H562" t="s">
        <v>2549</v>
      </c>
      <c r="I562" t="s">
        <v>2550</v>
      </c>
      <c r="J562" t="s">
        <v>2551</v>
      </c>
      <c r="K562" t="s">
        <v>2551</v>
      </c>
      <c r="L562" t="s">
        <v>2551</v>
      </c>
      <c r="N562" t="s">
        <v>2552</v>
      </c>
      <c r="O562" t="s">
        <v>121</v>
      </c>
      <c r="P562" t="s">
        <v>138</v>
      </c>
      <c r="R562" t="s">
        <v>161</v>
      </c>
      <c r="S562" t="s">
        <v>189</v>
      </c>
      <c r="T562" t="s">
        <v>163</v>
      </c>
      <c r="U562" t="s">
        <v>172</v>
      </c>
      <c r="W562" t="s">
        <v>67</v>
      </c>
      <c r="X562" t="s">
        <v>144</v>
      </c>
      <c r="Y562">
        <v>1</v>
      </c>
      <c r="BN562">
        <v>0</v>
      </c>
    </row>
    <row r="563" spans="1:111" x14ac:dyDescent="0.2">
      <c r="A563" t="s">
        <v>111</v>
      </c>
      <c r="B563" t="b">
        <v>1</v>
      </c>
      <c r="E563">
        <v>562</v>
      </c>
      <c r="F563" t="str">
        <f>HYPERLINK("https://portal.dnb.de/opac.htm?method=simpleSearch&amp;cqlMode=true&amp;query=idn%3D1066965803", "Portal")</f>
        <v>Portal</v>
      </c>
      <c r="G563" t="s">
        <v>133</v>
      </c>
      <c r="H563" t="s">
        <v>2553</v>
      </c>
      <c r="I563" t="s">
        <v>2554</v>
      </c>
      <c r="J563" t="s">
        <v>2555</v>
      </c>
      <c r="K563" t="s">
        <v>2555</v>
      </c>
      <c r="L563" t="s">
        <v>2555</v>
      </c>
      <c r="N563" t="s">
        <v>2556</v>
      </c>
      <c r="O563" t="s">
        <v>121</v>
      </c>
      <c r="P563" t="s">
        <v>138</v>
      </c>
      <c r="R563" t="s">
        <v>517</v>
      </c>
      <c r="S563" t="s">
        <v>189</v>
      </c>
      <c r="T563" t="s">
        <v>141</v>
      </c>
      <c r="U563" t="s">
        <v>172</v>
      </c>
      <c r="W563" t="s">
        <v>67</v>
      </c>
      <c r="X563" t="s">
        <v>144</v>
      </c>
      <c r="Y563">
        <v>0</v>
      </c>
      <c r="BN563">
        <v>0</v>
      </c>
    </row>
    <row r="564" spans="1:111" x14ac:dyDescent="0.2">
      <c r="A564" t="s">
        <v>111</v>
      </c>
      <c r="B564" t="b">
        <v>1</v>
      </c>
      <c r="E564">
        <v>563</v>
      </c>
      <c r="F564" t="str">
        <f>HYPERLINK("https://portal.dnb.de/opac.htm?method=simpleSearch&amp;cqlMode=true&amp;query=idn%3D1072106795", "Portal")</f>
        <v>Portal</v>
      </c>
      <c r="G564" t="s">
        <v>115</v>
      </c>
      <c r="H564" t="s">
        <v>2557</v>
      </c>
      <c r="I564" t="s">
        <v>2558</v>
      </c>
      <c r="J564" t="s">
        <v>2559</v>
      </c>
      <c r="K564" t="s">
        <v>2559</v>
      </c>
      <c r="L564" t="s">
        <v>2559</v>
      </c>
      <c r="N564" t="s">
        <v>2560</v>
      </c>
      <c r="O564" t="s">
        <v>121</v>
      </c>
      <c r="P564" t="s">
        <v>138</v>
      </c>
      <c r="R564" t="s">
        <v>207</v>
      </c>
      <c r="S564" t="s">
        <v>140</v>
      </c>
      <c r="T564" t="s">
        <v>163</v>
      </c>
      <c r="U564" t="s">
        <v>381</v>
      </c>
      <c r="V564" t="s">
        <v>143</v>
      </c>
      <c r="W564" t="s">
        <v>67</v>
      </c>
      <c r="X564" t="s">
        <v>144</v>
      </c>
      <c r="Y564">
        <v>2</v>
      </c>
      <c r="BN564">
        <v>0</v>
      </c>
    </row>
    <row r="565" spans="1:111" x14ac:dyDescent="0.2">
      <c r="A565" t="s">
        <v>111</v>
      </c>
      <c r="B565" t="b">
        <v>1</v>
      </c>
      <c r="E565">
        <v>564</v>
      </c>
      <c r="F565" t="str">
        <f>HYPERLINK("https://portal.dnb.de/opac.htm?method=simpleSearch&amp;cqlMode=true&amp;query=idn%3D1066965935", "Portal")</f>
        <v>Portal</v>
      </c>
      <c r="G565" t="s">
        <v>133</v>
      </c>
      <c r="H565" t="s">
        <v>2561</v>
      </c>
      <c r="I565" t="s">
        <v>2562</v>
      </c>
      <c r="J565" t="s">
        <v>2563</v>
      </c>
      <c r="K565" t="s">
        <v>2563</v>
      </c>
      <c r="L565" t="s">
        <v>2563</v>
      </c>
      <c r="N565" t="s">
        <v>1158</v>
      </c>
      <c r="O565" t="s">
        <v>121</v>
      </c>
      <c r="S565" t="s">
        <v>162</v>
      </c>
      <c r="AI565" t="s">
        <v>182</v>
      </c>
      <c r="AL565" t="s">
        <v>146</v>
      </c>
      <c r="AM565" t="s">
        <v>266</v>
      </c>
      <c r="AR565" t="s">
        <v>146</v>
      </c>
      <c r="AS565" t="s">
        <v>148</v>
      </c>
      <c r="BE565">
        <v>2</v>
      </c>
      <c r="BF565" t="s">
        <v>146</v>
      </c>
      <c r="BG565">
        <v>60</v>
      </c>
      <c r="BM565" t="s">
        <v>151</v>
      </c>
      <c r="BN565">
        <v>0</v>
      </c>
      <c r="BP565" t="s">
        <v>152</v>
      </c>
      <c r="BV565" t="s">
        <v>230</v>
      </c>
    </row>
    <row r="566" spans="1:111" x14ac:dyDescent="0.2">
      <c r="A566" t="s">
        <v>111</v>
      </c>
      <c r="B566" t="b">
        <v>1</v>
      </c>
      <c r="E566">
        <v>566</v>
      </c>
      <c r="F566" t="str">
        <f>HYPERLINK("https://portal.dnb.de/opac.htm?method=simpleSearch&amp;cqlMode=true&amp;query=idn%3D1066965218", "Portal")</f>
        <v>Portal</v>
      </c>
      <c r="G566" t="s">
        <v>133</v>
      </c>
      <c r="H566" t="s">
        <v>2564</v>
      </c>
      <c r="I566" t="s">
        <v>2565</v>
      </c>
      <c r="J566" t="s">
        <v>2566</v>
      </c>
      <c r="K566" t="s">
        <v>2566</v>
      </c>
      <c r="L566" t="s">
        <v>2566</v>
      </c>
      <c r="N566" t="s">
        <v>2567</v>
      </c>
      <c r="O566" t="s">
        <v>121</v>
      </c>
      <c r="P566" t="s">
        <v>146</v>
      </c>
      <c r="R566" t="s">
        <v>180</v>
      </c>
      <c r="S566" t="s">
        <v>189</v>
      </c>
      <c r="T566" t="s">
        <v>163</v>
      </c>
      <c r="U566" t="s">
        <v>824</v>
      </c>
      <c r="W566" t="s">
        <v>67</v>
      </c>
      <c r="X566" t="s">
        <v>144</v>
      </c>
      <c r="Y566">
        <v>3</v>
      </c>
      <c r="BN566">
        <v>0</v>
      </c>
    </row>
    <row r="567" spans="1:111" x14ac:dyDescent="0.2">
      <c r="A567" t="s">
        <v>111</v>
      </c>
      <c r="B567" t="b">
        <v>1</v>
      </c>
      <c r="E567">
        <v>567</v>
      </c>
      <c r="F567" t="str">
        <f>HYPERLINK("https://portal.dnb.de/opac.htm?method=simpleSearch&amp;cqlMode=true&amp;query=idn%3D1072378566", "Portal")</f>
        <v>Portal</v>
      </c>
      <c r="G567" t="s">
        <v>115</v>
      </c>
      <c r="H567" t="s">
        <v>2568</v>
      </c>
      <c r="I567" t="s">
        <v>2569</v>
      </c>
      <c r="J567" t="s">
        <v>2570</v>
      </c>
      <c r="K567" t="s">
        <v>2570</v>
      </c>
      <c r="L567" t="s">
        <v>2570</v>
      </c>
      <c r="N567" t="s">
        <v>2571</v>
      </c>
      <c r="O567" t="s">
        <v>121</v>
      </c>
      <c r="P567" t="s">
        <v>146</v>
      </c>
      <c r="R567" t="s">
        <v>180</v>
      </c>
      <c r="S567" t="s">
        <v>189</v>
      </c>
      <c r="T567" t="s">
        <v>163</v>
      </c>
      <c r="U567" t="s">
        <v>824</v>
      </c>
      <c r="W567" t="s">
        <v>67</v>
      </c>
      <c r="X567" t="s">
        <v>144</v>
      </c>
      <c r="Y567">
        <v>3</v>
      </c>
      <c r="BN567">
        <v>0</v>
      </c>
    </row>
    <row r="568" spans="1:111" x14ac:dyDescent="0.2">
      <c r="A568" t="s">
        <v>111</v>
      </c>
      <c r="B568" t="b">
        <v>1</v>
      </c>
      <c r="E568">
        <v>568</v>
      </c>
      <c r="F568" t="str">
        <f>HYPERLINK("https://portal.dnb.de/opac.htm?method=simpleSearch&amp;cqlMode=true&amp;query=idn%3D1072378760", "Portal")</f>
        <v>Portal</v>
      </c>
      <c r="G568" t="s">
        <v>115</v>
      </c>
      <c r="H568" t="s">
        <v>2572</v>
      </c>
      <c r="I568" t="s">
        <v>2573</v>
      </c>
      <c r="J568" t="s">
        <v>2574</v>
      </c>
      <c r="K568" t="s">
        <v>2574</v>
      </c>
      <c r="L568" t="s">
        <v>2574</v>
      </c>
      <c r="N568" t="s">
        <v>2575</v>
      </c>
      <c r="O568" t="s">
        <v>121</v>
      </c>
      <c r="P568" t="s">
        <v>146</v>
      </c>
      <c r="R568" t="s">
        <v>139</v>
      </c>
      <c r="S568" t="s">
        <v>189</v>
      </c>
      <c r="T568" t="s">
        <v>163</v>
      </c>
      <c r="U568" t="s">
        <v>142</v>
      </c>
      <c r="V568" t="s">
        <v>143</v>
      </c>
      <c r="W568" t="s">
        <v>2576</v>
      </c>
      <c r="X568" t="s">
        <v>144</v>
      </c>
      <c r="Y568">
        <v>0</v>
      </c>
      <c r="BN568">
        <v>0</v>
      </c>
    </row>
    <row r="569" spans="1:111" x14ac:dyDescent="0.2">
      <c r="A569" t="s">
        <v>111</v>
      </c>
      <c r="B569" t="b">
        <v>1</v>
      </c>
      <c r="C569" t="s">
        <v>146</v>
      </c>
      <c r="E569">
        <v>569</v>
      </c>
      <c r="F569" t="str">
        <f>HYPERLINK("https://portal.dnb.de/opac.htm?method=simpleSearch&amp;cqlMode=true&amp;query=idn%3D106697070X", "Portal")</f>
        <v>Portal</v>
      </c>
      <c r="G569" t="s">
        <v>133</v>
      </c>
      <c r="H569" t="s">
        <v>2577</v>
      </c>
      <c r="I569" t="s">
        <v>2578</v>
      </c>
      <c r="J569" t="s">
        <v>2579</v>
      </c>
      <c r="K569" t="s">
        <v>2579</v>
      </c>
      <c r="L569" t="s">
        <v>2579</v>
      </c>
      <c r="N569" t="s">
        <v>2580</v>
      </c>
      <c r="O569" t="s">
        <v>121</v>
      </c>
      <c r="P569" t="s">
        <v>138</v>
      </c>
      <c r="Q569" t="s">
        <v>1199</v>
      </c>
      <c r="R569" t="s">
        <v>161</v>
      </c>
      <c r="S569" t="s">
        <v>140</v>
      </c>
      <c r="T569" t="s">
        <v>163</v>
      </c>
      <c r="U569" t="s">
        <v>2581</v>
      </c>
      <c r="W569" t="s">
        <v>67</v>
      </c>
      <c r="X569" t="s">
        <v>144</v>
      </c>
      <c r="Y569">
        <v>3</v>
      </c>
      <c r="AI569" t="s">
        <v>165</v>
      </c>
      <c r="AK569" t="s">
        <v>146</v>
      </c>
      <c r="AM569" t="s">
        <v>147</v>
      </c>
      <c r="AS569" t="s">
        <v>148</v>
      </c>
      <c r="BG569" t="s">
        <v>1476</v>
      </c>
      <c r="BI569" t="s">
        <v>146</v>
      </c>
      <c r="BJ569" t="s">
        <v>2582</v>
      </c>
      <c r="BM569" t="s">
        <v>201</v>
      </c>
      <c r="BN569">
        <v>0.5</v>
      </c>
      <c r="BP569" t="s">
        <v>152</v>
      </c>
      <c r="BV569" t="s">
        <v>2583</v>
      </c>
      <c r="BZ569" t="s">
        <v>146</v>
      </c>
      <c r="CA569" t="s">
        <v>146</v>
      </c>
      <c r="CD569" t="s">
        <v>237</v>
      </c>
      <c r="CF569" t="s">
        <v>146</v>
      </c>
      <c r="CM569">
        <v>0.5</v>
      </c>
      <c r="CN569" t="s">
        <v>2531</v>
      </c>
    </row>
    <row r="570" spans="1:111" x14ac:dyDescent="0.2">
      <c r="A570" t="s">
        <v>111</v>
      </c>
      <c r="B570" t="b">
        <v>1</v>
      </c>
      <c r="C570" t="s">
        <v>146</v>
      </c>
      <c r="E570">
        <v>570</v>
      </c>
      <c r="F570" t="str">
        <f>HYPERLINK("https://portal.dnb.de/opac.htm?method=simpleSearch&amp;cqlMode=true&amp;query=idn%3D1079560041", "Portal")</f>
        <v>Portal</v>
      </c>
      <c r="G570" t="s">
        <v>218</v>
      </c>
      <c r="H570" t="s">
        <v>2584</v>
      </c>
      <c r="I570" t="s">
        <v>2585</v>
      </c>
      <c r="J570" t="s">
        <v>2586</v>
      </c>
      <c r="K570" t="s">
        <v>2586</v>
      </c>
      <c r="L570" t="s">
        <v>2586</v>
      </c>
      <c r="N570" t="s">
        <v>2587</v>
      </c>
      <c r="O570" t="s">
        <v>121</v>
      </c>
      <c r="P570" t="s">
        <v>146</v>
      </c>
      <c r="Q570" t="s">
        <v>659</v>
      </c>
      <c r="R570" t="s">
        <v>161</v>
      </c>
      <c r="S570" t="s">
        <v>189</v>
      </c>
      <c r="T570" t="s">
        <v>163</v>
      </c>
      <c r="U570" t="s">
        <v>2588</v>
      </c>
      <c r="W570" t="s">
        <v>67</v>
      </c>
      <c r="X570" t="s">
        <v>144</v>
      </c>
      <c r="Y570">
        <v>2</v>
      </c>
      <c r="AI570" t="s">
        <v>518</v>
      </c>
      <c r="AK570" t="s">
        <v>146</v>
      </c>
      <c r="AM570" t="s">
        <v>147</v>
      </c>
      <c r="AS570" t="s">
        <v>148</v>
      </c>
      <c r="BG570">
        <v>60</v>
      </c>
      <c r="BM570" t="s">
        <v>213</v>
      </c>
      <c r="BN570">
        <v>0.5</v>
      </c>
      <c r="BP570" t="s">
        <v>152</v>
      </c>
      <c r="BV570" t="s">
        <v>230</v>
      </c>
      <c r="BZ570" t="s">
        <v>2589</v>
      </c>
      <c r="CA570" t="s">
        <v>146</v>
      </c>
      <c r="CD570" t="s">
        <v>202</v>
      </c>
      <c r="CF570" t="s">
        <v>146</v>
      </c>
      <c r="CM570">
        <v>0.5</v>
      </c>
    </row>
    <row r="571" spans="1:111" x14ac:dyDescent="0.2">
      <c r="A571" t="s">
        <v>111</v>
      </c>
      <c r="B571" t="b">
        <v>1</v>
      </c>
      <c r="E571">
        <v>571</v>
      </c>
      <c r="F571" t="str">
        <f>HYPERLINK("https://portal.dnb.de/opac.htm?method=simpleSearch&amp;cqlMode=true&amp;query=idn%3D1072108216", "Portal")</f>
        <v>Portal</v>
      </c>
      <c r="G571" t="s">
        <v>115</v>
      </c>
      <c r="H571" t="s">
        <v>2590</v>
      </c>
      <c r="I571" t="s">
        <v>2591</v>
      </c>
      <c r="J571" t="s">
        <v>2592</v>
      </c>
      <c r="K571" t="s">
        <v>2592</v>
      </c>
      <c r="L571" t="s">
        <v>2592</v>
      </c>
      <c r="N571" t="s">
        <v>1473</v>
      </c>
      <c r="O571" t="s">
        <v>121</v>
      </c>
      <c r="P571" t="s">
        <v>138</v>
      </c>
      <c r="R571" t="s">
        <v>161</v>
      </c>
      <c r="S571" t="s">
        <v>140</v>
      </c>
      <c r="T571" t="s">
        <v>141</v>
      </c>
      <c r="U571" t="s">
        <v>2593</v>
      </c>
      <c r="W571" t="s">
        <v>67</v>
      </c>
      <c r="X571" t="s">
        <v>144</v>
      </c>
      <c r="Y571">
        <v>3</v>
      </c>
      <c r="AA571" t="s">
        <v>2594</v>
      </c>
      <c r="BN571">
        <v>0</v>
      </c>
    </row>
    <row r="572" spans="1:111" x14ac:dyDescent="0.2">
      <c r="A572" t="s">
        <v>111</v>
      </c>
      <c r="B572" t="b">
        <v>1</v>
      </c>
      <c r="C572" t="s">
        <v>146</v>
      </c>
      <c r="E572">
        <v>572</v>
      </c>
      <c r="F572" t="str">
        <f>HYPERLINK("https://portal.dnb.de/opac.htm?method=simpleSearch&amp;cqlMode=true&amp;query=idn%3D1066965226", "Portal")</f>
        <v>Portal</v>
      </c>
      <c r="G572" t="s">
        <v>133</v>
      </c>
      <c r="H572" t="s">
        <v>2595</v>
      </c>
      <c r="I572" t="s">
        <v>2596</v>
      </c>
      <c r="J572" t="s">
        <v>2597</v>
      </c>
      <c r="K572" t="s">
        <v>2597</v>
      </c>
      <c r="L572" t="s">
        <v>2597</v>
      </c>
      <c r="N572" t="s">
        <v>2598</v>
      </c>
      <c r="O572" t="s">
        <v>121</v>
      </c>
      <c r="Q572" t="s">
        <v>711</v>
      </c>
      <c r="S572" t="s">
        <v>162</v>
      </c>
      <c r="AI572" t="s">
        <v>182</v>
      </c>
      <c r="AK572" t="s">
        <v>146</v>
      </c>
      <c r="AM572" t="s">
        <v>313</v>
      </c>
      <c r="AR572" t="s">
        <v>146</v>
      </c>
      <c r="AS572" t="s">
        <v>148</v>
      </c>
      <c r="BG572">
        <v>45</v>
      </c>
      <c r="BM572" t="s">
        <v>213</v>
      </c>
      <c r="BN572">
        <v>2</v>
      </c>
      <c r="BR572" t="s">
        <v>146</v>
      </c>
      <c r="BZ572" t="s">
        <v>146</v>
      </c>
      <c r="CB572" t="s">
        <v>146</v>
      </c>
      <c r="CD572" t="s">
        <v>228</v>
      </c>
      <c r="CH572" t="s">
        <v>146</v>
      </c>
      <c r="CM572">
        <v>2</v>
      </c>
      <c r="CN572" t="s">
        <v>2599</v>
      </c>
    </row>
    <row r="573" spans="1:111" x14ac:dyDescent="0.2">
      <c r="A573" t="s">
        <v>111</v>
      </c>
      <c r="B573" t="b">
        <v>1</v>
      </c>
      <c r="C573" t="s">
        <v>146</v>
      </c>
      <c r="E573">
        <v>573</v>
      </c>
      <c r="F573" t="str">
        <f>HYPERLINK("https://portal.dnb.de/opac.htm?method=simpleSearch&amp;cqlMode=true&amp;query=idn%3D1072378957", "Portal")</f>
        <v>Portal</v>
      </c>
      <c r="G573" t="s">
        <v>115</v>
      </c>
      <c r="H573" t="s">
        <v>2600</v>
      </c>
      <c r="I573" t="s">
        <v>2601</v>
      </c>
      <c r="J573" t="s">
        <v>2602</v>
      </c>
      <c r="K573" t="s">
        <v>2602</v>
      </c>
      <c r="L573" t="s">
        <v>2602</v>
      </c>
      <c r="N573" t="s">
        <v>2603</v>
      </c>
      <c r="O573" t="s">
        <v>121</v>
      </c>
      <c r="Q573" t="s">
        <v>311</v>
      </c>
      <c r="S573" t="s">
        <v>162</v>
      </c>
      <c r="AI573" t="s">
        <v>518</v>
      </c>
      <c r="AK573" t="s">
        <v>146</v>
      </c>
      <c r="AM573" t="s">
        <v>147</v>
      </c>
      <c r="AS573" t="s">
        <v>148</v>
      </c>
      <c r="BG573">
        <v>110</v>
      </c>
      <c r="BM573" t="s">
        <v>213</v>
      </c>
      <c r="BN573">
        <v>2.5</v>
      </c>
      <c r="BR573" t="s">
        <v>146</v>
      </c>
      <c r="BZ573" t="s">
        <v>146</v>
      </c>
      <c r="CB573" t="s">
        <v>146</v>
      </c>
      <c r="CM573">
        <v>1</v>
      </c>
      <c r="CN573" t="s">
        <v>2604</v>
      </c>
      <c r="CS573" t="s">
        <v>146</v>
      </c>
      <c r="DF573">
        <v>1.5</v>
      </c>
      <c r="DG573" t="s">
        <v>2605</v>
      </c>
    </row>
    <row r="574" spans="1:111" x14ac:dyDescent="0.2">
      <c r="A574" t="s">
        <v>111</v>
      </c>
      <c r="B574" t="b">
        <v>1</v>
      </c>
      <c r="C574" t="s">
        <v>146</v>
      </c>
      <c r="E574">
        <v>574</v>
      </c>
      <c r="F574" t="str">
        <f>HYPERLINK("https://portal.dnb.de/opac.htm?method=simpleSearch&amp;cqlMode=true&amp;query=idn%3D1072111624", "Portal")</f>
        <v>Portal</v>
      </c>
      <c r="G574" t="s">
        <v>115</v>
      </c>
      <c r="H574" t="s">
        <v>2606</v>
      </c>
      <c r="I574" t="s">
        <v>2607</v>
      </c>
      <c r="J574" t="s">
        <v>2608</v>
      </c>
      <c r="K574" t="s">
        <v>2608</v>
      </c>
      <c r="L574" t="s">
        <v>2608</v>
      </c>
      <c r="N574" t="s">
        <v>2609</v>
      </c>
      <c r="O574" t="s">
        <v>121</v>
      </c>
      <c r="Q574" t="s">
        <v>2610</v>
      </c>
      <c r="S574" t="s">
        <v>162</v>
      </c>
      <c r="AI574" t="s">
        <v>165</v>
      </c>
      <c r="AK574" t="s">
        <v>146</v>
      </c>
      <c r="AM574" t="s">
        <v>147</v>
      </c>
      <c r="AS574" t="s">
        <v>148</v>
      </c>
      <c r="AT574" t="s">
        <v>146</v>
      </c>
      <c r="BG574">
        <v>110</v>
      </c>
      <c r="BM574" t="s">
        <v>213</v>
      </c>
      <c r="BN574">
        <v>2</v>
      </c>
      <c r="BR574" t="s">
        <v>146</v>
      </c>
      <c r="BZ574" t="s">
        <v>146</v>
      </c>
      <c r="CA574" t="s">
        <v>146</v>
      </c>
      <c r="CB574" t="s">
        <v>146</v>
      </c>
      <c r="CD574" t="s">
        <v>202</v>
      </c>
      <c r="CF574" t="s">
        <v>146</v>
      </c>
      <c r="CM574">
        <v>2</v>
      </c>
      <c r="CN574" t="s">
        <v>2611</v>
      </c>
    </row>
    <row r="575" spans="1:111" x14ac:dyDescent="0.2">
      <c r="A575" t="s">
        <v>111</v>
      </c>
      <c r="B575" t="b">
        <v>1</v>
      </c>
      <c r="E575">
        <v>575</v>
      </c>
      <c r="F575" t="str">
        <f>HYPERLINK("https://portal.dnb.de/opac.htm?method=simpleSearch&amp;cqlMode=true&amp;query=idn%3D1072112019", "Portal")</f>
        <v>Portal</v>
      </c>
      <c r="G575" t="s">
        <v>115</v>
      </c>
      <c r="H575" t="s">
        <v>2612</v>
      </c>
      <c r="I575" t="s">
        <v>2613</v>
      </c>
      <c r="J575" t="s">
        <v>2614</v>
      </c>
      <c r="K575" t="s">
        <v>2614</v>
      </c>
      <c r="L575" t="s">
        <v>2614</v>
      </c>
      <c r="N575" t="s">
        <v>2615</v>
      </c>
      <c r="O575" t="s">
        <v>121</v>
      </c>
      <c r="P575" t="s">
        <v>146</v>
      </c>
      <c r="R575" t="s">
        <v>188</v>
      </c>
      <c r="S575" t="s">
        <v>189</v>
      </c>
      <c r="T575" t="s">
        <v>163</v>
      </c>
      <c r="U575" t="s">
        <v>2616</v>
      </c>
      <c r="W575" t="s">
        <v>67</v>
      </c>
      <c r="X575" t="s">
        <v>144</v>
      </c>
      <c r="Y575">
        <v>0</v>
      </c>
      <c r="BN575">
        <v>0</v>
      </c>
    </row>
    <row r="576" spans="1:111" x14ac:dyDescent="0.2">
      <c r="A576" t="s">
        <v>111</v>
      </c>
      <c r="B576" t="b">
        <v>1</v>
      </c>
      <c r="C576" t="s">
        <v>146</v>
      </c>
      <c r="E576">
        <v>576</v>
      </c>
      <c r="F576" t="str">
        <f>HYPERLINK("https://portal.dnb.de/opac.htm?method=simpleSearch&amp;cqlMode=true&amp;query=idn%3D1066966818", "Portal")</f>
        <v>Portal</v>
      </c>
      <c r="G576" t="s">
        <v>115</v>
      </c>
      <c r="H576" t="s">
        <v>2617</v>
      </c>
      <c r="I576" t="s">
        <v>2618</v>
      </c>
      <c r="J576" t="s">
        <v>2619</v>
      </c>
      <c r="K576" t="s">
        <v>2619</v>
      </c>
      <c r="L576" t="s">
        <v>2619</v>
      </c>
      <c r="N576" t="s">
        <v>2620</v>
      </c>
      <c r="O576" t="s">
        <v>121</v>
      </c>
      <c r="P576" t="s">
        <v>146</v>
      </c>
      <c r="Q576" t="s">
        <v>1718</v>
      </c>
      <c r="R576" t="s">
        <v>161</v>
      </c>
      <c r="S576" t="s">
        <v>140</v>
      </c>
      <c r="T576" t="s">
        <v>163</v>
      </c>
      <c r="U576" t="s">
        <v>2621</v>
      </c>
      <c r="W576" t="s">
        <v>67</v>
      </c>
      <c r="X576" t="s">
        <v>144</v>
      </c>
      <c r="Y576">
        <v>3</v>
      </c>
      <c r="AA576" t="s">
        <v>617</v>
      </c>
      <c r="AI576" t="s">
        <v>182</v>
      </c>
      <c r="AK576" t="s">
        <v>146</v>
      </c>
      <c r="AM576" t="s">
        <v>313</v>
      </c>
      <c r="AS576" t="s">
        <v>148</v>
      </c>
      <c r="BG576">
        <v>60</v>
      </c>
      <c r="BM576" t="s">
        <v>213</v>
      </c>
      <c r="BN576">
        <v>3</v>
      </c>
      <c r="BP576" t="s">
        <v>152</v>
      </c>
      <c r="BZ576" t="s">
        <v>146</v>
      </c>
      <c r="CA576" t="s">
        <v>146</v>
      </c>
      <c r="CB576" t="s">
        <v>146</v>
      </c>
      <c r="CD576" t="s">
        <v>202</v>
      </c>
      <c r="CM576">
        <v>3</v>
      </c>
      <c r="CN576" t="s">
        <v>2622</v>
      </c>
    </row>
    <row r="577" spans="1:111" x14ac:dyDescent="0.2">
      <c r="A577" t="s">
        <v>111</v>
      </c>
      <c r="B577" t="b">
        <v>1</v>
      </c>
      <c r="E577">
        <v>577</v>
      </c>
      <c r="F577" t="str">
        <f>HYPERLINK("https://portal.dnb.de/opac.htm?method=simpleSearch&amp;cqlMode=true&amp;query=idn%3D1066965455", "Portal")</f>
        <v>Portal</v>
      </c>
      <c r="G577" t="s">
        <v>115</v>
      </c>
      <c r="H577" t="s">
        <v>2623</v>
      </c>
      <c r="I577" t="s">
        <v>2624</v>
      </c>
      <c r="J577" t="s">
        <v>2625</v>
      </c>
      <c r="K577" t="s">
        <v>2625</v>
      </c>
      <c r="L577" t="s">
        <v>2625</v>
      </c>
      <c r="N577" t="s">
        <v>2626</v>
      </c>
      <c r="O577" t="s">
        <v>121</v>
      </c>
      <c r="P577" t="s">
        <v>138</v>
      </c>
      <c r="R577" t="s">
        <v>207</v>
      </c>
      <c r="S577" t="s">
        <v>140</v>
      </c>
      <c r="T577" t="s">
        <v>163</v>
      </c>
      <c r="U577" t="s">
        <v>386</v>
      </c>
      <c r="W577" t="s">
        <v>67</v>
      </c>
      <c r="X577" t="s">
        <v>144</v>
      </c>
      <c r="Y577">
        <v>1</v>
      </c>
      <c r="BN577">
        <v>0</v>
      </c>
    </row>
    <row r="578" spans="1:111" x14ac:dyDescent="0.2">
      <c r="A578" t="s">
        <v>111</v>
      </c>
      <c r="B578" t="b">
        <v>1</v>
      </c>
      <c r="E578">
        <v>578</v>
      </c>
      <c r="F578" t="str">
        <f>HYPERLINK("https://portal.dnb.de/opac.htm?method=simpleSearch&amp;cqlMode=true&amp;query=idn%3D1066967458", "Portal")</f>
        <v>Portal</v>
      </c>
      <c r="G578" t="s">
        <v>133</v>
      </c>
      <c r="H578" t="s">
        <v>2627</v>
      </c>
      <c r="I578" t="s">
        <v>2628</v>
      </c>
      <c r="J578" t="s">
        <v>2629</v>
      </c>
      <c r="K578" t="s">
        <v>2629</v>
      </c>
      <c r="L578" t="s">
        <v>2629</v>
      </c>
      <c r="N578" t="s">
        <v>2630</v>
      </c>
      <c r="O578" t="s">
        <v>121</v>
      </c>
      <c r="P578" t="s">
        <v>146</v>
      </c>
      <c r="R578" t="s">
        <v>161</v>
      </c>
      <c r="S578" t="s">
        <v>189</v>
      </c>
      <c r="T578" t="s">
        <v>163</v>
      </c>
      <c r="U578" t="s">
        <v>1675</v>
      </c>
      <c r="V578" t="s">
        <v>143</v>
      </c>
      <c r="W578" t="s">
        <v>67</v>
      </c>
      <c r="X578" t="s">
        <v>144</v>
      </c>
      <c r="Y578">
        <v>0</v>
      </c>
      <c r="BN578">
        <v>0</v>
      </c>
    </row>
    <row r="579" spans="1:111" x14ac:dyDescent="0.2">
      <c r="A579" t="s">
        <v>111</v>
      </c>
      <c r="B579" t="b">
        <v>1</v>
      </c>
      <c r="C579" t="s">
        <v>146</v>
      </c>
      <c r="E579">
        <v>579</v>
      </c>
      <c r="F579" t="str">
        <f>HYPERLINK("https://portal.dnb.de/opac.htm?method=simpleSearch&amp;cqlMode=true&amp;query=idn%3D1069014885", "Portal")</f>
        <v>Portal</v>
      </c>
      <c r="G579" t="s">
        <v>539</v>
      </c>
      <c r="H579" t="s">
        <v>2631</v>
      </c>
      <c r="I579" t="s">
        <v>2632</v>
      </c>
      <c r="J579" t="s">
        <v>2633</v>
      </c>
      <c r="K579" t="s">
        <v>2633</v>
      </c>
      <c r="L579" t="s">
        <v>2633</v>
      </c>
      <c r="N579" t="s">
        <v>2634</v>
      </c>
      <c r="O579" t="s">
        <v>2635</v>
      </c>
      <c r="Q579" t="s">
        <v>311</v>
      </c>
      <c r="S579" t="s">
        <v>162</v>
      </c>
      <c r="AI579" t="s">
        <v>145</v>
      </c>
      <c r="AM579" t="s">
        <v>313</v>
      </c>
      <c r="AS579" t="s">
        <v>148</v>
      </c>
      <c r="BG579">
        <v>60</v>
      </c>
      <c r="BM579" t="s">
        <v>213</v>
      </c>
      <c r="BN579">
        <v>1</v>
      </c>
      <c r="BP579" t="s">
        <v>278</v>
      </c>
      <c r="BY579" t="s">
        <v>2636</v>
      </c>
      <c r="BZ579" t="s">
        <v>146</v>
      </c>
      <c r="CA579" t="s">
        <v>146</v>
      </c>
      <c r="CB579" t="s">
        <v>146</v>
      </c>
      <c r="CC579" t="s">
        <v>146</v>
      </c>
      <c r="CM579">
        <v>1</v>
      </c>
      <c r="CN579" t="s">
        <v>2637</v>
      </c>
    </row>
    <row r="580" spans="1:111" x14ac:dyDescent="0.2">
      <c r="A580" t="s">
        <v>111</v>
      </c>
      <c r="B580" t="b">
        <v>1</v>
      </c>
      <c r="E580">
        <v>580</v>
      </c>
      <c r="F580" t="str">
        <f>HYPERLINK("https://portal.dnb.de/opac.htm?method=simpleSearch&amp;cqlMode=true&amp;query=idn%3D106901494X", "Portal")</f>
        <v>Portal</v>
      </c>
      <c r="G580" t="s">
        <v>539</v>
      </c>
      <c r="H580" t="s">
        <v>2638</v>
      </c>
      <c r="I580" t="s">
        <v>2639</v>
      </c>
      <c r="J580" t="s">
        <v>2640</v>
      </c>
      <c r="K580" t="s">
        <v>2640</v>
      </c>
      <c r="L580" t="s">
        <v>2640</v>
      </c>
      <c r="N580" t="s">
        <v>2634</v>
      </c>
      <c r="O580" t="s">
        <v>2641</v>
      </c>
      <c r="BN580">
        <v>0</v>
      </c>
    </row>
    <row r="581" spans="1:111" x14ac:dyDescent="0.2">
      <c r="A581" t="s">
        <v>111</v>
      </c>
      <c r="B581" t="b">
        <v>1</v>
      </c>
      <c r="C581" t="s">
        <v>146</v>
      </c>
      <c r="F581" t="str">
        <f>HYPERLINK("https://portal.dnb.de/opac.htm?method=simpleSearch&amp;cqlMode=true&amp;query=idn%3D1171730640", "Portal")</f>
        <v>Portal</v>
      </c>
      <c r="G581" t="s">
        <v>539</v>
      </c>
      <c r="H581" t="s">
        <v>2642</v>
      </c>
      <c r="I581" t="s">
        <v>2643</v>
      </c>
      <c r="J581" t="s">
        <v>2644</v>
      </c>
      <c r="K581" t="s">
        <v>2644</v>
      </c>
      <c r="L581" t="s">
        <v>2644</v>
      </c>
      <c r="N581" t="s">
        <v>914</v>
      </c>
      <c r="O581" t="s">
        <v>2645</v>
      </c>
      <c r="Q581" t="s">
        <v>2646</v>
      </c>
      <c r="S581" t="s">
        <v>162</v>
      </c>
      <c r="AI581" t="s">
        <v>145</v>
      </c>
      <c r="AK581" t="s">
        <v>146</v>
      </c>
      <c r="AM581" t="s">
        <v>313</v>
      </c>
      <c r="AS581" t="s">
        <v>148</v>
      </c>
      <c r="BC581" t="s">
        <v>669</v>
      </c>
      <c r="BD581" t="s">
        <v>146</v>
      </c>
      <c r="BG581">
        <v>45</v>
      </c>
      <c r="BM581" t="s">
        <v>213</v>
      </c>
      <c r="BN581">
        <v>40.5</v>
      </c>
      <c r="BP581" t="s">
        <v>152</v>
      </c>
      <c r="BV581" t="s">
        <v>2647</v>
      </c>
      <c r="BZ581" t="s">
        <v>146</v>
      </c>
      <c r="CA581" t="s">
        <v>146</v>
      </c>
      <c r="CB581" t="s">
        <v>146</v>
      </c>
      <c r="CM581">
        <v>0.5</v>
      </c>
      <c r="CQ581" t="s">
        <v>146</v>
      </c>
      <c r="DF581">
        <v>40</v>
      </c>
      <c r="DG581" t="s">
        <v>2648</v>
      </c>
    </row>
    <row r="582" spans="1:111" x14ac:dyDescent="0.2">
      <c r="A582" t="s">
        <v>111</v>
      </c>
      <c r="B582" t="b">
        <v>1</v>
      </c>
      <c r="E582">
        <v>581</v>
      </c>
      <c r="F582" t="str">
        <f>HYPERLINK("https://portal.dnb.de/opac.htm?method=simpleSearch&amp;cqlMode=true&amp;query=idn%3D1066972095", "Portal")</f>
        <v>Portal</v>
      </c>
      <c r="G582" t="s">
        <v>133</v>
      </c>
      <c r="H582" t="s">
        <v>2649</v>
      </c>
      <c r="I582" t="s">
        <v>2650</v>
      </c>
      <c r="J582" t="s">
        <v>2651</v>
      </c>
      <c r="K582" t="s">
        <v>2651</v>
      </c>
      <c r="L582" t="s">
        <v>2651</v>
      </c>
      <c r="N582" t="s">
        <v>2652</v>
      </c>
      <c r="O582" t="s">
        <v>121</v>
      </c>
      <c r="P582" t="s">
        <v>138</v>
      </c>
      <c r="R582" t="s">
        <v>161</v>
      </c>
      <c r="S582" t="s">
        <v>140</v>
      </c>
      <c r="T582" t="s">
        <v>163</v>
      </c>
      <c r="U582" t="s">
        <v>886</v>
      </c>
      <c r="W582" t="s">
        <v>67</v>
      </c>
      <c r="X582" t="s">
        <v>144</v>
      </c>
      <c r="Y582">
        <v>1</v>
      </c>
      <c r="BN582">
        <v>0</v>
      </c>
    </row>
    <row r="583" spans="1:111" x14ac:dyDescent="0.2">
      <c r="A583" t="s">
        <v>111</v>
      </c>
      <c r="B583" t="b">
        <v>1</v>
      </c>
      <c r="E583">
        <v>582</v>
      </c>
      <c r="F583" t="str">
        <f>HYPERLINK("https://portal.dnb.de/opac.htm?method=simpleSearch&amp;cqlMode=true&amp;query=idn%3D1072153890", "Portal")</f>
        <v>Portal</v>
      </c>
      <c r="G583" t="s">
        <v>115</v>
      </c>
      <c r="H583" t="s">
        <v>2653</v>
      </c>
      <c r="I583" t="s">
        <v>2654</v>
      </c>
      <c r="J583" t="s">
        <v>2655</v>
      </c>
      <c r="K583" t="s">
        <v>2655</v>
      </c>
      <c r="L583" t="s">
        <v>2655</v>
      </c>
      <c r="N583" t="s">
        <v>2656</v>
      </c>
      <c r="O583" t="s">
        <v>121</v>
      </c>
      <c r="P583" t="s">
        <v>138</v>
      </c>
      <c r="R583" t="s">
        <v>161</v>
      </c>
      <c r="S583" t="s">
        <v>140</v>
      </c>
      <c r="T583" t="s">
        <v>163</v>
      </c>
      <c r="U583" t="s">
        <v>172</v>
      </c>
      <c r="W583" t="s">
        <v>67</v>
      </c>
      <c r="X583" t="s">
        <v>144</v>
      </c>
      <c r="Y583">
        <v>2</v>
      </c>
      <c r="BN583">
        <v>0</v>
      </c>
    </row>
    <row r="584" spans="1:111" x14ac:dyDescent="0.2">
      <c r="A584" t="s">
        <v>111</v>
      </c>
      <c r="B584" t="b">
        <v>1</v>
      </c>
      <c r="E584">
        <v>583</v>
      </c>
      <c r="F584" t="str">
        <f>HYPERLINK("https://portal.dnb.de/opac.htm?method=simpleSearch&amp;cqlMode=true&amp;query=idn%3D1072153998", "Portal")</f>
        <v>Portal</v>
      </c>
      <c r="G584" t="s">
        <v>115</v>
      </c>
      <c r="H584" t="s">
        <v>2657</v>
      </c>
      <c r="I584" t="s">
        <v>2658</v>
      </c>
      <c r="J584" t="s">
        <v>2659</v>
      </c>
      <c r="K584" t="s">
        <v>2659</v>
      </c>
      <c r="L584" t="s">
        <v>2659</v>
      </c>
      <c r="N584" t="s">
        <v>2660</v>
      </c>
      <c r="O584" t="s">
        <v>121</v>
      </c>
      <c r="P584" t="s">
        <v>138</v>
      </c>
      <c r="R584" t="s">
        <v>161</v>
      </c>
      <c r="S584" t="s">
        <v>189</v>
      </c>
      <c r="T584" t="s">
        <v>163</v>
      </c>
      <c r="W584" t="s">
        <v>67</v>
      </c>
      <c r="X584" t="s">
        <v>144</v>
      </c>
      <c r="Y584">
        <v>0</v>
      </c>
      <c r="AA584" t="s">
        <v>617</v>
      </c>
      <c r="BN584">
        <v>0</v>
      </c>
    </row>
    <row r="585" spans="1:111" x14ac:dyDescent="0.2">
      <c r="A585" t="s">
        <v>111</v>
      </c>
      <c r="B585" t="b">
        <v>1</v>
      </c>
      <c r="E585">
        <v>584</v>
      </c>
      <c r="F585" t="str">
        <f>HYPERLINK("https://portal.dnb.de/opac.htm?method=simpleSearch&amp;cqlMode=true&amp;query=idn%3D1072154080", "Portal")</f>
        <v>Portal</v>
      </c>
      <c r="G585" t="s">
        <v>115</v>
      </c>
      <c r="H585" t="s">
        <v>2661</v>
      </c>
      <c r="I585" t="s">
        <v>2662</v>
      </c>
      <c r="J585" t="s">
        <v>2663</v>
      </c>
      <c r="K585" t="s">
        <v>2663</v>
      </c>
      <c r="L585" t="s">
        <v>2663</v>
      </c>
      <c r="N585" t="s">
        <v>2664</v>
      </c>
      <c r="O585" t="s">
        <v>121</v>
      </c>
      <c r="P585" t="s">
        <v>146</v>
      </c>
      <c r="R585" t="s">
        <v>161</v>
      </c>
      <c r="S585" t="s">
        <v>140</v>
      </c>
      <c r="T585" t="s">
        <v>471</v>
      </c>
      <c r="U585" t="s">
        <v>1599</v>
      </c>
      <c r="W585" t="s">
        <v>67</v>
      </c>
      <c r="X585" t="s">
        <v>144</v>
      </c>
      <c r="Y585">
        <v>0</v>
      </c>
      <c r="AA585" t="s">
        <v>617</v>
      </c>
      <c r="BN585">
        <v>0</v>
      </c>
    </row>
    <row r="586" spans="1:111" x14ac:dyDescent="0.2">
      <c r="A586" t="s">
        <v>111</v>
      </c>
      <c r="B586" t="b">
        <v>1</v>
      </c>
      <c r="E586">
        <v>585</v>
      </c>
      <c r="F586" t="str">
        <f>HYPERLINK("https://portal.dnb.de/opac.htm?method=simpleSearch&amp;cqlMode=true&amp;query=idn%3D1072154773", "Portal")</f>
        <v>Portal</v>
      </c>
      <c r="G586" t="s">
        <v>115</v>
      </c>
      <c r="H586" t="s">
        <v>2665</v>
      </c>
      <c r="I586" t="s">
        <v>2666</v>
      </c>
      <c r="J586" t="s">
        <v>2667</v>
      </c>
      <c r="K586" t="s">
        <v>2667</v>
      </c>
      <c r="L586" t="s">
        <v>2667</v>
      </c>
      <c r="N586" t="s">
        <v>2668</v>
      </c>
      <c r="O586" t="s">
        <v>121</v>
      </c>
      <c r="P586" t="s">
        <v>138</v>
      </c>
      <c r="R586" t="s">
        <v>161</v>
      </c>
      <c r="S586" t="s">
        <v>140</v>
      </c>
      <c r="T586" t="s">
        <v>163</v>
      </c>
      <c r="U586" t="s">
        <v>1599</v>
      </c>
      <c r="W586" t="s">
        <v>67</v>
      </c>
      <c r="X586" t="s">
        <v>144</v>
      </c>
      <c r="Y586">
        <v>2</v>
      </c>
      <c r="BN586">
        <v>0</v>
      </c>
    </row>
    <row r="587" spans="1:111" x14ac:dyDescent="0.2">
      <c r="A587" t="s">
        <v>111</v>
      </c>
      <c r="B587" t="b">
        <v>1</v>
      </c>
      <c r="E587">
        <v>586</v>
      </c>
      <c r="F587" t="str">
        <f>HYPERLINK("https://portal.dnb.de/opac.htm?method=simpleSearch&amp;cqlMode=true&amp;query=idn%3D1072161362", "Portal")</f>
        <v>Portal</v>
      </c>
      <c r="G587" t="s">
        <v>115</v>
      </c>
      <c r="H587" t="s">
        <v>2669</v>
      </c>
      <c r="I587" t="s">
        <v>2670</v>
      </c>
      <c r="J587" t="s">
        <v>2671</v>
      </c>
      <c r="K587" t="s">
        <v>2671</v>
      </c>
      <c r="L587" t="s">
        <v>2671</v>
      </c>
      <c r="N587" t="s">
        <v>2672</v>
      </c>
      <c r="O587" t="s">
        <v>121</v>
      </c>
      <c r="P587" t="s">
        <v>138</v>
      </c>
      <c r="R587" t="s">
        <v>180</v>
      </c>
      <c r="S587" t="s">
        <v>140</v>
      </c>
      <c r="T587" t="s">
        <v>471</v>
      </c>
      <c r="W587" t="s">
        <v>67</v>
      </c>
      <c r="X587" t="s">
        <v>987</v>
      </c>
      <c r="Y587">
        <v>0</v>
      </c>
      <c r="BN587">
        <v>0</v>
      </c>
    </row>
    <row r="588" spans="1:111" x14ac:dyDescent="0.2">
      <c r="A588" t="s">
        <v>111</v>
      </c>
      <c r="B588" t="b">
        <v>0</v>
      </c>
      <c r="F588" t="str">
        <f>HYPERLINK("https://portal.dnb.de/opac.htm?method=simpleSearch&amp;cqlMode=true&amp;query=idn%3D", "Portal")</f>
        <v>Portal</v>
      </c>
      <c r="L588" t="s">
        <v>2673</v>
      </c>
      <c r="BN588">
        <v>0</v>
      </c>
    </row>
    <row r="589" spans="1:111" x14ac:dyDescent="0.2">
      <c r="A589" t="s">
        <v>111</v>
      </c>
      <c r="B589" t="b">
        <v>1</v>
      </c>
      <c r="E589">
        <v>587</v>
      </c>
      <c r="F589" t="str">
        <f>HYPERLINK("https://portal.dnb.de/opac.htm?method=simpleSearch&amp;cqlMode=true&amp;query=idn%3D1072161729", "Portal")</f>
        <v>Portal</v>
      </c>
      <c r="G589" t="s">
        <v>115</v>
      </c>
      <c r="H589" t="s">
        <v>2674</v>
      </c>
      <c r="I589" t="s">
        <v>2675</v>
      </c>
      <c r="J589" t="s">
        <v>2676</v>
      </c>
      <c r="K589" t="s">
        <v>2676</v>
      </c>
      <c r="L589" t="s">
        <v>2676</v>
      </c>
      <c r="N589" t="s">
        <v>2677</v>
      </c>
      <c r="O589" t="s">
        <v>121</v>
      </c>
      <c r="P589" t="s">
        <v>138</v>
      </c>
      <c r="R589" t="s">
        <v>161</v>
      </c>
      <c r="S589" t="s">
        <v>140</v>
      </c>
      <c r="T589" t="s">
        <v>163</v>
      </c>
      <c r="U589" t="s">
        <v>1599</v>
      </c>
      <c r="W589" t="s">
        <v>67</v>
      </c>
      <c r="X589" t="s">
        <v>144</v>
      </c>
      <c r="Y589">
        <v>2</v>
      </c>
      <c r="BN589">
        <v>0</v>
      </c>
    </row>
    <row r="590" spans="1:111" x14ac:dyDescent="0.2">
      <c r="A590" t="s">
        <v>111</v>
      </c>
      <c r="B590" t="b">
        <v>1</v>
      </c>
      <c r="E590">
        <v>588</v>
      </c>
      <c r="F590" t="str">
        <f>HYPERLINK("https://portal.dnb.de/opac.htm?method=simpleSearch&amp;cqlMode=true&amp;query=idn%3D1072162407", "Portal")</f>
        <v>Portal</v>
      </c>
      <c r="G590" t="s">
        <v>115</v>
      </c>
      <c r="H590" t="s">
        <v>2678</v>
      </c>
      <c r="I590" t="s">
        <v>2679</v>
      </c>
      <c r="J590" t="s">
        <v>2680</v>
      </c>
      <c r="K590" t="s">
        <v>2680</v>
      </c>
      <c r="L590" t="s">
        <v>2680</v>
      </c>
      <c r="N590" t="s">
        <v>2681</v>
      </c>
      <c r="O590" t="s">
        <v>121</v>
      </c>
      <c r="P590" t="s">
        <v>138</v>
      </c>
      <c r="R590" t="s">
        <v>207</v>
      </c>
      <c r="S590" t="s">
        <v>140</v>
      </c>
      <c r="T590" t="s">
        <v>163</v>
      </c>
      <c r="U590" t="s">
        <v>142</v>
      </c>
      <c r="V590" t="s">
        <v>143</v>
      </c>
      <c r="W590" t="s">
        <v>67</v>
      </c>
      <c r="X590" t="s">
        <v>144</v>
      </c>
      <c r="Y590">
        <v>2</v>
      </c>
      <c r="BN590">
        <v>0</v>
      </c>
    </row>
    <row r="591" spans="1:111" x14ac:dyDescent="0.2">
      <c r="A591" t="s">
        <v>111</v>
      </c>
      <c r="B591" t="b">
        <v>1</v>
      </c>
      <c r="E591">
        <v>589</v>
      </c>
      <c r="F591" t="str">
        <f>HYPERLINK("https://portal.dnb.de/opac.htm?method=simpleSearch&amp;cqlMode=true&amp;query=idn%3D1072162032", "Portal")</f>
        <v>Portal</v>
      </c>
      <c r="G591" t="s">
        <v>115</v>
      </c>
      <c r="H591" t="s">
        <v>2682</v>
      </c>
      <c r="I591" t="s">
        <v>2683</v>
      </c>
      <c r="J591" t="s">
        <v>2684</v>
      </c>
      <c r="K591" t="s">
        <v>2684</v>
      </c>
      <c r="L591" t="s">
        <v>2684</v>
      </c>
      <c r="N591" t="s">
        <v>2685</v>
      </c>
      <c r="O591" t="s">
        <v>121</v>
      </c>
      <c r="P591" t="s">
        <v>138</v>
      </c>
      <c r="R591" t="s">
        <v>161</v>
      </c>
      <c r="S591" t="s">
        <v>140</v>
      </c>
      <c r="T591" t="s">
        <v>163</v>
      </c>
      <c r="U591" t="s">
        <v>381</v>
      </c>
      <c r="V591" t="s">
        <v>143</v>
      </c>
      <c r="W591" t="s">
        <v>67</v>
      </c>
      <c r="X591" t="s">
        <v>144</v>
      </c>
      <c r="Y591">
        <v>0</v>
      </c>
      <c r="BN591">
        <v>0</v>
      </c>
    </row>
    <row r="592" spans="1:111" x14ac:dyDescent="0.2">
      <c r="A592" t="s">
        <v>111</v>
      </c>
      <c r="B592" t="b">
        <v>1</v>
      </c>
      <c r="E592">
        <v>590</v>
      </c>
      <c r="F592" t="str">
        <f>HYPERLINK("https://portal.dnb.de/opac.htm?method=simpleSearch&amp;cqlMode=true&amp;query=idn%3D1066967393", "Portal")</f>
        <v>Portal</v>
      </c>
      <c r="G592" t="s">
        <v>115</v>
      </c>
      <c r="H592" t="s">
        <v>2686</v>
      </c>
      <c r="I592" t="s">
        <v>2687</v>
      </c>
      <c r="J592" t="s">
        <v>2688</v>
      </c>
      <c r="K592" t="s">
        <v>2688</v>
      </c>
      <c r="L592" t="s">
        <v>2688</v>
      </c>
      <c r="N592" t="s">
        <v>2689</v>
      </c>
      <c r="O592" t="s">
        <v>121</v>
      </c>
      <c r="P592" t="s">
        <v>138</v>
      </c>
      <c r="R592" t="s">
        <v>161</v>
      </c>
      <c r="S592" t="s">
        <v>140</v>
      </c>
      <c r="T592" t="s">
        <v>163</v>
      </c>
      <c r="U592" t="s">
        <v>243</v>
      </c>
      <c r="V592" t="s">
        <v>143</v>
      </c>
      <c r="W592" t="s">
        <v>67</v>
      </c>
      <c r="X592" t="s">
        <v>144</v>
      </c>
      <c r="Y592">
        <v>0</v>
      </c>
      <c r="BN592">
        <v>0</v>
      </c>
    </row>
    <row r="593" spans="1:110" x14ac:dyDescent="0.2">
      <c r="A593" t="s">
        <v>111</v>
      </c>
      <c r="B593" t="b">
        <v>1</v>
      </c>
      <c r="C593" t="s">
        <v>146</v>
      </c>
      <c r="E593">
        <v>591</v>
      </c>
      <c r="F593" t="str">
        <f>HYPERLINK("https://portal.dnb.de/opac.htm?method=simpleSearch&amp;cqlMode=true&amp;query=idn%3D1066966125", "Portal")</f>
        <v>Portal</v>
      </c>
      <c r="G593" t="s">
        <v>133</v>
      </c>
      <c r="H593" t="s">
        <v>2690</v>
      </c>
      <c r="I593" t="s">
        <v>2691</v>
      </c>
      <c r="J593" t="s">
        <v>2692</v>
      </c>
      <c r="K593" t="s">
        <v>2692</v>
      </c>
      <c r="L593" t="s">
        <v>2692</v>
      </c>
      <c r="N593" t="s">
        <v>2693</v>
      </c>
      <c r="O593" t="s">
        <v>121</v>
      </c>
      <c r="Q593" t="s">
        <v>1894</v>
      </c>
      <c r="S593" t="s">
        <v>181</v>
      </c>
      <c r="AI593" t="s">
        <v>182</v>
      </c>
      <c r="AM593" t="s">
        <v>266</v>
      </c>
      <c r="AS593" t="s">
        <v>148</v>
      </c>
      <c r="BC593" t="s">
        <v>149</v>
      </c>
      <c r="BD593" t="s">
        <v>146</v>
      </c>
      <c r="BG593">
        <v>60</v>
      </c>
      <c r="BM593" t="s">
        <v>213</v>
      </c>
      <c r="BN593">
        <v>1</v>
      </c>
      <c r="BR593" t="s">
        <v>146</v>
      </c>
      <c r="BZ593" t="s">
        <v>146</v>
      </c>
      <c r="CB593" t="s">
        <v>146</v>
      </c>
      <c r="CM593">
        <v>1</v>
      </c>
      <c r="CN593" t="s">
        <v>2637</v>
      </c>
    </row>
    <row r="594" spans="1:110" x14ac:dyDescent="0.2">
      <c r="A594" t="s">
        <v>111</v>
      </c>
      <c r="B594" t="b">
        <v>1</v>
      </c>
      <c r="E594">
        <v>592</v>
      </c>
      <c r="F594" t="str">
        <f>HYPERLINK("https://portal.dnb.de/opac.htm?method=simpleSearch&amp;cqlMode=true&amp;query=idn%3D1066966133", "Portal")</f>
        <v>Portal</v>
      </c>
      <c r="G594" t="s">
        <v>133</v>
      </c>
      <c r="H594" t="s">
        <v>2694</v>
      </c>
      <c r="I594" t="s">
        <v>2695</v>
      </c>
      <c r="J594" t="s">
        <v>2696</v>
      </c>
      <c r="K594" t="s">
        <v>2696</v>
      </c>
      <c r="L594" t="s">
        <v>2696</v>
      </c>
      <c r="N594" t="s">
        <v>2697</v>
      </c>
      <c r="O594" t="s">
        <v>121</v>
      </c>
      <c r="BN594">
        <v>0</v>
      </c>
    </row>
    <row r="595" spans="1:110" x14ac:dyDescent="0.2">
      <c r="A595" t="s">
        <v>111</v>
      </c>
      <c r="B595" t="b">
        <v>1</v>
      </c>
      <c r="E595">
        <v>593</v>
      </c>
      <c r="F595" t="str">
        <f>HYPERLINK("https://portal.dnb.de/opac.htm?method=simpleSearch&amp;cqlMode=true&amp;query=idn%3D1066971307", "Portal")</f>
        <v>Portal</v>
      </c>
      <c r="G595" t="s">
        <v>133</v>
      </c>
      <c r="H595" t="s">
        <v>2698</v>
      </c>
      <c r="I595" t="s">
        <v>2699</v>
      </c>
      <c r="J595" t="s">
        <v>2700</v>
      </c>
      <c r="K595" t="s">
        <v>2700</v>
      </c>
      <c r="L595" t="s">
        <v>2701</v>
      </c>
      <c r="N595" t="s">
        <v>2702</v>
      </c>
      <c r="O595" t="s">
        <v>121</v>
      </c>
      <c r="P595" t="s">
        <v>138</v>
      </c>
      <c r="R595" t="s">
        <v>139</v>
      </c>
      <c r="S595" t="s">
        <v>140</v>
      </c>
      <c r="T595" t="s">
        <v>163</v>
      </c>
      <c r="U595" t="s">
        <v>386</v>
      </c>
      <c r="W595" t="s">
        <v>2703</v>
      </c>
      <c r="X595" t="s">
        <v>144</v>
      </c>
      <c r="Y595">
        <v>0</v>
      </c>
      <c r="BN595">
        <v>0</v>
      </c>
    </row>
    <row r="596" spans="1:110" x14ac:dyDescent="0.2">
      <c r="A596" t="s">
        <v>111</v>
      </c>
      <c r="B596" t="b">
        <v>1</v>
      </c>
      <c r="E596">
        <v>594</v>
      </c>
      <c r="F596" t="str">
        <f>HYPERLINK("https://portal.dnb.de/opac.htm?method=simpleSearch&amp;cqlMode=true&amp;query=idn%3D1173179313", "Portal")</f>
        <v>Portal</v>
      </c>
      <c r="G596" t="s">
        <v>539</v>
      </c>
      <c r="H596" t="s">
        <v>2704</v>
      </c>
      <c r="I596" t="s">
        <v>2705</v>
      </c>
      <c r="J596" t="s">
        <v>2706</v>
      </c>
      <c r="K596" t="s">
        <v>2706</v>
      </c>
      <c r="L596" t="s">
        <v>2706</v>
      </c>
      <c r="N596" t="s">
        <v>2707</v>
      </c>
      <c r="O596" t="s">
        <v>2708</v>
      </c>
      <c r="P596" t="s">
        <v>138</v>
      </c>
      <c r="R596" t="s">
        <v>161</v>
      </c>
      <c r="S596" t="s">
        <v>140</v>
      </c>
      <c r="T596" t="s">
        <v>163</v>
      </c>
      <c r="U596" t="s">
        <v>886</v>
      </c>
      <c r="W596" t="s">
        <v>67</v>
      </c>
      <c r="X596" t="s">
        <v>144</v>
      </c>
      <c r="Y596">
        <v>0</v>
      </c>
      <c r="AA596" t="s">
        <v>617</v>
      </c>
      <c r="BN596">
        <v>0</v>
      </c>
    </row>
    <row r="597" spans="1:110" x14ac:dyDescent="0.2">
      <c r="A597" t="s">
        <v>111</v>
      </c>
      <c r="B597" t="b">
        <v>1</v>
      </c>
      <c r="E597">
        <v>595</v>
      </c>
      <c r="F597" t="str">
        <f>HYPERLINK("https://portal.dnb.de/opac.htm?method=simpleSearch&amp;cqlMode=true&amp;query=idn%3D1066969515", "Portal")</f>
        <v>Portal</v>
      </c>
      <c r="G597" t="s">
        <v>133</v>
      </c>
      <c r="H597" t="s">
        <v>2709</v>
      </c>
      <c r="I597" t="s">
        <v>2710</v>
      </c>
      <c r="J597" t="s">
        <v>2711</v>
      </c>
      <c r="K597" t="s">
        <v>2711</v>
      </c>
      <c r="L597" t="s">
        <v>2711</v>
      </c>
      <c r="N597" t="s">
        <v>2712</v>
      </c>
      <c r="O597" t="s">
        <v>121</v>
      </c>
      <c r="BN597">
        <v>0</v>
      </c>
    </row>
    <row r="598" spans="1:110" x14ac:dyDescent="0.2">
      <c r="A598" t="s">
        <v>111</v>
      </c>
      <c r="B598" t="b">
        <v>1</v>
      </c>
      <c r="E598">
        <v>596</v>
      </c>
      <c r="F598" t="str">
        <f>HYPERLINK("https://portal.dnb.de/opac.htm?method=simpleSearch&amp;cqlMode=true&amp;query=idn%3D1066966117", "Portal")</f>
        <v>Portal</v>
      </c>
      <c r="G598" t="s">
        <v>133</v>
      </c>
      <c r="H598" t="s">
        <v>2713</v>
      </c>
      <c r="I598" t="s">
        <v>2714</v>
      </c>
      <c r="J598" t="s">
        <v>2715</v>
      </c>
      <c r="K598" t="s">
        <v>2716</v>
      </c>
      <c r="L598" t="s">
        <v>2717</v>
      </c>
      <c r="N598" t="s">
        <v>2718</v>
      </c>
      <c r="O598" t="s">
        <v>121</v>
      </c>
      <c r="BN598">
        <v>0</v>
      </c>
    </row>
    <row r="599" spans="1:110" x14ac:dyDescent="0.2">
      <c r="A599" t="s">
        <v>111</v>
      </c>
      <c r="B599" t="b">
        <v>1</v>
      </c>
      <c r="E599">
        <v>597</v>
      </c>
      <c r="F599" t="str">
        <f>HYPERLINK("https://portal.dnb.de/opac.htm?method=simpleSearch&amp;cqlMode=true&amp;query=idn%3D1079560564", "Portal")</f>
        <v>Portal</v>
      </c>
      <c r="G599" t="s">
        <v>115</v>
      </c>
      <c r="H599" t="s">
        <v>2719</v>
      </c>
      <c r="I599" t="s">
        <v>2720</v>
      </c>
      <c r="J599" t="s">
        <v>2721</v>
      </c>
      <c r="K599" t="s">
        <v>2721</v>
      </c>
      <c r="L599" t="s">
        <v>2722</v>
      </c>
      <c r="N599" t="s">
        <v>2723</v>
      </c>
      <c r="O599" t="s">
        <v>121</v>
      </c>
      <c r="BN599">
        <v>0</v>
      </c>
    </row>
    <row r="600" spans="1:110" x14ac:dyDescent="0.2">
      <c r="A600" t="s">
        <v>111</v>
      </c>
      <c r="B600" t="b">
        <v>1</v>
      </c>
      <c r="E600">
        <v>598</v>
      </c>
      <c r="F600" t="str">
        <f>HYPERLINK("https://portal.dnb.de/opac.htm?method=simpleSearch&amp;cqlMode=true&amp;query=idn%3D1072170264", "Portal")</f>
        <v>Portal</v>
      </c>
      <c r="G600" t="s">
        <v>115</v>
      </c>
      <c r="H600" t="s">
        <v>2724</v>
      </c>
      <c r="I600" t="s">
        <v>2725</v>
      </c>
      <c r="J600" t="s">
        <v>2726</v>
      </c>
      <c r="K600" t="s">
        <v>2726</v>
      </c>
      <c r="L600" t="s">
        <v>2726</v>
      </c>
      <c r="N600" t="s">
        <v>2727</v>
      </c>
      <c r="O600" t="s">
        <v>121</v>
      </c>
      <c r="BN600">
        <v>0</v>
      </c>
    </row>
    <row r="601" spans="1:110" x14ac:dyDescent="0.2">
      <c r="A601" t="s">
        <v>111</v>
      </c>
      <c r="B601" t="b">
        <v>1</v>
      </c>
      <c r="E601">
        <v>599</v>
      </c>
      <c r="F601" t="str">
        <f>HYPERLINK("https://portal.dnb.de/opac.htm?method=simpleSearch&amp;cqlMode=true&amp;query=idn%3D1066970912", "Portal")</f>
        <v>Portal</v>
      </c>
      <c r="G601" t="s">
        <v>133</v>
      </c>
      <c r="H601" t="s">
        <v>2728</v>
      </c>
      <c r="I601" t="s">
        <v>2729</v>
      </c>
      <c r="J601" t="s">
        <v>2730</v>
      </c>
      <c r="K601" t="s">
        <v>2730</v>
      </c>
      <c r="L601" t="s">
        <v>2730</v>
      </c>
      <c r="N601" t="s">
        <v>658</v>
      </c>
      <c r="O601" t="s">
        <v>121</v>
      </c>
      <c r="P601" t="s">
        <v>138</v>
      </c>
      <c r="R601" t="s">
        <v>180</v>
      </c>
      <c r="T601" t="s">
        <v>163</v>
      </c>
      <c r="U601" t="s">
        <v>386</v>
      </c>
      <c r="W601" t="s">
        <v>67</v>
      </c>
      <c r="X601" t="s">
        <v>144</v>
      </c>
      <c r="Y601">
        <v>0</v>
      </c>
      <c r="BN601">
        <v>0</v>
      </c>
    </row>
    <row r="602" spans="1:110" x14ac:dyDescent="0.2">
      <c r="A602" t="s">
        <v>111</v>
      </c>
      <c r="B602" t="b">
        <v>1</v>
      </c>
      <c r="C602" t="s">
        <v>146</v>
      </c>
      <c r="E602">
        <v>600</v>
      </c>
      <c r="F602" t="str">
        <f>HYPERLINK("https://portal.dnb.de/opac.htm?method=simpleSearch&amp;cqlMode=true&amp;query=idn%3D1066964793", "Portal")</f>
        <v>Portal</v>
      </c>
      <c r="G602" t="s">
        <v>133</v>
      </c>
      <c r="H602" t="s">
        <v>2731</v>
      </c>
      <c r="I602" t="s">
        <v>2732</v>
      </c>
      <c r="J602" t="s">
        <v>2733</v>
      </c>
      <c r="K602" t="s">
        <v>2733</v>
      </c>
      <c r="L602" t="s">
        <v>2733</v>
      </c>
      <c r="N602" t="s">
        <v>132</v>
      </c>
      <c r="O602" t="s">
        <v>121</v>
      </c>
      <c r="P602" t="s">
        <v>138</v>
      </c>
      <c r="Q602" t="s">
        <v>2734</v>
      </c>
      <c r="R602" t="s">
        <v>180</v>
      </c>
      <c r="S602" t="s">
        <v>140</v>
      </c>
      <c r="T602" t="s">
        <v>163</v>
      </c>
      <c r="U602" t="s">
        <v>243</v>
      </c>
      <c r="V602" t="s">
        <v>143</v>
      </c>
      <c r="W602" t="s">
        <v>67</v>
      </c>
      <c r="X602" t="s">
        <v>144</v>
      </c>
      <c r="Y602">
        <v>1</v>
      </c>
      <c r="AA602" t="s">
        <v>2735</v>
      </c>
      <c r="AI602" t="s">
        <v>145</v>
      </c>
      <c r="AK602" t="s">
        <v>146</v>
      </c>
      <c r="AM602" t="s">
        <v>147</v>
      </c>
      <c r="AS602" t="s">
        <v>148</v>
      </c>
      <c r="BC602" t="s">
        <v>149</v>
      </c>
      <c r="BD602" t="s">
        <v>146</v>
      </c>
      <c r="BG602">
        <v>60</v>
      </c>
      <c r="BI602" t="s">
        <v>146</v>
      </c>
      <c r="BJ602" t="s">
        <v>2736</v>
      </c>
      <c r="BM602" t="s">
        <v>201</v>
      </c>
      <c r="BN602">
        <v>0.5</v>
      </c>
      <c r="BP602" t="s">
        <v>152</v>
      </c>
      <c r="BZ602" t="s">
        <v>146</v>
      </c>
      <c r="CA602" t="s">
        <v>146</v>
      </c>
      <c r="CD602" t="s">
        <v>237</v>
      </c>
      <c r="CF602" t="s">
        <v>146</v>
      </c>
      <c r="CM602">
        <v>0.5</v>
      </c>
      <c r="CN602" t="s">
        <v>238</v>
      </c>
    </row>
    <row r="603" spans="1:110" x14ac:dyDescent="0.2">
      <c r="A603" t="s">
        <v>111</v>
      </c>
      <c r="B603" t="b">
        <v>1</v>
      </c>
      <c r="E603">
        <v>601</v>
      </c>
      <c r="F603" t="str">
        <f>HYPERLINK("https://portal.dnb.de/opac.htm?method=simpleSearch&amp;cqlMode=true&amp;query=idn%3D1066967431", "Portal")</f>
        <v>Portal</v>
      </c>
      <c r="G603" t="s">
        <v>133</v>
      </c>
      <c r="H603" t="s">
        <v>2737</v>
      </c>
      <c r="I603" t="s">
        <v>2738</v>
      </c>
      <c r="J603" t="s">
        <v>2739</v>
      </c>
      <c r="K603" t="s">
        <v>2739</v>
      </c>
      <c r="L603" t="s">
        <v>2739</v>
      </c>
      <c r="N603" t="s">
        <v>2740</v>
      </c>
      <c r="O603" t="s">
        <v>121</v>
      </c>
      <c r="P603" t="s">
        <v>138</v>
      </c>
      <c r="R603" t="s">
        <v>207</v>
      </c>
      <c r="S603" t="s">
        <v>140</v>
      </c>
      <c r="T603" t="s">
        <v>163</v>
      </c>
      <c r="U603" t="s">
        <v>243</v>
      </c>
      <c r="V603" t="s">
        <v>143</v>
      </c>
      <c r="W603" t="s">
        <v>67</v>
      </c>
      <c r="X603" t="s">
        <v>144</v>
      </c>
      <c r="Y603">
        <v>2</v>
      </c>
      <c r="AA603" t="s">
        <v>2741</v>
      </c>
      <c r="BN603">
        <v>0</v>
      </c>
    </row>
    <row r="604" spans="1:110" x14ac:dyDescent="0.2">
      <c r="A604" t="s">
        <v>111</v>
      </c>
      <c r="B604" t="b">
        <v>1</v>
      </c>
      <c r="E604">
        <v>602</v>
      </c>
      <c r="F604" t="str">
        <f>HYPERLINK("https://portal.dnb.de/opac.htm?method=simpleSearch&amp;cqlMode=true&amp;query=idn%3D106696548X", "Portal")</f>
        <v>Portal</v>
      </c>
      <c r="G604" t="s">
        <v>133</v>
      </c>
      <c r="H604" t="s">
        <v>2742</v>
      </c>
      <c r="I604" t="s">
        <v>2743</v>
      </c>
      <c r="J604" t="s">
        <v>2744</v>
      </c>
      <c r="K604" t="s">
        <v>2744</v>
      </c>
      <c r="L604" t="s">
        <v>2744</v>
      </c>
      <c r="N604" t="s">
        <v>2745</v>
      </c>
      <c r="O604" t="s">
        <v>121</v>
      </c>
      <c r="S604" t="s">
        <v>140</v>
      </c>
      <c r="AI604" t="s">
        <v>145</v>
      </c>
      <c r="AM604" t="s">
        <v>147</v>
      </c>
      <c r="AS604" t="s">
        <v>148</v>
      </c>
      <c r="BG604">
        <v>110</v>
      </c>
      <c r="BM604" t="s">
        <v>151</v>
      </c>
      <c r="BN604">
        <v>0</v>
      </c>
      <c r="BP604" t="s">
        <v>152</v>
      </c>
    </row>
    <row r="605" spans="1:110" x14ac:dyDescent="0.2">
      <c r="A605" t="s">
        <v>111</v>
      </c>
      <c r="B605" t="b">
        <v>1</v>
      </c>
      <c r="F605" t="str">
        <f>HYPERLINK("https://portal.dnb.de/opac.htm?method=simpleSearch&amp;cqlMode=true&amp;query=idn%3D1138321850", "Portal")</f>
        <v>Portal</v>
      </c>
      <c r="G605" t="s">
        <v>300</v>
      </c>
      <c r="H605" t="s">
        <v>2746</v>
      </c>
      <c r="I605" t="s">
        <v>2747</v>
      </c>
      <c r="J605" t="s">
        <v>2748</v>
      </c>
      <c r="K605" t="s">
        <v>2748</v>
      </c>
      <c r="L605" t="s">
        <v>2748</v>
      </c>
      <c r="N605" t="s">
        <v>741</v>
      </c>
      <c r="O605" t="s">
        <v>121</v>
      </c>
      <c r="S605" t="s">
        <v>189</v>
      </c>
      <c r="AI605" t="s">
        <v>174</v>
      </c>
      <c r="AM605" t="s">
        <v>228</v>
      </c>
      <c r="AS605" t="s">
        <v>148</v>
      </c>
      <c r="BC605" t="s">
        <v>586</v>
      </c>
      <c r="BD605" t="s">
        <v>146</v>
      </c>
      <c r="BG605">
        <v>110</v>
      </c>
      <c r="BM605" t="s">
        <v>151</v>
      </c>
      <c r="BN605">
        <v>0</v>
      </c>
      <c r="BP605" t="s">
        <v>152</v>
      </c>
      <c r="BV605" t="s">
        <v>2749</v>
      </c>
      <c r="BW605" t="s">
        <v>2750</v>
      </c>
      <c r="BX605" t="s">
        <v>2751</v>
      </c>
    </row>
    <row r="606" spans="1:110" x14ac:dyDescent="0.2">
      <c r="A606" t="s">
        <v>111</v>
      </c>
      <c r="B606" t="b">
        <v>1</v>
      </c>
      <c r="E606">
        <v>603</v>
      </c>
      <c r="F606" t="str">
        <f>HYPERLINK("https://portal.dnb.de/opac.htm?method=simpleSearch&amp;cqlMode=true&amp;query=idn%3D1066970831", "Portal")</f>
        <v>Portal</v>
      </c>
      <c r="G606" t="s">
        <v>133</v>
      </c>
      <c r="H606" t="s">
        <v>2752</v>
      </c>
      <c r="I606" t="s">
        <v>2753</v>
      </c>
      <c r="J606" t="s">
        <v>2754</v>
      </c>
      <c r="K606" t="s">
        <v>2754</v>
      </c>
      <c r="L606" t="s">
        <v>2754</v>
      </c>
      <c r="N606" t="s">
        <v>1242</v>
      </c>
      <c r="O606" t="s">
        <v>121</v>
      </c>
      <c r="S606" t="s">
        <v>189</v>
      </c>
      <c r="AI606" t="s">
        <v>518</v>
      </c>
      <c r="AK606" t="s">
        <v>146</v>
      </c>
      <c r="AL606" t="s">
        <v>146</v>
      </c>
      <c r="AM606" t="s">
        <v>147</v>
      </c>
      <c r="AS606" t="s">
        <v>148</v>
      </c>
      <c r="AT606" t="s">
        <v>146</v>
      </c>
      <c r="BG606">
        <v>110</v>
      </c>
      <c r="BM606" t="s">
        <v>151</v>
      </c>
      <c r="BN606">
        <v>0</v>
      </c>
      <c r="BP606" t="s">
        <v>152</v>
      </c>
      <c r="BW606" t="s">
        <v>2750</v>
      </c>
      <c r="BX606" t="s">
        <v>2755</v>
      </c>
    </row>
    <row r="607" spans="1:110" x14ac:dyDescent="0.2">
      <c r="A607" t="s">
        <v>111</v>
      </c>
      <c r="B607" t="b">
        <v>1</v>
      </c>
      <c r="C607" t="s">
        <v>146</v>
      </c>
      <c r="E607">
        <v>604</v>
      </c>
      <c r="F607" t="str">
        <f>HYPERLINK("https://portal.dnb.de/opac.htm?method=simpleSearch&amp;cqlMode=true&amp;query=idn%3D1066968098", "Portal")</f>
        <v>Portal</v>
      </c>
      <c r="G607" t="s">
        <v>133</v>
      </c>
      <c r="H607" t="s">
        <v>2756</v>
      </c>
      <c r="I607" t="s">
        <v>2757</v>
      </c>
      <c r="J607" t="s">
        <v>2758</v>
      </c>
      <c r="K607" t="s">
        <v>2758</v>
      </c>
      <c r="L607" t="s">
        <v>2758</v>
      </c>
      <c r="N607" t="s">
        <v>2759</v>
      </c>
      <c r="O607" t="s">
        <v>121</v>
      </c>
      <c r="Q607" t="s">
        <v>1437</v>
      </c>
      <c r="S607" t="s">
        <v>189</v>
      </c>
      <c r="AI607" t="s">
        <v>190</v>
      </c>
      <c r="AM607" t="s">
        <v>266</v>
      </c>
      <c r="AS607" t="s">
        <v>148</v>
      </c>
      <c r="BG607">
        <v>60</v>
      </c>
      <c r="BM607" t="s">
        <v>213</v>
      </c>
      <c r="BN607">
        <v>3.5</v>
      </c>
      <c r="BP607" t="s">
        <v>152</v>
      </c>
      <c r="CB607" t="s">
        <v>146</v>
      </c>
      <c r="CD607" t="s">
        <v>237</v>
      </c>
      <c r="CI607" t="s">
        <v>2760</v>
      </c>
      <c r="CM607">
        <v>3</v>
      </c>
      <c r="CN607" t="s">
        <v>2761</v>
      </c>
      <c r="CS607" t="s">
        <v>146</v>
      </c>
      <c r="DF607">
        <v>0.5</v>
      </c>
    </row>
    <row r="608" spans="1:110" x14ac:dyDescent="0.2">
      <c r="A608" t="s">
        <v>111</v>
      </c>
      <c r="B608" t="b">
        <v>1</v>
      </c>
      <c r="E608">
        <v>605</v>
      </c>
      <c r="F608" t="str">
        <f>HYPERLINK("https://portal.dnb.de/opac.htm?method=simpleSearch&amp;cqlMode=true&amp;query=idn%3D1066970807", "Portal")</f>
        <v>Portal</v>
      </c>
      <c r="G608" t="s">
        <v>133</v>
      </c>
      <c r="H608" t="s">
        <v>2762</v>
      </c>
      <c r="I608" t="s">
        <v>2763</v>
      </c>
      <c r="J608" t="s">
        <v>2764</v>
      </c>
      <c r="K608" t="s">
        <v>2764</v>
      </c>
      <c r="L608" t="s">
        <v>2765</v>
      </c>
      <c r="N608" t="s">
        <v>2766</v>
      </c>
      <c r="O608" t="s">
        <v>121</v>
      </c>
      <c r="S608" t="s">
        <v>140</v>
      </c>
      <c r="AI608" t="s">
        <v>190</v>
      </c>
      <c r="AK608" t="s">
        <v>146</v>
      </c>
      <c r="AM608" t="s">
        <v>147</v>
      </c>
      <c r="AS608" t="s">
        <v>148</v>
      </c>
      <c r="BG608">
        <v>110</v>
      </c>
      <c r="BM608" t="s">
        <v>151</v>
      </c>
      <c r="BN608">
        <v>0</v>
      </c>
      <c r="BP608" t="s">
        <v>152</v>
      </c>
    </row>
    <row r="609" spans="1:111" x14ac:dyDescent="0.2">
      <c r="A609" t="s">
        <v>111</v>
      </c>
      <c r="B609" t="b">
        <v>1</v>
      </c>
      <c r="E609">
        <v>606</v>
      </c>
      <c r="F609" t="str">
        <f>HYPERLINK("https://portal.dnb.de/opac.htm?method=simpleSearch&amp;cqlMode=true&amp;query=idn%3D1066968179", "Portal")</f>
        <v>Portal</v>
      </c>
      <c r="G609" t="s">
        <v>133</v>
      </c>
      <c r="H609" t="s">
        <v>2767</v>
      </c>
      <c r="I609" t="s">
        <v>2768</v>
      </c>
      <c r="J609" t="s">
        <v>2769</v>
      </c>
      <c r="K609" t="s">
        <v>2769</v>
      </c>
      <c r="L609" t="s">
        <v>2769</v>
      </c>
      <c r="N609" t="s">
        <v>2770</v>
      </c>
      <c r="O609" t="s">
        <v>121</v>
      </c>
      <c r="S609" t="s">
        <v>189</v>
      </c>
      <c r="AI609" t="s">
        <v>165</v>
      </c>
      <c r="AK609" t="s">
        <v>146</v>
      </c>
      <c r="AM609" t="s">
        <v>147</v>
      </c>
      <c r="AS609" t="s">
        <v>148</v>
      </c>
      <c r="AT609" t="s">
        <v>146</v>
      </c>
      <c r="BG609">
        <v>110</v>
      </c>
      <c r="BM609" t="s">
        <v>151</v>
      </c>
      <c r="BN609">
        <v>0</v>
      </c>
      <c r="BP609" t="s">
        <v>152</v>
      </c>
    </row>
    <row r="610" spans="1:111" x14ac:dyDescent="0.2">
      <c r="A610" t="s">
        <v>111</v>
      </c>
      <c r="B610" t="b">
        <v>1</v>
      </c>
      <c r="E610">
        <v>607</v>
      </c>
      <c r="F610" t="str">
        <f>HYPERLINK("https://portal.dnb.de/opac.htm?method=simpleSearch&amp;cqlMode=true&amp;query=idn%3D1066969655", "Portal")</f>
        <v>Portal</v>
      </c>
      <c r="G610" t="s">
        <v>133</v>
      </c>
      <c r="H610" t="s">
        <v>2771</v>
      </c>
      <c r="I610" t="s">
        <v>2772</v>
      </c>
      <c r="J610" t="s">
        <v>2773</v>
      </c>
      <c r="K610" t="s">
        <v>2773</v>
      </c>
      <c r="L610" t="s">
        <v>2773</v>
      </c>
      <c r="N610" t="s">
        <v>2774</v>
      </c>
      <c r="O610" t="s">
        <v>121</v>
      </c>
      <c r="S610" t="s">
        <v>189</v>
      </c>
      <c r="AI610" t="s">
        <v>165</v>
      </c>
      <c r="AK610" t="s">
        <v>146</v>
      </c>
      <c r="AM610" t="s">
        <v>732</v>
      </c>
      <c r="AS610" t="s">
        <v>148</v>
      </c>
      <c r="AT610" t="s">
        <v>146</v>
      </c>
      <c r="BG610">
        <v>110</v>
      </c>
      <c r="BM610" t="s">
        <v>151</v>
      </c>
      <c r="BN610">
        <v>0</v>
      </c>
      <c r="BP610" t="s">
        <v>152</v>
      </c>
      <c r="BV610" t="s">
        <v>2749</v>
      </c>
      <c r="BW610" t="s">
        <v>2750</v>
      </c>
      <c r="BX610" t="s">
        <v>2775</v>
      </c>
    </row>
    <row r="611" spans="1:111" x14ac:dyDescent="0.2">
      <c r="A611" t="s">
        <v>111</v>
      </c>
      <c r="B611" t="b">
        <v>1</v>
      </c>
      <c r="C611" t="s">
        <v>146</v>
      </c>
      <c r="E611">
        <v>610</v>
      </c>
      <c r="F611" t="str">
        <f>HYPERLINK("https://portal.dnb.de/opac.htm?method=simpleSearch&amp;cqlMode=true&amp;query=idn%3D1066967768", "Portal")</f>
        <v>Portal</v>
      </c>
      <c r="G611" t="s">
        <v>133</v>
      </c>
      <c r="H611" t="s">
        <v>2776</v>
      </c>
      <c r="I611" t="s">
        <v>2777</v>
      </c>
      <c r="J611" t="s">
        <v>2778</v>
      </c>
      <c r="K611" t="s">
        <v>2778</v>
      </c>
      <c r="L611" t="s">
        <v>2778</v>
      </c>
      <c r="N611" t="s">
        <v>2779</v>
      </c>
      <c r="O611" t="s">
        <v>121</v>
      </c>
      <c r="Q611" t="s">
        <v>537</v>
      </c>
      <c r="S611" t="s">
        <v>140</v>
      </c>
      <c r="AI611" t="s">
        <v>165</v>
      </c>
      <c r="AK611" t="s">
        <v>146</v>
      </c>
      <c r="AM611" t="s">
        <v>147</v>
      </c>
      <c r="AS611" t="s">
        <v>148</v>
      </c>
      <c r="BG611">
        <v>110</v>
      </c>
      <c r="BM611" t="s">
        <v>213</v>
      </c>
      <c r="BN611">
        <v>1</v>
      </c>
      <c r="BP611" t="s">
        <v>152</v>
      </c>
      <c r="BW611" t="s">
        <v>2750</v>
      </c>
      <c r="BX611" t="s">
        <v>2780</v>
      </c>
      <c r="CA611" t="s">
        <v>146</v>
      </c>
      <c r="CD611" t="s">
        <v>202</v>
      </c>
      <c r="CF611" t="s">
        <v>146</v>
      </c>
      <c r="CM611">
        <v>1</v>
      </c>
      <c r="CN611" t="s">
        <v>2781</v>
      </c>
    </row>
    <row r="612" spans="1:111" x14ac:dyDescent="0.2">
      <c r="A612" t="s">
        <v>111</v>
      </c>
      <c r="B612" t="b">
        <v>1</v>
      </c>
      <c r="E612">
        <v>611</v>
      </c>
      <c r="F612" t="str">
        <f>HYPERLINK("https://portal.dnb.de/opac.htm?method=simpleSearch&amp;cqlMode=true&amp;query=idn%3D1066970475", "Portal")</f>
        <v>Portal</v>
      </c>
      <c r="G612" t="s">
        <v>133</v>
      </c>
      <c r="H612" t="s">
        <v>2782</v>
      </c>
      <c r="I612" t="s">
        <v>2783</v>
      </c>
      <c r="J612" t="s">
        <v>2784</v>
      </c>
      <c r="K612" t="s">
        <v>2784</v>
      </c>
      <c r="L612" t="s">
        <v>2784</v>
      </c>
      <c r="N612" t="s">
        <v>1473</v>
      </c>
      <c r="O612" t="s">
        <v>121</v>
      </c>
      <c r="S612" t="s">
        <v>140</v>
      </c>
      <c r="AI612" t="s">
        <v>165</v>
      </c>
      <c r="AK612" t="s">
        <v>146</v>
      </c>
      <c r="AM612" t="s">
        <v>147</v>
      </c>
      <c r="AS612" t="s">
        <v>148</v>
      </c>
      <c r="BG612">
        <v>110</v>
      </c>
      <c r="BM612" t="s">
        <v>151</v>
      </c>
      <c r="BN612">
        <v>0</v>
      </c>
      <c r="BP612" t="s">
        <v>152</v>
      </c>
    </row>
    <row r="613" spans="1:111" x14ac:dyDescent="0.2">
      <c r="A613" t="s">
        <v>111</v>
      </c>
      <c r="B613" t="b">
        <v>1</v>
      </c>
      <c r="E613">
        <v>612</v>
      </c>
      <c r="F613" t="str">
        <f>HYPERLINK("https://portal.dnb.de/opac.htm?method=simpleSearch&amp;cqlMode=true&amp;query=idn%3D1066966478", "Portal")</f>
        <v>Portal</v>
      </c>
      <c r="G613" t="s">
        <v>115</v>
      </c>
      <c r="H613" t="s">
        <v>2785</v>
      </c>
      <c r="I613" t="s">
        <v>2786</v>
      </c>
      <c r="J613" t="s">
        <v>2787</v>
      </c>
      <c r="K613" t="s">
        <v>2787</v>
      </c>
      <c r="L613" t="s">
        <v>2787</v>
      </c>
      <c r="M613" t="s">
        <v>2788</v>
      </c>
      <c r="N613" t="s">
        <v>132</v>
      </c>
      <c r="O613" t="s">
        <v>121</v>
      </c>
      <c r="BN613">
        <v>0</v>
      </c>
    </row>
    <row r="614" spans="1:111" x14ac:dyDescent="0.2">
      <c r="A614" t="s">
        <v>111</v>
      </c>
      <c r="B614" t="b">
        <v>1</v>
      </c>
      <c r="C614" t="s">
        <v>146</v>
      </c>
      <c r="E614">
        <v>613</v>
      </c>
      <c r="F614" t="str">
        <f>HYPERLINK("https://portal.dnb.de/opac.htm?method=simpleSearch&amp;cqlMode=true&amp;query=idn%3D1066968675", "Portal")</f>
        <v>Portal</v>
      </c>
      <c r="G614" t="s">
        <v>115</v>
      </c>
      <c r="H614" t="s">
        <v>2789</v>
      </c>
      <c r="I614" t="s">
        <v>2790</v>
      </c>
      <c r="J614" t="s">
        <v>2791</v>
      </c>
      <c r="K614" t="s">
        <v>2791</v>
      </c>
      <c r="L614" t="s">
        <v>2791</v>
      </c>
      <c r="N614" t="s">
        <v>641</v>
      </c>
      <c r="O614" t="s">
        <v>121</v>
      </c>
      <c r="Q614" t="s">
        <v>343</v>
      </c>
      <c r="S614" t="s">
        <v>140</v>
      </c>
      <c r="AI614" t="s">
        <v>182</v>
      </c>
      <c r="AK614" t="s">
        <v>146</v>
      </c>
      <c r="AM614" t="s">
        <v>147</v>
      </c>
      <c r="AS614" t="s">
        <v>148</v>
      </c>
      <c r="BC614" t="s">
        <v>166</v>
      </c>
      <c r="BD614" t="s">
        <v>146</v>
      </c>
      <c r="BG614">
        <v>45</v>
      </c>
      <c r="BM614" t="s">
        <v>213</v>
      </c>
      <c r="BN614">
        <v>2.5</v>
      </c>
      <c r="BR614" t="s">
        <v>146</v>
      </c>
      <c r="BZ614" t="s">
        <v>2792</v>
      </c>
      <c r="CA614" t="s">
        <v>146</v>
      </c>
      <c r="CB614" t="s">
        <v>146</v>
      </c>
      <c r="CM614">
        <v>1.5</v>
      </c>
      <c r="CN614" t="s">
        <v>2637</v>
      </c>
      <c r="CV614" t="s">
        <v>146</v>
      </c>
      <c r="CX614" t="s">
        <v>146</v>
      </c>
      <c r="DF614">
        <v>1</v>
      </c>
      <c r="DG614" t="s">
        <v>2793</v>
      </c>
    </row>
    <row r="615" spans="1:111" x14ac:dyDescent="0.2">
      <c r="A615" t="s">
        <v>111</v>
      </c>
      <c r="B615" t="b">
        <v>1</v>
      </c>
      <c r="C615" t="s">
        <v>146</v>
      </c>
      <c r="F615" t="str">
        <f>HYPERLINK("https://portal.dnb.de/opac.htm?method=simpleSearch&amp;cqlMode=true&amp;query=idn%3D1268947210", "Portal")</f>
        <v>Portal</v>
      </c>
      <c r="G615" t="s">
        <v>300</v>
      </c>
      <c r="H615" t="s">
        <v>2794</v>
      </c>
      <c r="I615" t="s">
        <v>2795</v>
      </c>
      <c r="J615" t="s">
        <v>2796</v>
      </c>
      <c r="K615" t="s">
        <v>2796</v>
      </c>
      <c r="L615" t="s">
        <v>2796</v>
      </c>
      <c r="N615" t="s">
        <v>2797</v>
      </c>
      <c r="O615" t="s">
        <v>121</v>
      </c>
      <c r="Q615" t="s">
        <v>659</v>
      </c>
      <c r="S615" t="s">
        <v>140</v>
      </c>
      <c r="AI615" t="s">
        <v>165</v>
      </c>
      <c r="AK615" t="s">
        <v>146</v>
      </c>
      <c r="AM615" t="s">
        <v>313</v>
      </c>
      <c r="AS615" t="s">
        <v>148</v>
      </c>
      <c r="BG615">
        <v>60</v>
      </c>
      <c r="BM615" t="s">
        <v>213</v>
      </c>
      <c r="BN615">
        <v>1</v>
      </c>
      <c r="BP615" t="s">
        <v>152</v>
      </c>
      <c r="CA615" t="s">
        <v>146</v>
      </c>
      <c r="CB615" t="s">
        <v>146</v>
      </c>
      <c r="CM615">
        <v>1</v>
      </c>
      <c r="CN615" t="s">
        <v>2798</v>
      </c>
    </row>
    <row r="616" spans="1:111" x14ac:dyDescent="0.2">
      <c r="A616" t="s">
        <v>111</v>
      </c>
      <c r="B616" t="b">
        <v>1</v>
      </c>
      <c r="E616">
        <v>616</v>
      </c>
      <c r="F616" t="str">
        <f>HYPERLINK("https://portal.dnb.de/opac.htm?method=simpleSearch&amp;cqlMode=true&amp;query=idn%3D1066968268", "Portal")</f>
        <v>Portal</v>
      </c>
      <c r="G616" t="s">
        <v>133</v>
      </c>
      <c r="H616" t="s">
        <v>2799</v>
      </c>
      <c r="I616" t="s">
        <v>2800</v>
      </c>
      <c r="J616" t="s">
        <v>2801</v>
      </c>
      <c r="K616" t="s">
        <v>2801</v>
      </c>
      <c r="L616" t="s">
        <v>2801</v>
      </c>
      <c r="N616" t="s">
        <v>2802</v>
      </c>
      <c r="O616" t="s">
        <v>121</v>
      </c>
      <c r="S616" t="s">
        <v>189</v>
      </c>
      <c r="AI616" t="s">
        <v>182</v>
      </c>
      <c r="AK616" t="s">
        <v>146</v>
      </c>
      <c r="AM616" t="s">
        <v>313</v>
      </c>
      <c r="AS616" t="s">
        <v>148</v>
      </c>
      <c r="BC616" t="s">
        <v>287</v>
      </c>
      <c r="BD616" t="s">
        <v>146</v>
      </c>
      <c r="BG616">
        <v>60</v>
      </c>
      <c r="BM616" t="s">
        <v>151</v>
      </c>
      <c r="BN616">
        <v>0</v>
      </c>
      <c r="BP616" t="s">
        <v>152</v>
      </c>
      <c r="BV616" t="s">
        <v>2749</v>
      </c>
    </row>
    <row r="617" spans="1:111" x14ac:dyDescent="0.2">
      <c r="A617" t="s">
        <v>111</v>
      </c>
      <c r="B617" t="b">
        <v>1</v>
      </c>
      <c r="E617">
        <v>617</v>
      </c>
      <c r="F617" t="str">
        <f>HYPERLINK("https://portal.dnb.de/opac.htm?method=simpleSearch&amp;cqlMode=true&amp;query=idn%3D1072183919", "Portal")</f>
        <v>Portal</v>
      </c>
      <c r="G617" t="s">
        <v>115</v>
      </c>
      <c r="H617" t="s">
        <v>2803</v>
      </c>
      <c r="I617" t="s">
        <v>2804</v>
      </c>
      <c r="J617" t="s">
        <v>2805</v>
      </c>
      <c r="K617" t="s">
        <v>2805</v>
      </c>
      <c r="L617" t="s">
        <v>2805</v>
      </c>
      <c r="M617" t="s">
        <v>2788</v>
      </c>
      <c r="N617" t="s">
        <v>2806</v>
      </c>
      <c r="O617" t="s">
        <v>121</v>
      </c>
      <c r="BN617">
        <v>0</v>
      </c>
    </row>
    <row r="618" spans="1:111" x14ac:dyDescent="0.2">
      <c r="A618" t="s">
        <v>111</v>
      </c>
      <c r="B618" t="b">
        <v>1</v>
      </c>
      <c r="C618" t="s">
        <v>146</v>
      </c>
      <c r="E618">
        <v>618</v>
      </c>
      <c r="F618" t="str">
        <f>HYPERLINK("https://portal.dnb.de/opac.htm?method=simpleSearch&amp;cqlMode=true&amp;query=idn%3D1066970947", "Portal")</f>
        <v>Portal</v>
      </c>
      <c r="G618" t="s">
        <v>133</v>
      </c>
      <c r="H618" t="s">
        <v>2807</v>
      </c>
      <c r="I618" t="s">
        <v>2808</v>
      </c>
      <c r="J618" t="s">
        <v>2809</v>
      </c>
      <c r="K618" t="s">
        <v>2809</v>
      </c>
      <c r="L618" t="s">
        <v>2809</v>
      </c>
      <c r="N618" t="s">
        <v>2810</v>
      </c>
      <c r="O618" t="s">
        <v>121</v>
      </c>
      <c r="Q618" t="s">
        <v>311</v>
      </c>
      <c r="S618" t="s">
        <v>189</v>
      </c>
      <c r="AI618" t="s">
        <v>182</v>
      </c>
      <c r="AK618" t="s">
        <v>146</v>
      </c>
      <c r="AM618" t="s">
        <v>313</v>
      </c>
      <c r="AO618" t="s">
        <v>146</v>
      </c>
      <c r="AS618" t="s">
        <v>148</v>
      </c>
      <c r="BC618" t="s">
        <v>166</v>
      </c>
      <c r="BD618" t="s">
        <v>146</v>
      </c>
      <c r="BG618">
        <v>60</v>
      </c>
      <c r="BM618" t="s">
        <v>213</v>
      </c>
      <c r="BN618">
        <v>2</v>
      </c>
      <c r="BP618" t="s">
        <v>152</v>
      </c>
      <c r="BY618" t="s">
        <v>314</v>
      </c>
      <c r="CA618" t="s">
        <v>146</v>
      </c>
      <c r="CB618" t="s">
        <v>146</v>
      </c>
      <c r="CM618">
        <v>2</v>
      </c>
    </row>
    <row r="619" spans="1:111" x14ac:dyDescent="0.2">
      <c r="A619" t="s">
        <v>111</v>
      </c>
      <c r="B619" t="b">
        <v>1</v>
      </c>
      <c r="E619">
        <v>619</v>
      </c>
      <c r="F619" t="str">
        <f>HYPERLINK("https://portal.dnb.de/opac.htm?method=simpleSearch&amp;cqlMode=true&amp;query=idn%3D1066972702", "Portal")</f>
        <v>Portal</v>
      </c>
      <c r="G619" t="s">
        <v>133</v>
      </c>
      <c r="H619" t="s">
        <v>2811</v>
      </c>
      <c r="I619" t="s">
        <v>2812</v>
      </c>
      <c r="J619" t="s">
        <v>2813</v>
      </c>
      <c r="K619" t="s">
        <v>2813</v>
      </c>
      <c r="L619" t="s">
        <v>2813</v>
      </c>
      <c r="M619" t="s">
        <v>2788</v>
      </c>
      <c r="N619" t="s">
        <v>2814</v>
      </c>
      <c r="O619" t="s">
        <v>121</v>
      </c>
      <c r="BN619">
        <v>0</v>
      </c>
    </row>
    <row r="620" spans="1:111" x14ac:dyDescent="0.2">
      <c r="A620" t="s">
        <v>111</v>
      </c>
      <c r="B620" t="b">
        <v>1</v>
      </c>
      <c r="F620" t="str">
        <f>HYPERLINK("https://portal.dnb.de/opac.htm?method=simpleSearch&amp;cqlMode=true&amp;query=idn%3D1268949337", "Portal")</f>
        <v>Portal</v>
      </c>
      <c r="G620" t="s">
        <v>300</v>
      </c>
      <c r="H620" t="s">
        <v>2815</v>
      </c>
      <c r="I620" t="s">
        <v>2816</v>
      </c>
      <c r="J620" t="s">
        <v>2817</v>
      </c>
      <c r="K620" t="s">
        <v>2817</v>
      </c>
      <c r="L620" t="s">
        <v>2817</v>
      </c>
      <c r="N620" t="s">
        <v>2818</v>
      </c>
      <c r="O620" t="s">
        <v>121</v>
      </c>
      <c r="S620" t="s">
        <v>140</v>
      </c>
      <c r="AI620" t="s">
        <v>182</v>
      </c>
      <c r="AK620" t="s">
        <v>146</v>
      </c>
      <c r="AM620" t="s">
        <v>313</v>
      </c>
      <c r="AS620" t="s">
        <v>148</v>
      </c>
      <c r="BC620" t="s">
        <v>166</v>
      </c>
      <c r="BD620" t="s">
        <v>146</v>
      </c>
      <c r="BG620">
        <v>60</v>
      </c>
      <c r="BM620" t="s">
        <v>151</v>
      </c>
      <c r="BN620">
        <v>0</v>
      </c>
      <c r="BP620" t="s">
        <v>152</v>
      </c>
    </row>
    <row r="621" spans="1:111" x14ac:dyDescent="0.2">
      <c r="A621" t="s">
        <v>111</v>
      </c>
      <c r="B621" t="b">
        <v>1</v>
      </c>
      <c r="E621">
        <v>622</v>
      </c>
      <c r="F621" t="str">
        <f>HYPERLINK("https://portal.dnb.de/opac.htm?method=simpleSearch&amp;cqlMode=true&amp;query=idn%3D1032687681", "Portal")</f>
        <v>Portal</v>
      </c>
      <c r="G621" t="s">
        <v>115</v>
      </c>
      <c r="H621" t="s">
        <v>2819</v>
      </c>
      <c r="I621" t="s">
        <v>2820</v>
      </c>
      <c r="J621" t="s">
        <v>2821</v>
      </c>
      <c r="K621" t="s">
        <v>2821</v>
      </c>
      <c r="L621" t="s">
        <v>2821</v>
      </c>
      <c r="N621" t="s">
        <v>2822</v>
      </c>
      <c r="O621" t="s">
        <v>121</v>
      </c>
      <c r="S621" t="s">
        <v>189</v>
      </c>
      <c r="AI621" t="s">
        <v>518</v>
      </c>
      <c r="AM621" t="s">
        <v>147</v>
      </c>
      <c r="AS621" t="s">
        <v>148</v>
      </c>
      <c r="BG621">
        <v>180</v>
      </c>
      <c r="BM621" t="s">
        <v>151</v>
      </c>
      <c r="BN621">
        <v>0</v>
      </c>
      <c r="BS621" t="s">
        <v>146</v>
      </c>
    </row>
    <row r="622" spans="1:111" x14ac:dyDescent="0.2">
      <c r="A622" t="s">
        <v>111</v>
      </c>
      <c r="B622" t="b">
        <v>1</v>
      </c>
      <c r="E622">
        <v>623</v>
      </c>
      <c r="F622" t="str">
        <f>HYPERLINK("https://portal.dnb.de/opac.htm?method=simpleSearch&amp;cqlMode=true&amp;query=idn%3D1066968594", "Portal")</f>
        <v>Portal</v>
      </c>
      <c r="G622" t="s">
        <v>133</v>
      </c>
      <c r="H622" t="s">
        <v>2823</v>
      </c>
      <c r="I622" t="s">
        <v>2824</v>
      </c>
      <c r="J622" t="s">
        <v>2825</v>
      </c>
      <c r="K622" t="s">
        <v>2825</v>
      </c>
      <c r="L622" t="s">
        <v>2825</v>
      </c>
      <c r="M622" t="s">
        <v>2788</v>
      </c>
      <c r="N622" t="s">
        <v>227</v>
      </c>
      <c r="O622" t="s">
        <v>121</v>
      </c>
      <c r="BN622">
        <v>0</v>
      </c>
    </row>
    <row r="623" spans="1:111" x14ac:dyDescent="0.2">
      <c r="A623" t="s">
        <v>111</v>
      </c>
      <c r="B623" t="b">
        <v>1</v>
      </c>
      <c r="E623">
        <v>624</v>
      </c>
      <c r="F623" t="str">
        <f>HYPERLINK("https://portal.dnb.de/opac.htm?method=simpleSearch&amp;cqlMode=true&amp;query=idn%3D1066968136", "Portal")</f>
        <v>Portal</v>
      </c>
      <c r="G623" t="s">
        <v>133</v>
      </c>
      <c r="H623" t="s">
        <v>2826</v>
      </c>
      <c r="I623" t="s">
        <v>2827</v>
      </c>
      <c r="J623" t="s">
        <v>2828</v>
      </c>
      <c r="K623" t="s">
        <v>2828</v>
      </c>
      <c r="L623" t="s">
        <v>2828</v>
      </c>
      <c r="M623" t="s">
        <v>2788</v>
      </c>
      <c r="N623" t="s">
        <v>2829</v>
      </c>
      <c r="O623" t="s">
        <v>121</v>
      </c>
      <c r="BN623">
        <v>0</v>
      </c>
    </row>
    <row r="624" spans="1:111" x14ac:dyDescent="0.2">
      <c r="A624" t="s">
        <v>111</v>
      </c>
      <c r="B624" t="b">
        <v>1</v>
      </c>
      <c r="C624" t="s">
        <v>146</v>
      </c>
      <c r="E624">
        <v>625</v>
      </c>
      <c r="F624" t="str">
        <f>HYPERLINK("https://portal.dnb.de/opac.htm?method=simpleSearch&amp;cqlMode=true&amp;query=idn%3D1066968594", "Portal")</f>
        <v>Portal</v>
      </c>
      <c r="G624" t="s">
        <v>133</v>
      </c>
      <c r="H624" t="s">
        <v>2830</v>
      </c>
      <c r="I624" t="s">
        <v>2824</v>
      </c>
      <c r="J624" t="s">
        <v>2831</v>
      </c>
      <c r="K624" t="s">
        <v>2831</v>
      </c>
      <c r="L624" t="s">
        <v>2831</v>
      </c>
      <c r="N624" t="s">
        <v>227</v>
      </c>
      <c r="O624" t="s">
        <v>121</v>
      </c>
      <c r="Q624" t="s">
        <v>711</v>
      </c>
      <c r="S624" t="s">
        <v>162</v>
      </c>
      <c r="AI624" t="s">
        <v>2832</v>
      </c>
      <c r="AS624" t="s">
        <v>148</v>
      </c>
      <c r="BC624" t="s">
        <v>669</v>
      </c>
      <c r="BD624" t="s">
        <v>146</v>
      </c>
      <c r="BG624" t="s">
        <v>1476</v>
      </c>
      <c r="BH624" t="s">
        <v>2833</v>
      </c>
      <c r="BL624" t="s">
        <v>146</v>
      </c>
      <c r="BM624" t="s">
        <v>1478</v>
      </c>
      <c r="BN624">
        <v>2</v>
      </c>
      <c r="BP624" t="s">
        <v>278</v>
      </c>
      <c r="BV624" t="s">
        <v>2834</v>
      </c>
      <c r="BZ624" t="s">
        <v>146</v>
      </c>
      <c r="CS624" t="s">
        <v>146</v>
      </c>
      <c r="CT624" t="s">
        <v>146</v>
      </c>
      <c r="CX624" t="s">
        <v>146</v>
      </c>
      <c r="DF624">
        <v>2</v>
      </c>
      <c r="DG624" t="s">
        <v>2835</v>
      </c>
    </row>
    <row r="625" spans="1:110" x14ac:dyDescent="0.2">
      <c r="A625" t="s">
        <v>111</v>
      </c>
      <c r="B625" t="b">
        <v>1</v>
      </c>
      <c r="C625" t="s">
        <v>146</v>
      </c>
      <c r="E625">
        <v>626</v>
      </c>
      <c r="F625" t="str">
        <f>HYPERLINK("https://portal.dnb.de/opac.htm?method=simpleSearch&amp;cqlMode=true&amp;query=idn%3D106696825X", "Portal")</f>
        <v>Portal</v>
      </c>
      <c r="G625" t="s">
        <v>133</v>
      </c>
      <c r="H625" t="s">
        <v>2836</v>
      </c>
      <c r="I625" t="s">
        <v>2837</v>
      </c>
      <c r="J625" t="s">
        <v>2838</v>
      </c>
      <c r="K625" t="s">
        <v>2838</v>
      </c>
      <c r="L625" t="s">
        <v>2838</v>
      </c>
      <c r="N625" t="s">
        <v>2839</v>
      </c>
      <c r="O625" t="s">
        <v>121</v>
      </c>
      <c r="Q625" t="s">
        <v>343</v>
      </c>
      <c r="S625" t="s">
        <v>162</v>
      </c>
      <c r="AI625" t="s">
        <v>190</v>
      </c>
      <c r="AK625" t="s">
        <v>146</v>
      </c>
      <c r="AM625" t="s">
        <v>228</v>
      </c>
      <c r="AS625" t="s">
        <v>148</v>
      </c>
      <c r="BC625" t="s">
        <v>166</v>
      </c>
      <c r="BD625" t="s">
        <v>146</v>
      </c>
      <c r="BG625">
        <v>80</v>
      </c>
      <c r="BM625" t="s">
        <v>213</v>
      </c>
      <c r="BN625">
        <v>1</v>
      </c>
      <c r="BR625" t="s">
        <v>146</v>
      </c>
      <c r="BZ625" t="s">
        <v>146</v>
      </c>
      <c r="CB625" t="s">
        <v>146</v>
      </c>
      <c r="CM625">
        <v>1</v>
      </c>
      <c r="CN625" t="s">
        <v>2840</v>
      </c>
    </row>
    <row r="626" spans="1:110" x14ac:dyDescent="0.2">
      <c r="A626" t="s">
        <v>111</v>
      </c>
      <c r="B626" t="b">
        <v>1</v>
      </c>
      <c r="C626" t="s">
        <v>146</v>
      </c>
      <c r="E626">
        <v>627</v>
      </c>
      <c r="F626" t="str">
        <f>HYPERLINK("https://portal.dnb.de/opac.htm?method=simpleSearch&amp;cqlMode=true&amp;query=idn%3D1066968853", "Portal")</f>
        <v>Portal</v>
      </c>
      <c r="G626" t="s">
        <v>218</v>
      </c>
      <c r="H626" t="s">
        <v>2841</v>
      </c>
      <c r="I626" t="s">
        <v>2842</v>
      </c>
      <c r="J626" t="s">
        <v>2843</v>
      </c>
      <c r="K626" t="s">
        <v>2843</v>
      </c>
      <c r="L626" t="s">
        <v>2843</v>
      </c>
      <c r="N626" t="s">
        <v>1803</v>
      </c>
      <c r="O626" t="s">
        <v>121</v>
      </c>
      <c r="Q626" t="s">
        <v>2844</v>
      </c>
      <c r="S626" t="s">
        <v>181</v>
      </c>
      <c r="AI626" t="s">
        <v>182</v>
      </c>
      <c r="AK626" t="s">
        <v>146</v>
      </c>
      <c r="AM626" t="s">
        <v>313</v>
      </c>
      <c r="AS626" t="s">
        <v>148</v>
      </c>
      <c r="BC626" t="s">
        <v>166</v>
      </c>
      <c r="BD626" t="s">
        <v>146</v>
      </c>
      <c r="BG626">
        <v>45</v>
      </c>
      <c r="BM626" t="s">
        <v>213</v>
      </c>
      <c r="BN626">
        <v>4</v>
      </c>
      <c r="BR626" t="s">
        <v>146</v>
      </c>
      <c r="BZ626" t="s">
        <v>146</v>
      </c>
      <c r="CA626" t="s">
        <v>146</v>
      </c>
      <c r="CB626" t="s">
        <v>146</v>
      </c>
      <c r="CI626" t="s">
        <v>146</v>
      </c>
      <c r="CL626" t="s">
        <v>560</v>
      </c>
      <c r="CM626">
        <v>4</v>
      </c>
      <c r="CN626" t="s">
        <v>2845</v>
      </c>
    </row>
    <row r="627" spans="1:110" x14ac:dyDescent="0.2">
      <c r="A627" t="s">
        <v>111</v>
      </c>
      <c r="B627" t="b">
        <v>1</v>
      </c>
      <c r="C627" t="s">
        <v>146</v>
      </c>
      <c r="E627">
        <v>628</v>
      </c>
      <c r="F627" t="str">
        <f>HYPERLINK("https://portal.dnb.de/opac.htm?method=simpleSearch&amp;cqlMode=true&amp;query=idn%3D1066972737", "Portal")</f>
        <v>Portal</v>
      </c>
      <c r="G627" t="s">
        <v>133</v>
      </c>
      <c r="H627" t="s">
        <v>2846</v>
      </c>
      <c r="I627" t="s">
        <v>2847</v>
      </c>
      <c r="J627" t="s">
        <v>2848</v>
      </c>
      <c r="K627" t="s">
        <v>2848</v>
      </c>
      <c r="L627" t="s">
        <v>2848</v>
      </c>
      <c r="N627" t="s">
        <v>160</v>
      </c>
      <c r="O627" t="s">
        <v>121</v>
      </c>
      <c r="Q627" t="s">
        <v>486</v>
      </c>
      <c r="S627" t="s">
        <v>140</v>
      </c>
      <c r="AI627" t="s">
        <v>182</v>
      </c>
      <c r="AK627" t="s">
        <v>146</v>
      </c>
      <c r="AM627" t="s">
        <v>313</v>
      </c>
      <c r="AS627" t="s">
        <v>148</v>
      </c>
      <c r="BC627" t="s">
        <v>166</v>
      </c>
      <c r="BD627" t="s">
        <v>146</v>
      </c>
      <c r="BG627">
        <v>45</v>
      </c>
      <c r="BM627" t="s">
        <v>213</v>
      </c>
      <c r="BN627">
        <v>0.5</v>
      </c>
      <c r="BP627" t="s">
        <v>152</v>
      </c>
      <c r="CA627" t="s">
        <v>146</v>
      </c>
      <c r="CB627" t="s">
        <v>146</v>
      </c>
      <c r="CM627">
        <v>0.5</v>
      </c>
    </row>
    <row r="628" spans="1:110" x14ac:dyDescent="0.2">
      <c r="A628" t="s">
        <v>111</v>
      </c>
      <c r="B628" t="b">
        <v>1</v>
      </c>
      <c r="C628" t="s">
        <v>146</v>
      </c>
      <c r="E628">
        <v>629</v>
      </c>
      <c r="F628" t="str">
        <f>HYPERLINK("https://portal.dnb.de/opac.htm?method=simpleSearch&amp;cqlMode=true&amp;query=idn%3D1066968780", "Portal")</f>
        <v>Portal</v>
      </c>
      <c r="G628" t="s">
        <v>115</v>
      </c>
      <c r="H628" t="s">
        <v>2849</v>
      </c>
      <c r="I628" t="s">
        <v>2850</v>
      </c>
      <c r="J628" t="s">
        <v>2851</v>
      </c>
      <c r="K628" t="s">
        <v>2851</v>
      </c>
      <c r="L628" t="s">
        <v>2851</v>
      </c>
      <c r="N628" t="s">
        <v>261</v>
      </c>
      <c r="O628" t="s">
        <v>121</v>
      </c>
      <c r="Q628" t="s">
        <v>616</v>
      </c>
      <c r="S628" t="s">
        <v>181</v>
      </c>
      <c r="AI628" t="s">
        <v>182</v>
      </c>
      <c r="AK628" t="s">
        <v>146</v>
      </c>
      <c r="AM628" t="s">
        <v>313</v>
      </c>
      <c r="AR628" t="s">
        <v>146</v>
      </c>
      <c r="AS628" t="s">
        <v>148</v>
      </c>
      <c r="BC628" t="s">
        <v>166</v>
      </c>
      <c r="BD628" t="s">
        <v>146</v>
      </c>
      <c r="BG628">
        <v>45</v>
      </c>
      <c r="BM628" t="s">
        <v>213</v>
      </c>
      <c r="BN628">
        <v>2</v>
      </c>
      <c r="BR628" t="s">
        <v>146</v>
      </c>
      <c r="BV628" t="s">
        <v>2852</v>
      </c>
      <c r="BZ628" t="s">
        <v>146</v>
      </c>
      <c r="CA628" t="s">
        <v>146</v>
      </c>
      <c r="CB628" t="s">
        <v>146</v>
      </c>
      <c r="CD628" t="s">
        <v>202</v>
      </c>
      <c r="CM628">
        <v>2</v>
      </c>
      <c r="CN628" t="s">
        <v>2853</v>
      </c>
    </row>
    <row r="629" spans="1:110" x14ac:dyDescent="0.2">
      <c r="A629" t="s">
        <v>111</v>
      </c>
      <c r="B629" t="b">
        <v>1</v>
      </c>
      <c r="E629">
        <v>630</v>
      </c>
      <c r="F629" t="str">
        <f>HYPERLINK("https://portal.dnb.de/opac.htm?method=simpleSearch&amp;cqlMode=true&amp;query=idn%3D1066967881", "Portal")</f>
        <v>Portal</v>
      </c>
      <c r="G629" t="s">
        <v>133</v>
      </c>
      <c r="H629" t="s">
        <v>2854</v>
      </c>
      <c r="I629" t="s">
        <v>2855</v>
      </c>
      <c r="J629" t="s">
        <v>2856</v>
      </c>
      <c r="K629" t="s">
        <v>2856</v>
      </c>
      <c r="L629" t="s">
        <v>2856</v>
      </c>
      <c r="N629" t="s">
        <v>2857</v>
      </c>
      <c r="O629" t="s">
        <v>121</v>
      </c>
      <c r="S629" t="s">
        <v>189</v>
      </c>
      <c r="AI629" t="s">
        <v>165</v>
      </c>
      <c r="AK629" t="s">
        <v>146</v>
      </c>
      <c r="AM629" t="s">
        <v>147</v>
      </c>
      <c r="AS629" t="s">
        <v>148</v>
      </c>
      <c r="AX629" t="s">
        <v>146</v>
      </c>
      <c r="BG629">
        <v>110</v>
      </c>
      <c r="BM629" t="s">
        <v>151</v>
      </c>
      <c r="BN629">
        <v>0</v>
      </c>
      <c r="BP629" t="s">
        <v>152</v>
      </c>
    </row>
    <row r="630" spans="1:110" x14ac:dyDescent="0.2">
      <c r="A630" t="s">
        <v>111</v>
      </c>
      <c r="B630" t="b">
        <v>1</v>
      </c>
      <c r="F630" t="str">
        <f>HYPERLINK("https://portal.dnb.de/opac.htm?method=simpleSearch&amp;cqlMode=true&amp;query=idn%3D1164536214", "Portal")</f>
        <v>Portal</v>
      </c>
      <c r="G630" t="s">
        <v>539</v>
      </c>
      <c r="H630" t="s">
        <v>2858</v>
      </c>
      <c r="I630" t="s">
        <v>2859</v>
      </c>
      <c r="J630" t="s">
        <v>2860</v>
      </c>
      <c r="K630" t="s">
        <v>2860</v>
      </c>
      <c r="L630" t="s">
        <v>2860</v>
      </c>
      <c r="N630" t="s">
        <v>2861</v>
      </c>
      <c r="O630" t="s">
        <v>2862</v>
      </c>
    </row>
    <row r="631" spans="1:110" x14ac:dyDescent="0.2">
      <c r="A631" t="s">
        <v>111</v>
      </c>
      <c r="B631" t="b">
        <v>1</v>
      </c>
      <c r="F631" t="str">
        <f>HYPERLINK("https://portal.dnb.de/opac.htm?method=simpleSearch&amp;cqlMode=true&amp;query=idn%3D1164536303", "Portal")</f>
        <v>Portal</v>
      </c>
      <c r="G631" t="s">
        <v>539</v>
      </c>
      <c r="H631" t="s">
        <v>2863</v>
      </c>
      <c r="I631" t="s">
        <v>2864</v>
      </c>
      <c r="J631" t="s">
        <v>2860</v>
      </c>
      <c r="K631" t="s">
        <v>2860</v>
      </c>
      <c r="L631" t="s">
        <v>2860</v>
      </c>
      <c r="N631" t="s">
        <v>2861</v>
      </c>
      <c r="O631" t="s">
        <v>2865</v>
      </c>
    </row>
    <row r="632" spans="1:110" x14ac:dyDescent="0.2">
      <c r="A632" t="s">
        <v>111</v>
      </c>
      <c r="B632" t="b">
        <v>1</v>
      </c>
      <c r="C632" t="s">
        <v>146</v>
      </c>
      <c r="E632">
        <v>631</v>
      </c>
      <c r="F632" t="str">
        <f>HYPERLINK("https://portal.dnb.de/opac.htm?method=simpleSearch&amp;cqlMode=true&amp;query=idn%3D1066971951", "Portal")</f>
        <v>Portal</v>
      </c>
      <c r="G632" t="s">
        <v>115</v>
      </c>
      <c r="H632" t="s">
        <v>2866</v>
      </c>
      <c r="I632" t="s">
        <v>2867</v>
      </c>
      <c r="J632" t="s">
        <v>2868</v>
      </c>
      <c r="K632" t="s">
        <v>2868</v>
      </c>
      <c r="L632" t="s">
        <v>2868</v>
      </c>
      <c r="N632" t="s">
        <v>2869</v>
      </c>
      <c r="O632" t="s">
        <v>121</v>
      </c>
      <c r="Q632" t="s">
        <v>2870</v>
      </c>
      <c r="S632" t="s">
        <v>140</v>
      </c>
      <c r="AI632" t="s">
        <v>165</v>
      </c>
      <c r="AK632" t="s">
        <v>146</v>
      </c>
      <c r="AM632" t="s">
        <v>147</v>
      </c>
      <c r="AS632" t="s">
        <v>148</v>
      </c>
      <c r="BG632" t="s">
        <v>2871</v>
      </c>
      <c r="BM632" t="s">
        <v>213</v>
      </c>
      <c r="BN632">
        <v>1</v>
      </c>
      <c r="BP632" t="s">
        <v>152</v>
      </c>
      <c r="BV632" t="s">
        <v>2872</v>
      </c>
      <c r="BW632" t="s">
        <v>2873</v>
      </c>
      <c r="CA632" t="s">
        <v>146</v>
      </c>
      <c r="CD632" t="s">
        <v>202</v>
      </c>
      <c r="CF632" t="s">
        <v>146</v>
      </c>
      <c r="CM632">
        <v>1</v>
      </c>
      <c r="CN632" t="s">
        <v>2874</v>
      </c>
    </row>
    <row r="633" spans="1:110" x14ac:dyDescent="0.2">
      <c r="A633" t="s">
        <v>111</v>
      </c>
      <c r="B633" t="b">
        <v>0</v>
      </c>
      <c r="F633" t="str">
        <f>HYPERLINK("https://portal.dnb.de/opac.htm?method=simpleSearch&amp;cqlMode=true&amp;query=idn%3D", "Portal")</f>
        <v>Portal</v>
      </c>
      <c r="L633" t="s">
        <v>2875</v>
      </c>
      <c r="S633" t="s">
        <v>189</v>
      </c>
      <c r="AI633" t="s">
        <v>165</v>
      </c>
      <c r="AK633" t="s">
        <v>146</v>
      </c>
      <c r="AM633" t="s">
        <v>147</v>
      </c>
      <c r="AS633" t="s">
        <v>148</v>
      </c>
      <c r="BC633" t="s">
        <v>166</v>
      </c>
      <c r="BD633" t="s">
        <v>146</v>
      </c>
      <c r="BG633">
        <v>110</v>
      </c>
      <c r="BM633" t="s">
        <v>151</v>
      </c>
      <c r="BN633">
        <v>0</v>
      </c>
      <c r="BP633" t="s">
        <v>152</v>
      </c>
    </row>
    <row r="634" spans="1:110" x14ac:dyDescent="0.2">
      <c r="A634" t="s">
        <v>111</v>
      </c>
      <c r="B634" t="b">
        <v>1</v>
      </c>
      <c r="E634">
        <v>632</v>
      </c>
      <c r="F634" t="str">
        <f>HYPERLINK("https://portal.dnb.de/opac.htm?method=simpleSearch&amp;cqlMode=true&amp;query=idn%3D1066967342", "Portal")</f>
        <v>Portal</v>
      </c>
      <c r="G634" t="s">
        <v>133</v>
      </c>
      <c r="H634" t="s">
        <v>2876</v>
      </c>
      <c r="I634" t="s">
        <v>2877</v>
      </c>
      <c r="J634" t="s">
        <v>2878</v>
      </c>
      <c r="K634" t="s">
        <v>2878</v>
      </c>
      <c r="L634" t="s">
        <v>2878</v>
      </c>
      <c r="N634" t="s">
        <v>1473</v>
      </c>
      <c r="O634" t="s">
        <v>121</v>
      </c>
      <c r="S634" t="s">
        <v>189</v>
      </c>
      <c r="AI634" t="s">
        <v>182</v>
      </c>
      <c r="AL634" t="s">
        <v>146</v>
      </c>
      <c r="AM634" t="s">
        <v>266</v>
      </c>
      <c r="AS634" t="s">
        <v>148</v>
      </c>
      <c r="AX634" t="s">
        <v>146</v>
      </c>
      <c r="BE634">
        <v>0</v>
      </c>
      <c r="BF634" t="s">
        <v>146</v>
      </c>
      <c r="BG634">
        <v>110</v>
      </c>
      <c r="BM634" t="s">
        <v>151</v>
      </c>
      <c r="BN634">
        <v>0</v>
      </c>
      <c r="BP634" t="s">
        <v>278</v>
      </c>
    </row>
    <row r="635" spans="1:110" x14ac:dyDescent="0.2">
      <c r="A635" t="s">
        <v>111</v>
      </c>
      <c r="B635" t="b">
        <v>1</v>
      </c>
      <c r="C635" t="s">
        <v>146</v>
      </c>
      <c r="E635">
        <v>633</v>
      </c>
      <c r="F635" t="str">
        <f>HYPERLINK("https://portal.dnb.de/opac.htm?method=simpleSearch&amp;cqlMode=true&amp;query=idn%3D1066972664", "Portal")</f>
        <v>Portal</v>
      </c>
      <c r="G635" t="s">
        <v>133</v>
      </c>
      <c r="H635" t="s">
        <v>2879</v>
      </c>
      <c r="I635" t="s">
        <v>2880</v>
      </c>
      <c r="J635" t="s">
        <v>2881</v>
      </c>
      <c r="K635" t="s">
        <v>2881</v>
      </c>
      <c r="L635" t="s">
        <v>2881</v>
      </c>
      <c r="N635" t="s">
        <v>2882</v>
      </c>
      <c r="O635" t="s">
        <v>121</v>
      </c>
      <c r="Q635" t="s">
        <v>311</v>
      </c>
      <c r="S635" t="s">
        <v>140</v>
      </c>
      <c r="AI635" t="s">
        <v>182</v>
      </c>
      <c r="AJ635" t="s">
        <v>2883</v>
      </c>
      <c r="AK635" t="s">
        <v>146</v>
      </c>
      <c r="AM635" t="s">
        <v>313</v>
      </c>
      <c r="AS635" t="s">
        <v>148</v>
      </c>
      <c r="BC635" t="s">
        <v>166</v>
      </c>
      <c r="BD635" t="s">
        <v>146</v>
      </c>
      <c r="BG635">
        <v>60</v>
      </c>
      <c r="BM635" t="s">
        <v>213</v>
      </c>
      <c r="BN635">
        <v>2</v>
      </c>
      <c r="BP635" t="s">
        <v>152</v>
      </c>
      <c r="BV635" t="s">
        <v>2884</v>
      </c>
      <c r="CH635" t="s">
        <v>146</v>
      </c>
      <c r="CM635">
        <v>1.5</v>
      </c>
      <c r="CN635" t="s">
        <v>2885</v>
      </c>
      <c r="CV635" t="s">
        <v>146</v>
      </c>
      <c r="DF635">
        <v>0.5</v>
      </c>
    </row>
    <row r="636" spans="1:110" x14ac:dyDescent="0.2">
      <c r="A636" t="s">
        <v>111</v>
      </c>
      <c r="B636" t="b">
        <v>1</v>
      </c>
      <c r="E636">
        <v>634</v>
      </c>
      <c r="F636" t="str">
        <f>HYPERLINK("https://portal.dnb.de/opac.htm?method=simpleSearch&amp;cqlMode=true&amp;query=idn%3D1066971854", "Portal")</f>
        <v>Portal</v>
      </c>
      <c r="G636" t="s">
        <v>115</v>
      </c>
      <c r="H636" t="s">
        <v>2886</v>
      </c>
      <c r="I636" t="s">
        <v>2887</v>
      </c>
      <c r="J636" t="s">
        <v>2888</v>
      </c>
      <c r="K636" t="s">
        <v>2888</v>
      </c>
      <c r="L636" t="s">
        <v>2888</v>
      </c>
      <c r="N636" t="s">
        <v>2677</v>
      </c>
      <c r="O636" t="s">
        <v>121</v>
      </c>
      <c r="S636" t="s">
        <v>140</v>
      </c>
      <c r="AI636" t="s">
        <v>165</v>
      </c>
      <c r="AK636" t="s">
        <v>146</v>
      </c>
      <c r="AM636" t="s">
        <v>147</v>
      </c>
      <c r="AS636" t="s">
        <v>148</v>
      </c>
      <c r="BC636" t="s">
        <v>166</v>
      </c>
      <c r="BD636" t="s">
        <v>146</v>
      </c>
      <c r="BG636">
        <v>110</v>
      </c>
      <c r="BM636" t="s">
        <v>151</v>
      </c>
      <c r="BN636">
        <v>0</v>
      </c>
      <c r="BP636" t="s">
        <v>152</v>
      </c>
      <c r="BW636" t="s">
        <v>2750</v>
      </c>
      <c r="BX636" t="s">
        <v>2889</v>
      </c>
    </row>
    <row r="637" spans="1:110" x14ac:dyDescent="0.2">
      <c r="A637" t="s">
        <v>111</v>
      </c>
      <c r="B637" t="b">
        <v>1</v>
      </c>
      <c r="E637">
        <v>635</v>
      </c>
      <c r="F637" t="str">
        <f>HYPERLINK("https://portal.dnb.de/opac.htm?method=simpleSearch&amp;cqlMode=true&amp;query=idn%3D106697165X", "Portal")</f>
        <v>Portal</v>
      </c>
      <c r="G637" t="s">
        <v>133</v>
      </c>
      <c r="H637" t="s">
        <v>2890</v>
      </c>
      <c r="I637" t="s">
        <v>2891</v>
      </c>
      <c r="J637" t="s">
        <v>2892</v>
      </c>
      <c r="K637" t="s">
        <v>2892</v>
      </c>
      <c r="L637" t="s">
        <v>2892</v>
      </c>
      <c r="M637" t="s">
        <v>2788</v>
      </c>
      <c r="N637" t="s">
        <v>2893</v>
      </c>
      <c r="O637" t="s">
        <v>121</v>
      </c>
      <c r="BN637">
        <v>0</v>
      </c>
    </row>
    <row r="638" spans="1:110" x14ac:dyDescent="0.2">
      <c r="A638" t="s">
        <v>111</v>
      </c>
      <c r="B638" t="b">
        <v>1</v>
      </c>
      <c r="E638">
        <v>636</v>
      </c>
      <c r="F638" t="str">
        <f>HYPERLINK("https://portal.dnb.de/opac.htm?method=simpleSearch&amp;cqlMode=true&amp;query=idn%3D1066969582", "Portal")</f>
        <v>Portal</v>
      </c>
      <c r="G638" t="s">
        <v>133</v>
      </c>
      <c r="H638" t="s">
        <v>2894</v>
      </c>
      <c r="I638" t="s">
        <v>2895</v>
      </c>
      <c r="J638" t="s">
        <v>2896</v>
      </c>
      <c r="K638" t="s">
        <v>2896</v>
      </c>
      <c r="L638" t="s">
        <v>2896</v>
      </c>
      <c r="N638" t="s">
        <v>2897</v>
      </c>
      <c r="O638" t="s">
        <v>121</v>
      </c>
      <c r="S638" t="s">
        <v>140</v>
      </c>
      <c r="AI638" t="s">
        <v>190</v>
      </c>
      <c r="AK638" t="s">
        <v>146</v>
      </c>
      <c r="AM638" t="s">
        <v>228</v>
      </c>
      <c r="AS638" t="s">
        <v>148</v>
      </c>
      <c r="BG638">
        <v>110</v>
      </c>
      <c r="BM638" t="s">
        <v>151</v>
      </c>
      <c r="BN638">
        <v>0</v>
      </c>
      <c r="BP638" t="s">
        <v>152</v>
      </c>
      <c r="BW638" t="s">
        <v>2750</v>
      </c>
      <c r="BX638" t="s">
        <v>2898</v>
      </c>
    </row>
    <row r="639" spans="1:110" x14ac:dyDescent="0.2">
      <c r="A639" t="s">
        <v>111</v>
      </c>
      <c r="B639" t="b">
        <v>1</v>
      </c>
      <c r="C639" t="s">
        <v>146</v>
      </c>
      <c r="E639">
        <v>637</v>
      </c>
      <c r="F639" t="str">
        <f>HYPERLINK("https://portal.dnb.de/opac.htm?method=simpleSearch&amp;cqlMode=true&amp;query=idn%3D1066969485", "Portal")</f>
        <v>Portal</v>
      </c>
      <c r="G639" t="s">
        <v>133</v>
      </c>
      <c r="H639" t="s">
        <v>2899</v>
      </c>
      <c r="I639" t="s">
        <v>2900</v>
      </c>
      <c r="J639" t="s">
        <v>2901</v>
      </c>
      <c r="K639" t="s">
        <v>2901</v>
      </c>
      <c r="L639" t="s">
        <v>2901</v>
      </c>
      <c r="N639" t="s">
        <v>420</v>
      </c>
      <c r="O639" t="s">
        <v>121</v>
      </c>
      <c r="Q639" t="s">
        <v>2902</v>
      </c>
      <c r="S639" t="s">
        <v>140</v>
      </c>
      <c r="AI639" t="s">
        <v>165</v>
      </c>
      <c r="AK639" t="s">
        <v>146</v>
      </c>
      <c r="AM639" t="s">
        <v>147</v>
      </c>
      <c r="AS639" t="s">
        <v>148</v>
      </c>
      <c r="BC639" t="s">
        <v>2903</v>
      </c>
      <c r="BD639" t="s">
        <v>146</v>
      </c>
      <c r="BG639">
        <v>110</v>
      </c>
      <c r="BM639" t="s">
        <v>213</v>
      </c>
      <c r="BN639">
        <v>3</v>
      </c>
      <c r="BP639" t="s">
        <v>152</v>
      </c>
      <c r="CA639" t="s">
        <v>146</v>
      </c>
      <c r="CD639" t="s">
        <v>202</v>
      </c>
      <c r="CF639" t="s">
        <v>146</v>
      </c>
      <c r="CM639">
        <v>3</v>
      </c>
      <c r="CN639" t="s">
        <v>2904</v>
      </c>
    </row>
    <row r="640" spans="1:110" x14ac:dyDescent="0.2">
      <c r="A640" t="s">
        <v>111</v>
      </c>
      <c r="B640" t="b">
        <v>1</v>
      </c>
      <c r="E640">
        <v>638</v>
      </c>
      <c r="F640" t="str">
        <f>HYPERLINK("https://portal.dnb.de/opac.htm?method=simpleSearch&amp;cqlMode=true&amp;query=idn%3D1066965978", "Portal")</f>
        <v>Portal</v>
      </c>
      <c r="G640" t="s">
        <v>133</v>
      </c>
      <c r="H640" t="s">
        <v>2905</v>
      </c>
      <c r="I640" t="s">
        <v>2906</v>
      </c>
      <c r="J640" t="s">
        <v>2907</v>
      </c>
      <c r="K640" t="s">
        <v>2907</v>
      </c>
      <c r="L640" t="s">
        <v>2907</v>
      </c>
      <c r="N640" t="s">
        <v>2908</v>
      </c>
      <c r="O640" t="s">
        <v>121</v>
      </c>
      <c r="S640" t="s">
        <v>189</v>
      </c>
      <c r="AI640" t="s">
        <v>518</v>
      </c>
      <c r="AK640" t="s">
        <v>146</v>
      </c>
      <c r="AM640" t="s">
        <v>147</v>
      </c>
      <c r="AS640" t="s">
        <v>148</v>
      </c>
      <c r="BC640" t="s">
        <v>166</v>
      </c>
      <c r="BD640" t="s">
        <v>146</v>
      </c>
      <c r="BG640">
        <v>110</v>
      </c>
      <c r="BM640" t="s">
        <v>151</v>
      </c>
      <c r="BN640">
        <v>0</v>
      </c>
      <c r="BP640" t="s">
        <v>152</v>
      </c>
      <c r="BW640" t="s">
        <v>2750</v>
      </c>
      <c r="BX640" t="s">
        <v>2909</v>
      </c>
    </row>
    <row r="641" spans="1:92" x14ac:dyDescent="0.2">
      <c r="A641" t="s">
        <v>111</v>
      </c>
      <c r="B641" t="b">
        <v>1</v>
      </c>
      <c r="E641">
        <v>639</v>
      </c>
      <c r="F641" t="str">
        <f>HYPERLINK("https://portal.dnb.de/opac.htm?method=simpleSearch&amp;cqlMode=true&amp;query=idn%3D1066965730", "Portal")</f>
        <v>Portal</v>
      </c>
      <c r="G641" t="s">
        <v>133</v>
      </c>
      <c r="H641" t="s">
        <v>2910</v>
      </c>
      <c r="I641" t="s">
        <v>2911</v>
      </c>
      <c r="J641" t="s">
        <v>2912</v>
      </c>
      <c r="K641" t="s">
        <v>2912</v>
      </c>
      <c r="L641" t="s">
        <v>2912</v>
      </c>
      <c r="N641" t="s">
        <v>249</v>
      </c>
      <c r="O641" t="s">
        <v>121</v>
      </c>
      <c r="S641" t="s">
        <v>140</v>
      </c>
      <c r="AI641" t="s">
        <v>165</v>
      </c>
      <c r="AK641" t="s">
        <v>146</v>
      </c>
      <c r="AM641" t="s">
        <v>147</v>
      </c>
      <c r="AS641" t="s">
        <v>148</v>
      </c>
      <c r="BE641">
        <v>2</v>
      </c>
      <c r="BG641">
        <v>110</v>
      </c>
      <c r="BM641" t="s">
        <v>151</v>
      </c>
      <c r="BN641">
        <v>0</v>
      </c>
      <c r="BP641" t="s">
        <v>152</v>
      </c>
    </row>
    <row r="642" spans="1:92" x14ac:dyDescent="0.2">
      <c r="A642" t="s">
        <v>111</v>
      </c>
      <c r="B642" t="b">
        <v>1</v>
      </c>
      <c r="E642">
        <v>640</v>
      </c>
      <c r="F642" t="str">
        <f>HYPERLINK("https://portal.dnb.de/opac.htm?method=simpleSearch&amp;cqlMode=true&amp;query=idn%3D1066966575", "Portal")</f>
        <v>Portal</v>
      </c>
      <c r="G642" t="s">
        <v>115</v>
      </c>
      <c r="H642" t="s">
        <v>2913</v>
      </c>
      <c r="I642" t="s">
        <v>2914</v>
      </c>
      <c r="J642" t="s">
        <v>2915</v>
      </c>
      <c r="K642" t="s">
        <v>2915</v>
      </c>
      <c r="L642" t="s">
        <v>2915</v>
      </c>
      <c r="M642" t="s">
        <v>2788</v>
      </c>
      <c r="N642" t="s">
        <v>132</v>
      </c>
      <c r="O642" t="s">
        <v>121</v>
      </c>
      <c r="BN642">
        <v>0</v>
      </c>
    </row>
    <row r="643" spans="1:92" x14ac:dyDescent="0.2">
      <c r="A643" t="s">
        <v>111</v>
      </c>
      <c r="B643" t="b">
        <v>1</v>
      </c>
      <c r="C643" t="s">
        <v>146</v>
      </c>
      <c r="E643">
        <v>641</v>
      </c>
      <c r="F643" t="str">
        <f>HYPERLINK("https://portal.dnb.de/opac.htm?method=simpleSearch&amp;cqlMode=true&amp;query=idn%3D1066972974", "Portal")</f>
        <v>Portal</v>
      </c>
      <c r="G643" t="s">
        <v>115</v>
      </c>
      <c r="H643" t="s">
        <v>2916</v>
      </c>
      <c r="I643" t="s">
        <v>2917</v>
      </c>
      <c r="J643" t="s">
        <v>2918</v>
      </c>
      <c r="K643" t="s">
        <v>2918</v>
      </c>
      <c r="L643" t="s">
        <v>2918</v>
      </c>
      <c r="N643" t="s">
        <v>1836</v>
      </c>
      <c r="O643" t="s">
        <v>121</v>
      </c>
      <c r="Q643" t="s">
        <v>2919</v>
      </c>
      <c r="S643" t="s">
        <v>140</v>
      </c>
      <c r="AI643" t="s">
        <v>165</v>
      </c>
      <c r="AK643" t="s">
        <v>146</v>
      </c>
      <c r="AM643" t="s">
        <v>313</v>
      </c>
      <c r="AS643" t="s">
        <v>148</v>
      </c>
      <c r="BG643" t="s">
        <v>150</v>
      </c>
      <c r="BM643" t="s">
        <v>213</v>
      </c>
      <c r="BN643">
        <v>1</v>
      </c>
      <c r="BP643" t="s">
        <v>152</v>
      </c>
      <c r="BW643" t="s">
        <v>2920</v>
      </c>
      <c r="CA643" t="s">
        <v>146</v>
      </c>
      <c r="CB643" t="s">
        <v>146</v>
      </c>
      <c r="CD643" t="s">
        <v>237</v>
      </c>
      <c r="CM643">
        <v>1</v>
      </c>
      <c r="CN643" t="s">
        <v>2921</v>
      </c>
    </row>
    <row r="644" spans="1:92" x14ac:dyDescent="0.2">
      <c r="A644" t="s">
        <v>111</v>
      </c>
      <c r="B644" t="b">
        <v>1</v>
      </c>
      <c r="E644">
        <v>642</v>
      </c>
      <c r="F644" t="str">
        <f>HYPERLINK("https://portal.dnb.de/opac.htm?method=simpleSearch&amp;cqlMode=true&amp;query=idn%3D1066970726", "Portal")</f>
        <v>Portal</v>
      </c>
      <c r="G644" t="s">
        <v>133</v>
      </c>
      <c r="H644" t="s">
        <v>2922</v>
      </c>
      <c r="I644" t="s">
        <v>2923</v>
      </c>
      <c r="J644" t="s">
        <v>2924</v>
      </c>
      <c r="K644" t="s">
        <v>2924</v>
      </c>
      <c r="L644" t="s">
        <v>2924</v>
      </c>
      <c r="N644" t="s">
        <v>2925</v>
      </c>
      <c r="O644" t="s">
        <v>121</v>
      </c>
      <c r="S644" t="s">
        <v>140</v>
      </c>
      <c r="AI644" t="s">
        <v>165</v>
      </c>
      <c r="AK644" t="s">
        <v>146</v>
      </c>
      <c r="AM644" t="s">
        <v>147</v>
      </c>
      <c r="AS644" t="s">
        <v>148</v>
      </c>
      <c r="AW644" t="s">
        <v>146</v>
      </c>
      <c r="BE644">
        <v>0</v>
      </c>
      <c r="BF644" t="s">
        <v>146</v>
      </c>
      <c r="BG644">
        <v>80</v>
      </c>
      <c r="BM644" t="s">
        <v>151</v>
      </c>
      <c r="BN644">
        <v>0</v>
      </c>
      <c r="BP644" t="s">
        <v>152</v>
      </c>
    </row>
    <row r="645" spans="1:92" x14ac:dyDescent="0.2">
      <c r="A645" t="s">
        <v>111</v>
      </c>
      <c r="B645" t="b">
        <v>1</v>
      </c>
      <c r="E645">
        <v>643</v>
      </c>
      <c r="F645" t="str">
        <f>HYPERLINK("https://portal.dnb.de/opac.htm?method=simpleSearch&amp;cqlMode=true&amp;query=idn%3D1066967660", "Portal")</f>
        <v>Portal</v>
      </c>
      <c r="G645" t="s">
        <v>133</v>
      </c>
      <c r="H645" t="s">
        <v>2926</v>
      </c>
      <c r="I645" t="s">
        <v>2927</v>
      </c>
      <c r="J645" t="s">
        <v>2928</v>
      </c>
      <c r="K645" t="s">
        <v>2928</v>
      </c>
      <c r="L645" t="s">
        <v>2929</v>
      </c>
      <c r="M645" t="s">
        <v>2788</v>
      </c>
      <c r="N645" t="s">
        <v>2930</v>
      </c>
      <c r="O645" t="s">
        <v>121</v>
      </c>
      <c r="BN645">
        <v>0</v>
      </c>
    </row>
    <row r="646" spans="1:92" x14ac:dyDescent="0.2">
      <c r="A646" t="s">
        <v>111</v>
      </c>
      <c r="B646" t="b">
        <v>1</v>
      </c>
      <c r="E646">
        <v>644</v>
      </c>
      <c r="F646" t="str">
        <f>HYPERLINK("https://portal.dnb.de/opac.htm?method=simpleSearch&amp;cqlMode=true&amp;query=idn%3D106696744X", "Portal")</f>
        <v>Portal</v>
      </c>
      <c r="G646" t="s">
        <v>115</v>
      </c>
      <c r="H646" t="s">
        <v>2931</v>
      </c>
      <c r="I646" t="s">
        <v>2932</v>
      </c>
      <c r="J646" t="s">
        <v>2933</v>
      </c>
      <c r="K646" t="s">
        <v>2933</v>
      </c>
      <c r="L646" t="s">
        <v>2933</v>
      </c>
      <c r="N646" t="s">
        <v>2740</v>
      </c>
      <c r="O646" t="s">
        <v>121</v>
      </c>
      <c r="S646" t="s">
        <v>140</v>
      </c>
      <c r="AI646" t="s">
        <v>174</v>
      </c>
      <c r="AL646" t="s">
        <v>146</v>
      </c>
      <c r="AM646" t="s">
        <v>147</v>
      </c>
      <c r="AS646" t="s">
        <v>148</v>
      </c>
      <c r="BG646">
        <v>180</v>
      </c>
      <c r="BM646" t="s">
        <v>151</v>
      </c>
      <c r="BN646">
        <v>0</v>
      </c>
      <c r="BP646" t="s">
        <v>152</v>
      </c>
    </row>
    <row r="647" spans="1:92" x14ac:dyDescent="0.2">
      <c r="A647" t="s">
        <v>111</v>
      </c>
      <c r="B647" t="b">
        <v>1</v>
      </c>
      <c r="C647" t="s">
        <v>146</v>
      </c>
      <c r="E647">
        <v>645</v>
      </c>
      <c r="F647" t="str">
        <f>HYPERLINK("https://portal.dnb.de/opac.htm?method=simpleSearch&amp;cqlMode=true&amp;query=idn%3D1066967466", "Portal")</f>
        <v>Portal</v>
      </c>
      <c r="G647" t="s">
        <v>133</v>
      </c>
      <c r="H647" t="s">
        <v>2934</v>
      </c>
      <c r="I647" t="s">
        <v>2935</v>
      </c>
      <c r="J647" t="s">
        <v>2936</v>
      </c>
      <c r="K647" t="s">
        <v>2936</v>
      </c>
      <c r="L647" t="s">
        <v>2936</v>
      </c>
      <c r="N647" t="s">
        <v>2937</v>
      </c>
      <c r="O647" t="s">
        <v>121</v>
      </c>
      <c r="Q647" t="s">
        <v>2610</v>
      </c>
      <c r="S647" t="s">
        <v>140</v>
      </c>
      <c r="AI647" t="s">
        <v>174</v>
      </c>
      <c r="AL647" t="s">
        <v>146</v>
      </c>
      <c r="AM647" t="s">
        <v>147</v>
      </c>
      <c r="AS647" t="s">
        <v>148</v>
      </c>
      <c r="BG647">
        <v>110</v>
      </c>
      <c r="BM647" t="s">
        <v>213</v>
      </c>
      <c r="BN647">
        <v>0.5</v>
      </c>
      <c r="BP647" t="s">
        <v>152</v>
      </c>
      <c r="CB647" t="s">
        <v>146</v>
      </c>
      <c r="CM647">
        <v>0.5</v>
      </c>
    </row>
    <row r="648" spans="1:92" x14ac:dyDescent="0.2">
      <c r="A648" t="s">
        <v>111</v>
      </c>
      <c r="B648" t="b">
        <v>1</v>
      </c>
      <c r="F648" t="str">
        <f>HYPERLINK("https://portal.dnb.de/opac.htm?method=simpleSearch&amp;cqlMode=true&amp;query=idn%3D1268948691", "Portal")</f>
        <v>Portal</v>
      </c>
      <c r="G648" t="s">
        <v>300</v>
      </c>
      <c r="H648" t="s">
        <v>2938</v>
      </c>
      <c r="I648" t="s">
        <v>2939</v>
      </c>
      <c r="J648" t="s">
        <v>2940</v>
      </c>
      <c r="K648" t="s">
        <v>2940</v>
      </c>
      <c r="L648" t="s">
        <v>2940</v>
      </c>
      <c r="N648" t="s">
        <v>2941</v>
      </c>
      <c r="O648" t="s">
        <v>121</v>
      </c>
      <c r="S648" t="s">
        <v>189</v>
      </c>
      <c r="AI648" t="s">
        <v>165</v>
      </c>
      <c r="AK648" t="s">
        <v>146</v>
      </c>
      <c r="AM648" t="s">
        <v>147</v>
      </c>
      <c r="AS648" t="s">
        <v>148</v>
      </c>
      <c r="BG648">
        <v>110</v>
      </c>
      <c r="BM648" t="s">
        <v>151</v>
      </c>
      <c r="BN648">
        <v>0</v>
      </c>
      <c r="BP648" t="s">
        <v>152</v>
      </c>
    </row>
    <row r="649" spans="1:92" x14ac:dyDescent="0.2">
      <c r="A649" t="s">
        <v>111</v>
      </c>
      <c r="B649" t="b">
        <v>1</v>
      </c>
      <c r="E649">
        <v>650</v>
      </c>
      <c r="F649" t="str">
        <f>HYPERLINK("https://portal.dnb.de/opac.htm?method=simpleSearch&amp;cqlMode=true&amp;query=idn%3D1066971919", "Portal")</f>
        <v>Portal</v>
      </c>
      <c r="G649" t="s">
        <v>115</v>
      </c>
      <c r="H649" t="s">
        <v>2942</v>
      </c>
      <c r="I649" t="s">
        <v>2943</v>
      </c>
      <c r="J649" t="s">
        <v>2944</v>
      </c>
      <c r="K649" t="s">
        <v>2944</v>
      </c>
      <c r="L649" t="s">
        <v>2944</v>
      </c>
      <c r="M649" t="s">
        <v>2788</v>
      </c>
      <c r="N649" t="s">
        <v>2945</v>
      </c>
      <c r="O649" t="s">
        <v>121</v>
      </c>
      <c r="BN649">
        <v>0</v>
      </c>
    </row>
    <row r="650" spans="1:92" x14ac:dyDescent="0.2">
      <c r="A650" t="s">
        <v>111</v>
      </c>
      <c r="B650" t="b">
        <v>1</v>
      </c>
      <c r="E650">
        <v>651</v>
      </c>
      <c r="F650" t="str">
        <f>HYPERLINK("https://portal.dnb.de/opac.htm?method=simpleSearch&amp;cqlMode=true&amp;query=idn%3D1066971633", "Portal")</f>
        <v>Portal</v>
      </c>
      <c r="G650" t="s">
        <v>133</v>
      </c>
      <c r="H650" t="s">
        <v>2946</v>
      </c>
      <c r="I650" t="s">
        <v>2947</v>
      </c>
      <c r="J650" t="s">
        <v>2948</v>
      </c>
      <c r="K650" t="s">
        <v>2948</v>
      </c>
      <c r="L650" t="s">
        <v>2948</v>
      </c>
      <c r="N650" t="s">
        <v>2949</v>
      </c>
      <c r="O650" t="s">
        <v>121</v>
      </c>
      <c r="S650" t="s">
        <v>140</v>
      </c>
      <c r="AI650" t="s">
        <v>165</v>
      </c>
      <c r="AK650" t="s">
        <v>146</v>
      </c>
      <c r="AM650" t="s">
        <v>313</v>
      </c>
      <c r="AS650" t="s">
        <v>148</v>
      </c>
      <c r="BG650">
        <v>80</v>
      </c>
      <c r="BM650" t="s">
        <v>151</v>
      </c>
      <c r="BN650">
        <v>0</v>
      </c>
      <c r="BP650" t="s">
        <v>152</v>
      </c>
    </row>
    <row r="651" spans="1:92" x14ac:dyDescent="0.2">
      <c r="A651" t="s">
        <v>111</v>
      </c>
      <c r="B651" t="b">
        <v>1</v>
      </c>
      <c r="F651" t="str">
        <f>HYPERLINK("https://portal.dnb.de/opac.htm?method=simpleSearch&amp;cqlMode=true&amp;query=idn%3D1268940860", "Portal")</f>
        <v>Portal</v>
      </c>
      <c r="G651" t="s">
        <v>300</v>
      </c>
      <c r="H651" t="s">
        <v>2950</v>
      </c>
      <c r="I651" t="s">
        <v>2951</v>
      </c>
      <c r="J651" t="s">
        <v>2952</v>
      </c>
      <c r="K651" t="s">
        <v>2952</v>
      </c>
      <c r="L651" t="s">
        <v>2952</v>
      </c>
      <c r="N651" t="s">
        <v>2797</v>
      </c>
      <c r="O651" t="s">
        <v>121</v>
      </c>
      <c r="S651" t="s">
        <v>140</v>
      </c>
      <c r="AI651" t="s">
        <v>174</v>
      </c>
      <c r="AL651" t="s">
        <v>146</v>
      </c>
      <c r="AM651" t="s">
        <v>147</v>
      </c>
      <c r="AS651" t="s">
        <v>148</v>
      </c>
      <c r="BG651">
        <v>110</v>
      </c>
      <c r="BM651" t="s">
        <v>151</v>
      </c>
      <c r="BN651">
        <v>0</v>
      </c>
      <c r="BP651" t="s">
        <v>152</v>
      </c>
      <c r="BW651" t="s">
        <v>2750</v>
      </c>
      <c r="BX651" t="s">
        <v>2953</v>
      </c>
    </row>
    <row r="652" spans="1:92" x14ac:dyDescent="0.2">
      <c r="A652" t="s">
        <v>111</v>
      </c>
      <c r="B652" t="b">
        <v>1</v>
      </c>
      <c r="E652">
        <v>654</v>
      </c>
      <c r="F652" t="str">
        <f>HYPERLINK("https://portal.dnb.de/opac.htm?method=simpleSearch&amp;cqlMode=true&amp;query=idn%3D1072184923", "Portal")</f>
        <v>Portal</v>
      </c>
      <c r="G652" t="s">
        <v>115</v>
      </c>
      <c r="H652" t="s">
        <v>2954</v>
      </c>
      <c r="I652" t="s">
        <v>2955</v>
      </c>
      <c r="J652" t="s">
        <v>2956</v>
      </c>
      <c r="K652" t="s">
        <v>2956</v>
      </c>
      <c r="L652" t="s">
        <v>2956</v>
      </c>
      <c r="N652" t="s">
        <v>1473</v>
      </c>
      <c r="O652" t="s">
        <v>121</v>
      </c>
      <c r="S652" t="s">
        <v>140</v>
      </c>
      <c r="AI652" t="s">
        <v>165</v>
      </c>
      <c r="AK652" t="s">
        <v>146</v>
      </c>
      <c r="AL652" t="s">
        <v>146</v>
      </c>
      <c r="AM652" t="s">
        <v>147</v>
      </c>
      <c r="AS652" t="s">
        <v>148</v>
      </c>
      <c r="BC652" t="s">
        <v>166</v>
      </c>
      <c r="BD652" t="s">
        <v>146</v>
      </c>
      <c r="BG652">
        <v>110</v>
      </c>
      <c r="BM652" t="s">
        <v>151</v>
      </c>
      <c r="BN652">
        <v>0</v>
      </c>
      <c r="BP652" t="s">
        <v>152</v>
      </c>
    </row>
    <row r="653" spans="1:92" x14ac:dyDescent="0.2">
      <c r="A653" t="s">
        <v>111</v>
      </c>
      <c r="B653" t="b">
        <v>1</v>
      </c>
      <c r="C653" t="s">
        <v>146</v>
      </c>
      <c r="E653">
        <v>655</v>
      </c>
      <c r="F653" t="str">
        <f>HYPERLINK("https://portal.dnb.de/opac.htm?method=simpleSearch&amp;cqlMode=true&amp;query=idn%3D1066967776", "Portal")</f>
        <v>Portal</v>
      </c>
      <c r="G653" t="s">
        <v>133</v>
      </c>
      <c r="H653" t="s">
        <v>2957</v>
      </c>
      <c r="I653" t="s">
        <v>2958</v>
      </c>
      <c r="J653" t="s">
        <v>2959</v>
      </c>
      <c r="K653" t="s">
        <v>2959</v>
      </c>
      <c r="L653" t="s">
        <v>2959</v>
      </c>
      <c r="N653" t="s">
        <v>2960</v>
      </c>
      <c r="O653" t="s">
        <v>121</v>
      </c>
      <c r="Q653" t="s">
        <v>823</v>
      </c>
      <c r="S653" t="s">
        <v>140</v>
      </c>
      <c r="AI653" t="s">
        <v>165</v>
      </c>
      <c r="AK653" t="s">
        <v>146</v>
      </c>
      <c r="AM653" t="s">
        <v>147</v>
      </c>
      <c r="AS653" t="s">
        <v>148</v>
      </c>
      <c r="BG653">
        <v>110</v>
      </c>
      <c r="BH653" t="s">
        <v>2961</v>
      </c>
      <c r="BM653" t="s">
        <v>213</v>
      </c>
      <c r="BN653">
        <v>0.5</v>
      </c>
      <c r="BP653" t="s">
        <v>152</v>
      </c>
      <c r="CA653" t="s">
        <v>146</v>
      </c>
      <c r="CD653" t="s">
        <v>202</v>
      </c>
      <c r="CF653" t="s">
        <v>146</v>
      </c>
      <c r="CM653">
        <v>0.5</v>
      </c>
      <c r="CN653" t="s">
        <v>2962</v>
      </c>
    </row>
    <row r="654" spans="1:92" x14ac:dyDescent="0.2">
      <c r="A654" t="s">
        <v>111</v>
      </c>
      <c r="B654" t="b">
        <v>1</v>
      </c>
      <c r="E654">
        <v>656</v>
      </c>
      <c r="F654" t="str">
        <f>HYPERLINK("https://portal.dnb.de/opac.htm?method=simpleSearch&amp;cqlMode=true&amp;query=idn%3D1066970823", "Portal")</f>
        <v>Portal</v>
      </c>
      <c r="G654" t="s">
        <v>133</v>
      </c>
      <c r="H654" t="s">
        <v>2963</v>
      </c>
      <c r="I654" t="s">
        <v>2964</v>
      </c>
      <c r="J654" t="s">
        <v>2965</v>
      </c>
      <c r="K654" t="s">
        <v>2965</v>
      </c>
      <c r="L654" t="s">
        <v>2965</v>
      </c>
      <c r="N654" t="s">
        <v>2318</v>
      </c>
      <c r="O654" t="s">
        <v>121</v>
      </c>
      <c r="S654" t="s">
        <v>140</v>
      </c>
      <c r="AI654" t="s">
        <v>145</v>
      </c>
      <c r="AL654" t="s">
        <v>146</v>
      </c>
      <c r="AM654" t="s">
        <v>313</v>
      </c>
      <c r="AS654" t="s">
        <v>148</v>
      </c>
      <c r="BG654">
        <v>110</v>
      </c>
      <c r="BK654" t="s">
        <v>146</v>
      </c>
      <c r="BM654" t="s">
        <v>151</v>
      </c>
      <c r="BN654">
        <v>0</v>
      </c>
      <c r="BP654" t="s">
        <v>278</v>
      </c>
    </row>
    <row r="655" spans="1:92" x14ac:dyDescent="0.2">
      <c r="A655" t="s">
        <v>111</v>
      </c>
      <c r="B655" t="b">
        <v>1</v>
      </c>
      <c r="F655" t="str">
        <f>HYPERLINK("https://portal.dnb.de/opac.htm?method=simpleSearch&amp;cqlMode=true&amp;query=idn%3D1268940054", "Portal")</f>
        <v>Portal</v>
      </c>
      <c r="G655" t="s">
        <v>300</v>
      </c>
      <c r="H655" t="s">
        <v>2966</v>
      </c>
      <c r="I655" t="s">
        <v>2967</v>
      </c>
      <c r="J655" t="s">
        <v>2968</v>
      </c>
      <c r="K655" t="s">
        <v>2968</v>
      </c>
      <c r="L655" t="s">
        <v>2968</v>
      </c>
      <c r="N655" t="s">
        <v>2797</v>
      </c>
      <c r="O655" t="s">
        <v>121</v>
      </c>
      <c r="S655" t="s">
        <v>140</v>
      </c>
      <c r="AI655" t="s">
        <v>182</v>
      </c>
      <c r="AJ655" t="s">
        <v>2883</v>
      </c>
      <c r="AK655" t="s">
        <v>146</v>
      </c>
      <c r="AL655" t="s">
        <v>146</v>
      </c>
      <c r="AM655" t="s">
        <v>266</v>
      </c>
      <c r="AS655" t="s">
        <v>148</v>
      </c>
      <c r="BE655">
        <v>2</v>
      </c>
      <c r="BF655" t="s">
        <v>146</v>
      </c>
      <c r="BG655">
        <v>60</v>
      </c>
      <c r="BM655" t="s">
        <v>151</v>
      </c>
      <c r="BN655">
        <v>0</v>
      </c>
      <c r="BP655" t="s">
        <v>152</v>
      </c>
      <c r="BV655" t="s">
        <v>2969</v>
      </c>
    </row>
    <row r="656" spans="1:92" x14ac:dyDescent="0.2">
      <c r="A656" t="s">
        <v>111</v>
      </c>
      <c r="B656" t="b">
        <v>1</v>
      </c>
      <c r="E656">
        <v>660</v>
      </c>
      <c r="F656" t="str">
        <f>HYPERLINK("https://portal.dnb.de/opac.htm?method=simpleSearch&amp;cqlMode=true&amp;query=idn%3D1066967261", "Portal")</f>
        <v>Portal</v>
      </c>
      <c r="G656" t="s">
        <v>133</v>
      </c>
      <c r="H656" t="s">
        <v>2970</v>
      </c>
      <c r="I656" t="s">
        <v>2971</v>
      </c>
      <c r="J656" t="s">
        <v>2972</v>
      </c>
      <c r="K656" t="s">
        <v>2972</v>
      </c>
      <c r="L656" t="s">
        <v>2972</v>
      </c>
      <c r="N656" t="s">
        <v>2973</v>
      </c>
      <c r="O656" t="s">
        <v>121</v>
      </c>
      <c r="S656" t="s">
        <v>189</v>
      </c>
      <c r="AI656" t="s">
        <v>182</v>
      </c>
      <c r="AL656" t="s">
        <v>146</v>
      </c>
      <c r="AM656" t="s">
        <v>266</v>
      </c>
      <c r="AS656" t="s">
        <v>148</v>
      </c>
      <c r="BG656" t="s">
        <v>150</v>
      </c>
      <c r="BM656" t="s">
        <v>151</v>
      </c>
      <c r="BN656">
        <v>0</v>
      </c>
      <c r="BP656" t="s">
        <v>278</v>
      </c>
      <c r="BV656" t="s">
        <v>2974</v>
      </c>
    </row>
    <row r="657" spans="1:92" x14ac:dyDescent="0.2">
      <c r="A657" t="s">
        <v>111</v>
      </c>
      <c r="B657" t="b">
        <v>1</v>
      </c>
      <c r="E657">
        <v>661</v>
      </c>
      <c r="F657" t="str">
        <f>HYPERLINK("https://portal.dnb.de/opac.htm?method=simpleSearch&amp;cqlMode=true&amp;query=idn%3D1072381877", "Portal")</f>
        <v>Portal</v>
      </c>
      <c r="G657" t="s">
        <v>115</v>
      </c>
      <c r="H657" t="s">
        <v>2975</v>
      </c>
      <c r="I657" t="s">
        <v>2976</v>
      </c>
      <c r="J657" t="s">
        <v>2977</v>
      </c>
      <c r="K657" t="s">
        <v>2977</v>
      </c>
      <c r="L657" t="s">
        <v>2977</v>
      </c>
      <c r="N657" t="s">
        <v>2978</v>
      </c>
      <c r="O657" t="s">
        <v>121</v>
      </c>
      <c r="S657" t="s">
        <v>140</v>
      </c>
      <c r="AI657" t="s">
        <v>165</v>
      </c>
      <c r="AK657" t="s">
        <v>146</v>
      </c>
      <c r="AM657" t="s">
        <v>147</v>
      </c>
      <c r="AS657" t="s">
        <v>148</v>
      </c>
      <c r="BG657">
        <v>110</v>
      </c>
      <c r="BM657" t="s">
        <v>151</v>
      </c>
      <c r="BN657">
        <v>0</v>
      </c>
      <c r="BP657" t="s">
        <v>152</v>
      </c>
    </row>
    <row r="658" spans="1:92" x14ac:dyDescent="0.2">
      <c r="A658" t="s">
        <v>111</v>
      </c>
      <c r="B658" t="b">
        <v>1</v>
      </c>
      <c r="E658">
        <v>662</v>
      </c>
      <c r="F658" t="str">
        <f>HYPERLINK("https://portal.dnb.de/opac.htm?method=simpleSearch&amp;cqlMode=true&amp;query=idn%3D1066967725", "Portal")</f>
        <v>Portal</v>
      </c>
      <c r="G658" t="s">
        <v>133</v>
      </c>
      <c r="H658" t="s">
        <v>2979</v>
      </c>
      <c r="I658" t="s">
        <v>2980</v>
      </c>
      <c r="J658" t="s">
        <v>2981</v>
      </c>
      <c r="K658" t="s">
        <v>2981</v>
      </c>
      <c r="L658" t="s">
        <v>2981</v>
      </c>
      <c r="N658" t="s">
        <v>2982</v>
      </c>
      <c r="O658" t="s">
        <v>121</v>
      </c>
      <c r="Q658" t="s">
        <v>2610</v>
      </c>
      <c r="S658" t="s">
        <v>140</v>
      </c>
      <c r="AI658" t="s">
        <v>165</v>
      </c>
      <c r="AK658" t="s">
        <v>146</v>
      </c>
      <c r="AM658" t="s">
        <v>147</v>
      </c>
      <c r="AS658" t="s">
        <v>148</v>
      </c>
      <c r="BG658">
        <v>45</v>
      </c>
      <c r="BM658" t="s">
        <v>151</v>
      </c>
      <c r="BN658">
        <v>0</v>
      </c>
      <c r="BP658" t="s">
        <v>152</v>
      </c>
      <c r="BV658" t="s">
        <v>2749</v>
      </c>
      <c r="BW658" t="s">
        <v>2983</v>
      </c>
      <c r="BX658" t="s">
        <v>2984</v>
      </c>
    </row>
    <row r="659" spans="1:92" x14ac:dyDescent="0.2">
      <c r="A659" t="s">
        <v>111</v>
      </c>
      <c r="B659" t="b">
        <v>1</v>
      </c>
      <c r="E659">
        <v>663</v>
      </c>
      <c r="F659" t="str">
        <f>HYPERLINK("https://portal.dnb.de/opac.htm?method=simpleSearch&amp;cqlMode=true&amp;query=idn%3D1066972079", "Portal")</f>
        <v>Portal</v>
      </c>
      <c r="G659" t="s">
        <v>133</v>
      </c>
      <c r="H659" t="s">
        <v>2985</v>
      </c>
      <c r="I659" t="s">
        <v>2986</v>
      </c>
      <c r="J659" t="s">
        <v>2987</v>
      </c>
      <c r="K659" t="s">
        <v>2987</v>
      </c>
      <c r="L659" t="s">
        <v>2987</v>
      </c>
      <c r="M659" t="s">
        <v>2788</v>
      </c>
      <c r="N659" t="s">
        <v>2988</v>
      </c>
      <c r="O659" t="s">
        <v>121</v>
      </c>
      <c r="BN659">
        <v>0</v>
      </c>
    </row>
    <row r="660" spans="1:92" x14ac:dyDescent="0.2">
      <c r="A660" t="s">
        <v>111</v>
      </c>
      <c r="B660" t="b">
        <v>1</v>
      </c>
      <c r="E660">
        <v>665</v>
      </c>
      <c r="F660" t="str">
        <f>HYPERLINK("https://portal.dnb.de/opac.htm?method=simpleSearch&amp;cqlMode=true&amp;query=idn%3D106707564X", "Portal")</f>
        <v>Portal</v>
      </c>
      <c r="G660" t="s">
        <v>539</v>
      </c>
      <c r="H660" t="s">
        <v>2989</v>
      </c>
      <c r="I660" t="s">
        <v>2990</v>
      </c>
      <c r="J660" t="s">
        <v>2991</v>
      </c>
      <c r="K660" t="s">
        <v>2991</v>
      </c>
      <c r="L660" t="s">
        <v>2991</v>
      </c>
      <c r="N660" t="s">
        <v>2992</v>
      </c>
      <c r="O660" t="s">
        <v>2993</v>
      </c>
      <c r="S660" t="s">
        <v>140</v>
      </c>
      <c r="AI660" t="s">
        <v>145</v>
      </c>
      <c r="AM660" t="s">
        <v>313</v>
      </c>
      <c r="AS660" t="s">
        <v>148</v>
      </c>
      <c r="BG660">
        <v>60</v>
      </c>
      <c r="BM660" t="s">
        <v>151</v>
      </c>
      <c r="BN660">
        <v>0</v>
      </c>
      <c r="BP660" t="s">
        <v>152</v>
      </c>
    </row>
    <row r="661" spans="1:92" x14ac:dyDescent="0.2">
      <c r="A661" t="s">
        <v>111</v>
      </c>
      <c r="B661" t="b">
        <v>1</v>
      </c>
      <c r="F661" t="str">
        <f>HYPERLINK("https://portal.dnb.de/opac.htm?method=simpleSearch&amp;cqlMode=true&amp;query=idn%3D126896333X", "Portal")</f>
        <v>Portal</v>
      </c>
      <c r="G661" t="s">
        <v>300</v>
      </c>
      <c r="H661" t="s">
        <v>2994</v>
      </c>
      <c r="I661" t="s">
        <v>2995</v>
      </c>
      <c r="J661" t="s">
        <v>2996</v>
      </c>
      <c r="K661" t="s">
        <v>2997</v>
      </c>
      <c r="L661" t="s">
        <v>2997</v>
      </c>
      <c r="N661" t="s">
        <v>2797</v>
      </c>
      <c r="O661" t="s">
        <v>121</v>
      </c>
      <c r="S661" t="s">
        <v>140</v>
      </c>
      <c r="AI661" t="s">
        <v>182</v>
      </c>
      <c r="AK661" t="s">
        <v>146</v>
      </c>
      <c r="AM661" t="s">
        <v>313</v>
      </c>
      <c r="AS661" t="s">
        <v>148</v>
      </c>
      <c r="BG661">
        <v>110</v>
      </c>
      <c r="BM661" t="s">
        <v>151</v>
      </c>
      <c r="BN661">
        <v>0</v>
      </c>
      <c r="BP661" t="s">
        <v>152</v>
      </c>
    </row>
    <row r="662" spans="1:92" x14ac:dyDescent="0.2">
      <c r="A662" t="s">
        <v>111</v>
      </c>
      <c r="B662" t="b">
        <v>1</v>
      </c>
      <c r="E662">
        <v>667</v>
      </c>
      <c r="F662" t="str">
        <f>HYPERLINK("https://portal.dnb.de/opac.htm?method=simpleSearch&amp;cqlMode=true&amp;query=idn%3D1066965994", "Portal")</f>
        <v>Portal</v>
      </c>
      <c r="G662" t="s">
        <v>133</v>
      </c>
      <c r="H662" t="s">
        <v>2998</v>
      </c>
      <c r="I662" t="s">
        <v>2999</v>
      </c>
      <c r="J662" t="s">
        <v>3000</v>
      </c>
      <c r="K662" t="s">
        <v>3000</v>
      </c>
      <c r="L662" t="s">
        <v>3000</v>
      </c>
      <c r="N662" t="s">
        <v>3001</v>
      </c>
      <c r="O662" t="s">
        <v>121</v>
      </c>
      <c r="S662" t="s">
        <v>189</v>
      </c>
      <c r="AI662" t="s">
        <v>518</v>
      </c>
      <c r="AK662" t="s">
        <v>146</v>
      </c>
      <c r="AM662" t="s">
        <v>147</v>
      </c>
      <c r="AS662" t="s">
        <v>148</v>
      </c>
      <c r="AT662" t="s">
        <v>146</v>
      </c>
      <c r="BC662" t="s">
        <v>166</v>
      </c>
      <c r="BD662" t="s">
        <v>146</v>
      </c>
      <c r="BG662">
        <v>110</v>
      </c>
      <c r="BM662" t="s">
        <v>151</v>
      </c>
      <c r="BN662">
        <v>0</v>
      </c>
      <c r="BP662" t="s">
        <v>152</v>
      </c>
    </row>
    <row r="663" spans="1:92" x14ac:dyDescent="0.2">
      <c r="A663" t="s">
        <v>111</v>
      </c>
      <c r="B663" t="b">
        <v>1</v>
      </c>
      <c r="E663">
        <v>668</v>
      </c>
      <c r="F663" t="str">
        <f>HYPERLINK("https://portal.dnb.de/opac.htm?method=simpleSearch&amp;cqlMode=true&amp;query=idn%3D1066968144", "Portal")</f>
        <v>Portal</v>
      </c>
      <c r="G663" t="s">
        <v>133</v>
      </c>
      <c r="H663" t="s">
        <v>3002</v>
      </c>
      <c r="I663" t="s">
        <v>3003</v>
      </c>
      <c r="J663" t="s">
        <v>3004</v>
      </c>
      <c r="K663" t="s">
        <v>3004</v>
      </c>
      <c r="L663" t="s">
        <v>3004</v>
      </c>
      <c r="N663" t="s">
        <v>3005</v>
      </c>
      <c r="O663" t="s">
        <v>121</v>
      </c>
      <c r="S663" t="s">
        <v>189</v>
      </c>
      <c r="AI663" t="s">
        <v>518</v>
      </c>
      <c r="AK663" t="s">
        <v>146</v>
      </c>
      <c r="AM663" t="s">
        <v>147</v>
      </c>
      <c r="AS663" t="s">
        <v>148</v>
      </c>
      <c r="BC663" t="s">
        <v>669</v>
      </c>
      <c r="BD663" t="s">
        <v>146</v>
      </c>
      <c r="BG663">
        <v>110</v>
      </c>
      <c r="BM663" t="s">
        <v>151</v>
      </c>
      <c r="BN663">
        <v>0</v>
      </c>
      <c r="BP663" t="s">
        <v>152</v>
      </c>
    </row>
    <row r="664" spans="1:92" x14ac:dyDescent="0.2">
      <c r="A664" t="s">
        <v>111</v>
      </c>
      <c r="B664" t="b">
        <v>1</v>
      </c>
      <c r="F664" t="str">
        <f>HYPERLINK("https://portal.dnb.de/opac.htm?method=simpleSearch&amp;cqlMode=true&amp;query=idn%3D1268941085", "Portal")</f>
        <v>Portal</v>
      </c>
      <c r="G664" t="s">
        <v>300</v>
      </c>
      <c r="H664" t="s">
        <v>3006</v>
      </c>
      <c r="I664" t="s">
        <v>3007</v>
      </c>
      <c r="J664" t="s">
        <v>3008</v>
      </c>
      <c r="K664" t="s">
        <v>3008</v>
      </c>
      <c r="L664" t="s">
        <v>3008</v>
      </c>
      <c r="N664" t="s">
        <v>2797</v>
      </c>
      <c r="O664" t="s">
        <v>121</v>
      </c>
      <c r="S664" t="s">
        <v>140</v>
      </c>
      <c r="AI664" t="s">
        <v>182</v>
      </c>
      <c r="AL664" t="s">
        <v>146</v>
      </c>
      <c r="AM664" t="s">
        <v>266</v>
      </c>
      <c r="AS664" t="s">
        <v>148</v>
      </c>
      <c r="BG664">
        <v>110</v>
      </c>
      <c r="BM664" t="s">
        <v>151</v>
      </c>
      <c r="BN664">
        <v>0</v>
      </c>
      <c r="BP664" t="s">
        <v>152</v>
      </c>
      <c r="BV664" t="s">
        <v>3009</v>
      </c>
      <c r="BW664" t="s">
        <v>2750</v>
      </c>
      <c r="BX664" t="s">
        <v>2953</v>
      </c>
    </row>
    <row r="665" spans="1:92" x14ac:dyDescent="0.2">
      <c r="A665" t="s">
        <v>111</v>
      </c>
      <c r="B665" t="b">
        <v>1</v>
      </c>
      <c r="C665" t="s">
        <v>146</v>
      </c>
      <c r="E665">
        <v>671</v>
      </c>
      <c r="F665" t="str">
        <f>HYPERLINK("https://portal.dnb.de/opac.htm?method=simpleSearch&amp;cqlMode=true&amp;query=idn%3D1066970572", "Portal")</f>
        <v>Portal</v>
      </c>
      <c r="G665" t="s">
        <v>133</v>
      </c>
      <c r="H665" t="s">
        <v>3010</v>
      </c>
      <c r="I665" t="s">
        <v>3011</v>
      </c>
      <c r="J665" t="s">
        <v>3012</v>
      </c>
      <c r="K665" t="s">
        <v>3012</v>
      </c>
      <c r="L665" t="s">
        <v>3012</v>
      </c>
      <c r="N665" t="s">
        <v>1158</v>
      </c>
      <c r="O665" t="s">
        <v>121</v>
      </c>
      <c r="Q665" t="s">
        <v>2870</v>
      </c>
      <c r="S665" t="s">
        <v>140</v>
      </c>
      <c r="AI665" t="s">
        <v>182</v>
      </c>
      <c r="AK665" t="s">
        <v>146</v>
      </c>
      <c r="AM665" t="s">
        <v>313</v>
      </c>
      <c r="AS665" t="s">
        <v>148</v>
      </c>
      <c r="BG665">
        <v>60</v>
      </c>
      <c r="BH665" t="s">
        <v>3013</v>
      </c>
      <c r="BM665" t="s">
        <v>213</v>
      </c>
      <c r="BN665">
        <v>5</v>
      </c>
      <c r="BP665" t="s">
        <v>152</v>
      </c>
      <c r="CA665" t="s">
        <v>146</v>
      </c>
      <c r="CB665" t="s">
        <v>146</v>
      </c>
      <c r="CD665" t="s">
        <v>228</v>
      </c>
      <c r="CF665" t="s">
        <v>146</v>
      </c>
      <c r="CM665">
        <v>5</v>
      </c>
      <c r="CN665" t="s">
        <v>3014</v>
      </c>
    </row>
    <row r="666" spans="1:92" x14ac:dyDescent="0.2">
      <c r="A666" t="s">
        <v>111</v>
      </c>
      <c r="B666" t="b">
        <v>1</v>
      </c>
      <c r="E666">
        <v>672</v>
      </c>
      <c r="F666" t="str">
        <f>HYPERLINK("https://portal.dnb.de/opac.htm?method=simpleSearch&amp;cqlMode=true&amp;query=idn%3D1066971064", "Portal")</f>
        <v>Portal</v>
      </c>
      <c r="G666" t="s">
        <v>115</v>
      </c>
      <c r="H666" t="s">
        <v>3015</v>
      </c>
      <c r="I666" t="s">
        <v>3016</v>
      </c>
      <c r="J666" t="s">
        <v>3017</v>
      </c>
      <c r="K666" t="s">
        <v>3017</v>
      </c>
      <c r="L666" t="s">
        <v>3017</v>
      </c>
      <c r="M666" t="s">
        <v>2788</v>
      </c>
      <c r="N666" t="s">
        <v>2059</v>
      </c>
      <c r="O666" t="s">
        <v>121</v>
      </c>
      <c r="BN666">
        <v>0</v>
      </c>
    </row>
    <row r="667" spans="1:92" x14ac:dyDescent="0.2">
      <c r="A667" t="s">
        <v>111</v>
      </c>
      <c r="B667" t="b">
        <v>1</v>
      </c>
      <c r="E667">
        <v>673</v>
      </c>
      <c r="F667" t="str">
        <f>HYPERLINK("https://portal.dnb.de/opac.htm?method=simpleSearch&amp;cqlMode=true&amp;query=idn%3D1066970343", "Portal")</f>
        <v>Portal</v>
      </c>
      <c r="G667" t="s">
        <v>133</v>
      </c>
      <c r="H667" t="s">
        <v>3018</v>
      </c>
      <c r="I667" t="s">
        <v>3019</v>
      </c>
      <c r="J667" t="s">
        <v>3020</v>
      </c>
      <c r="K667" t="s">
        <v>3020</v>
      </c>
      <c r="L667" t="s">
        <v>3020</v>
      </c>
      <c r="N667" t="s">
        <v>3021</v>
      </c>
      <c r="O667" t="s">
        <v>121</v>
      </c>
      <c r="S667" t="s">
        <v>140</v>
      </c>
      <c r="AI667" t="s">
        <v>182</v>
      </c>
      <c r="AK667" t="s">
        <v>146</v>
      </c>
      <c r="AM667" t="s">
        <v>266</v>
      </c>
      <c r="AS667" t="s">
        <v>148</v>
      </c>
      <c r="AU667" t="s">
        <v>146</v>
      </c>
      <c r="BG667">
        <v>60</v>
      </c>
      <c r="BL667" t="s">
        <v>146</v>
      </c>
      <c r="BM667" t="s">
        <v>151</v>
      </c>
      <c r="BN667">
        <v>0</v>
      </c>
      <c r="BP667" t="s">
        <v>152</v>
      </c>
    </row>
    <row r="668" spans="1:92" x14ac:dyDescent="0.2">
      <c r="A668" t="s">
        <v>111</v>
      </c>
      <c r="B668" t="b">
        <v>1</v>
      </c>
      <c r="E668">
        <v>674</v>
      </c>
      <c r="F668" t="str">
        <f>HYPERLINK("https://portal.dnb.de/opac.htm?method=simpleSearch&amp;cqlMode=true&amp;query=idn%3D1066970343", "Portal")</f>
        <v>Portal</v>
      </c>
      <c r="G668" t="s">
        <v>133</v>
      </c>
      <c r="H668" t="s">
        <v>3022</v>
      </c>
      <c r="I668" t="s">
        <v>3019</v>
      </c>
      <c r="J668" t="s">
        <v>3023</v>
      </c>
      <c r="K668" t="s">
        <v>3023</v>
      </c>
      <c r="L668" t="s">
        <v>3023</v>
      </c>
      <c r="N668" t="s">
        <v>3021</v>
      </c>
      <c r="O668" t="s">
        <v>121</v>
      </c>
      <c r="S668" t="s">
        <v>140</v>
      </c>
      <c r="AI668" t="s">
        <v>145</v>
      </c>
      <c r="AL668" t="s">
        <v>146</v>
      </c>
      <c r="AM668" t="s">
        <v>266</v>
      </c>
      <c r="AS668" t="s">
        <v>148</v>
      </c>
      <c r="BG668">
        <v>110</v>
      </c>
      <c r="BK668" t="s">
        <v>146</v>
      </c>
      <c r="BL668" t="s">
        <v>146</v>
      </c>
      <c r="BM668" t="s">
        <v>151</v>
      </c>
      <c r="BN668">
        <v>0</v>
      </c>
      <c r="BS668" t="s">
        <v>146</v>
      </c>
    </row>
    <row r="669" spans="1:92" x14ac:dyDescent="0.2">
      <c r="A669" t="s">
        <v>111</v>
      </c>
      <c r="B669" t="b">
        <v>1</v>
      </c>
      <c r="E669">
        <v>675</v>
      </c>
      <c r="F669" t="str">
        <f>HYPERLINK("https://portal.dnb.de/opac.htm?method=simpleSearch&amp;cqlMode=true&amp;query=idn%3D1066966796", "Portal")</f>
        <v>Portal</v>
      </c>
      <c r="G669" t="s">
        <v>133</v>
      </c>
      <c r="H669" t="s">
        <v>3024</v>
      </c>
      <c r="I669" t="s">
        <v>3025</v>
      </c>
      <c r="J669" t="s">
        <v>3026</v>
      </c>
      <c r="K669" t="s">
        <v>3026</v>
      </c>
      <c r="L669" t="s">
        <v>3027</v>
      </c>
      <c r="N669" t="s">
        <v>3028</v>
      </c>
      <c r="O669" t="s">
        <v>121</v>
      </c>
      <c r="S669" t="s">
        <v>140</v>
      </c>
      <c r="AI669" t="s">
        <v>165</v>
      </c>
      <c r="AK669" t="s">
        <v>146</v>
      </c>
      <c r="AM669" t="s">
        <v>266</v>
      </c>
      <c r="AS669" t="s">
        <v>148</v>
      </c>
      <c r="BG669">
        <v>110</v>
      </c>
      <c r="BM669" t="s">
        <v>151</v>
      </c>
      <c r="BN669">
        <v>0</v>
      </c>
      <c r="BQ669" t="s">
        <v>3029</v>
      </c>
      <c r="BV669" t="s">
        <v>3030</v>
      </c>
      <c r="BW669" t="s">
        <v>2750</v>
      </c>
      <c r="BX669" t="s">
        <v>3031</v>
      </c>
    </row>
    <row r="670" spans="1:92" x14ac:dyDescent="0.2">
      <c r="A670" t="s">
        <v>111</v>
      </c>
      <c r="B670" t="b">
        <v>0</v>
      </c>
      <c r="F670" t="str">
        <f>HYPERLINK("https://portal.dnb.de/opac.htm?method=simpleSearch&amp;cqlMode=true&amp;query=idn%3D", "Portal")</f>
        <v>Portal</v>
      </c>
      <c r="L670" t="s">
        <v>3032</v>
      </c>
      <c r="S670" t="s">
        <v>140</v>
      </c>
      <c r="AI670" t="s">
        <v>174</v>
      </c>
      <c r="AL670" t="s">
        <v>146</v>
      </c>
      <c r="AM670" t="s">
        <v>266</v>
      </c>
      <c r="AS670" t="s">
        <v>148</v>
      </c>
      <c r="BG670">
        <v>110</v>
      </c>
      <c r="BM670" t="s">
        <v>151</v>
      </c>
      <c r="BN670">
        <v>0</v>
      </c>
      <c r="BP670" t="s">
        <v>278</v>
      </c>
    </row>
    <row r="671" spans="1:92" x14ac:dyDescent="0.2">
      <c r="A671" t="s">
        <v>111</v>
      </c>
      <c r="B671" t="b">
        <v>1</v>
      </c>
      <c r="E671">
        <v>676</v>
      </c>
      <c r="F671" t="str">
        <f>HYPERLINK("https://portal.dnb.de/opac.htm?method=simpleSearch&amp;cqlMode=true&amp;query=idn%3D1066965439", "Portal")</f>
        <v>Portal</v>
      </c>
      <c r="G671" t="s">
        <v>133</v>
      </c>
      <c r="H671" t="s">
        <v>3033</v>
      </c>
      <c r="I671" t="s">
        <v>3034</v>
      </c>
      <c r="J671" t="s">
        <v>3035</v>
      </c>
      <c r="K671" t="s">
        <v>3035</v>
      </c>
      <c r="L671" t="s">
        <v>3035</v>
      </c>
      <c r="N671" t="s">
        <v>3036</v>
      </c>
      <c r="O671" t="s">
        <v>121</v>
      </c>
      <c r="S671" t="s">
        <v>140</v>
      </c>
      <c r="AI671" t="s">
        <v>165</v>
      </c>
      <c r="AK671" t="s">
        <v>146</v>
      </c>
      <c r="AM671" t="s">
        <v>147</v>
      </c>
      <c r="AS671" t="s">
        <v>148</v>
      </c>
      <c r="BC671" t="s">
        <v>669</v>
      </c>
      <c r="BD671" t="s">
        <v>146</v>
      </c>
      <c r="BG671">
        <v>110</v>
      </c>
      <c r="BM671" t="s">
        <v>151</v>
      </c>
      <c r="BN671">
        <v>0</v>
      </c>
      <c r="BP671" t="s">
        <v>152</v>
      </c>
      <c r="BW671" t="s">
        <v>2750</v>
      </c>
      <c r="BX671" t="s">
        <v>3037</v>
      </c>
    </row>
    <row r="672" spans="1:92" x14ac:dyDescent="0.2">
      <c r="A672" t="s">
        <v>111</v>
      </c>
      <c r="B672" t="b">
        <v>1</v>
      </c>
      <c r="E672">
        <v>677</v>
      </c>
      <c r="F672" t="str">
        <f>HYPERLINK("https://portal.dnb.de/opac.htm?method=simpleSearch&amp;cqlMode=true&amp;query=idn%3D1072382814", "Portal")</f>
        <v>Portal</v>
      </c>
      <c r="G672" t="s">
        <v>115</v>
      </c>
      <c r="H672" t="s">
        <v>3038</v>
      </c>
      <c r="I672" t="s">
        <v>3039</v>
      </c>
      <c r="J672" t="s">
        <v>3040</v>
      </c>
      <c r="K672" t="s">
        <v>3040</v>
      </c>
      <c r="L672" t="s">
        <v>3040</v>
      </c>
      <c r="N672" t="s">
        <v>3041</v>
      </c>
      <c r="O672" t="s">
        <v>121</v>
      </c>
      <c r="S672" t="s">
        <v>140</v>
      </c>
      <c r="AI672" t="s">
        <v>165</v>
      </c>
      <c r="AK672" t="s">
        <v>146</v>
      </c>
      <c r="AM672" t="s">
        <v>147</v>
      </c>
      <c r="AS672" t="s">
        <v>148</v>
      </c>
      <c r="BG672">
        <v>110</v>
      </c>
      <c r="BM672" t="s">
        <v>151</v>
      </c>
      <c r="BN672">
        <v>0</v>
      </c>
      <c r="BP672" t="s">
        <v>152</v>
      </c>
    </row>
    <row r="673" spans="1:92" x14ac:dyDescent="0.2">
      <c r="A673" t="s">
        <v>111</v>
      </c>
      <c r="B673" t="b">
        <v>1</v>
      </c>
      <c r="E673">
        <v>678</v>
      </c>
      <c r="F673" t="str">
        <f>HYPERLINK("https://portal.dnb.de/opac.htm?method=simpleSearch&amp;cqlMode=true&amp;query=idn%3D107218866X", "Portal")</f>
        <v>Portal</v>
      </c>
      <c r="G673" t="s">
        <v>115</v>
      </c>
      <c r="H673" t="s">
        <v>3042</v>
      </c>
      <c r="I673" t="s">
        <v>3043</v>
      </c>
      <c r="J673" t="s">
        <v>3044</v>
      </c>
      <c r="K673" t="s">
        <v>3044</v>
      </c>
      <c r="L673" t="s">
        <v>3044</v>
      </c>
      <c r="N673" t="s">
        <v>3045</v>
      </c>
      <c r="O673" t="s">
        <v>121</v>
      </c>
      <c r="S673" t="s">
        <v>189</v>
      </c>
      <c r="AI673" t="s">
        <v>3046</v>
      </c>
      <c r="AM673" t="s">
        <v>266</v>
      </c>
      <c r="AS673" t="s">
        <v>148</v>
      </c>
      <c r="BG673">
        <v>110</v>
      </c>
      <c r="BM673" t="s">
        <v>151</v>
      </c>
      <c r="BN673">
        <v>0</v>
      </c>
      <c r="BS673" t="s">
        <v>146</v>
      </c>
    </row>
    <row r="674" spans="1:92" x14ac:dyDescent="0.2">
      <c r="A674" t="s">
        <v>111</v>
      </c>
      <c r="B674" t="b">
        <v>1</v>
      </c>
      <c r="C674" t="s">
        <v>146</v>
      </c>
      <c r="E674">
        <v>679</v>
      </c>
      <c r="F674" t="str">
        <f>HYPERLINK("https://portal.dnb.de/opac.htm?method=simpleSearch&amp;cqlMode=true&amp;query=idn%3D1072254964", "Portal")</f>
        <v>Portal</v>
      </c>
      <c r="G674" t="s">
        <v>115</v>
      </c>
      <c r="H674" t="s">
        <v>3047</v>
      </c>
      <c r="I674" t="s">
        <v>3048</v>
      </c>
      <c r="J674" t="s">
        <v>3049</v>
      </c>
      <c r="K674" t="s">
        <v>3049</v>
      </c>
      <c r="L674" t="s">
        <v>3049</v>
      </c>
      <c r="N674" t="s">
        <v>3050</v>
      </c>
      <c r="O674" t="s">
        <v>121</v>
      </c>
      <c r="Q674" t="s">
        <v>659</v>
      </c>
      <c r="S674" t="s">
        <v>140</v>
      </c>
      <c r="AI674" t="s">
        <v>165</v>
      </c>
      <c r="AK674" t="s">
        <v>146</v>
      </c>
      <c r="AM674" t="s">
        <v>147</v>
      </c>
      <c r="AS674" t="s">
        <v>148</v>
      </c>
      <c r="BG674">
        <v>60</v>
      </c>
      <c r="BM674" t="s">
        <v>213</v>
      </c>
      <c r="BN674">
        <v>0.5</v>
      </c>
      <c r="BP674" t="s">
        <v>152</v>
      </c>
      <c r="CA674" t="s">
        <v>146</v>
      </c>
      <c r="CB674" t="s">
        <v>146</v>
      </c>
      <c r="CD674" t="s">
        <v>237</v>
      </c>
      <c r="CM674">
        <v>0.5</v>
      </c>
      <c r="CN674" t="s">
        <v>3051</v>
      </c>
    </row>
    <row r="675" spans="1:92" x14ac:dyDescent="0.2">
      <c r="A675" t="s">
        <v>111</v>
      </c>
      <c r="B675" t="b">
        <v>1</v>
      </c>
      <c r="E675">
        <v>680</v>
      </c>
      <c r="F675" t="str">
        <f>HYPERLINK("https://portal.dnb.de/opac.htm?method=simpleSearch&amp;cqlMode=true&amp;query=idn%3D1072255812", "Portal")</f>
        <v>Portal</v>
      </c>
      <c r="G675" t="s">
        <v>115</v>
      </c>
      <c r="H675" t="s">
        <v>3052</v>
      </c>
      <c r="I675" t="s">
        <v>3053</v>
      </c>
      <c r="J675" t="s">
        <v>3054</v>
      </c>
      <c r="K675" t="s">
        <v>3054</v>
      </c>
      <c r="L675" t="s">
        <v>3054</v>
      </c>
      <c r="N675" t="s">
        <v>1598</v>
      </c>
      <c r="O675" t="s">
        <v>121</v>
      </c>
      <c r="S675" t="s">
        <v>189</v>
      </c>
      <c r="AI675" t="s">
        <v>3046</v>
      </c>
      <c r="AM675" t="s">
        <v>266</v>
      </c>
      <c r="AS675" t="s">
        <v>148</v>
      </c>
      <c r="BC675" t="s">
        <v>166</v>
      </c>
      <c r="BD675" t="s">
        <v>146</v>
      </c>
      <c r="BG675">
        <v>110</v>
      </c>
      <c r="BM675" t="s">
        <v>151</v>
      </c>
      <c r="BN675">
        <v>0</v>
      </c>
      <c r="BS675" t="s">
        <v>146</v>
      </c>
    </row>
    <row r="676" spans="1:92" x14ac:dyDescent="0.2">
      <c r="A676" t="s">
        <v>111</v>
      </c>
      <c r="B676" t="b">
        <v>1</v>
      </c>
      <c r="E676">
        <v>681</v>
      </c>
      <c r="F676" t="str">
        <f>HYPERLINK("https://portal.dnb.de/opac.htm?method=simpleSearch&amp;cqlMode=true&amp;query=idn%3D1072189011", "Portal")</f>
        <v>Portal</v>
      </c>
      <c r="G676" t="s">
        <v>115</v>
      </c>
      <c r="H676" t="s">
        <v>3055</v>
      </c>
      <c r="I676" t="s">
        <v>3056</v>
      </c>
      <c r="J676" t="s">
        <v>3057</v>
      </c>
      <c r="K676" t="s">
        <v>3057</v>
      </c>
      <c r="L676" t="s">
        <v>3057</v>
      </c>
      <c r="N676" t="s">
        <v>3058</v>
      </c>
      <c r="O676" t="s">
        <v>121</v>
      </c>
      <c r="S676" t="s">
        <v>140</v>
      </c>
      <c r="AI676" t="s">
        <v>182</v>
      </c>
      <c r="AL676" t="s">
        <v>146</v>
      </c>
      <c r="AM676" t="s">
        <v>266</v>
      </c>
      <c r="AS676" t="s">
        <v>148</v>
      </c>
      <c r="AX676" t="s">
        <v>146</v>
      </c>
      <c r="BG676">
        <v>110</v>
      </c>
      <c r="BM676" t="s">
        <v>151</v>
      </c>
      <c r="BN676">
        <v>0</v>
      </c>
      <c r="BP676" t="s">
        <v>278</v>
      </c>
      <c r="BV676" t="s">
        <v>3059</v>
      </c>
      <c r="BW676" t="s">
        <v>2750</v>
      </c>
      <c r="BX676" t="s">
        <v>3060</v>
      </c>
    </row>
    <row r="677" spans="1:92" x14ac:dyDescent="0.2">
      <c r="A677" t="s">
        <v>111</v>
      </c>
      <c r="B677" t="b">
        <v>1</v>
      </c>
      <c r="E677">
        <v>682</v>
      </c>
      <c r="F677" t="str">
        <f>HYPERLINK("https://portal.dnb.de/opac.htm?method=simpleSearch&amp;cqlMode=true&amp;query=idn%3D1066965463", "Portal")</f>
        <v>Portal</v>
      </c>
      <c r="G677" t="s">
        <v>133</v>
      </c>
      <c r="H677" t="s">
        <v>3061</v>
      </c>
      <c r="I677" t="s">
        <v>3062</v>
      </c>
      <c r="J677" t="s">
        <v>3063</v>
      </c>
      <c r="K677" t="s">
        <v>3063</v>
      </c>
      <c r="L677" t="s">
        <v>3063</v>
      </c>
      <c r="N677" t="s">
        <v>1473</v>
      </c>
      <c r="O677" t="s">
        <v>121</v>
      </c>
      <c r="S677" t="s">
        <v>140</v>
      </c>
      <c r="AI677" t="s">
        <v>165</v>
      </c>
      <c r="AK677" t="s">
        <v>146</v>
      </c>
      <c r="AM677" t="s">
        <v>147</v>
      </c>
      <c r="AS677" t="s">
        <v>148</v>
      </c>
      <c r="BG677" t="s">
        <v>150</v>
      </c>
      <c r="BM677" t="s">
        <v>151</v>
      </c>
      <c r="BN677">
        <v>0</v>
      </c>
      <c r="BP677" t="s">
        <v>152</v>
      </c>
    </row>
    <row r="678" spans="1:92" x14ac:dyDescent="0.2">
      <c r="A678" t="s">
        <v>111</v>
      </c>
      <c r="B678" t="b">
        <v>1</v>
      </c>
      <c r="E678">
        <v>683</v>
      </c>
      <c r="F678" t="str">
        <f>HYPERLINK("https://portal.dnb.de/opac.htm?method=simpleSearch&amp;cqlMode=true&amp;query=idn%3D107218981X", "Portal")</f>
        <v>Portal</v>
      </c>
      <c r="G678" t="s">
        <v>115</v>
      </c>
      <c r="H678" t="s">
        <v>3064</v>
      </c>
      <c r="I678" t="s">
        <v>3065</v>
      </c>
      <c r="J678" t="s">
        <v>3066</v>
      </c>
      <c r="K678" t="s">
        <v>3066</v>
      </c>
      <c r="L678" t="s">
        <v>3066</v>
      </c>
      <c r="N678" t="s">
        <v>3067</v>
      </c>
      <c r="O678" t="s">
        <v>121</v>
      </c>
      <c r="S678" t="s">
        <v>189</v>
      </c>
      <c r="AI678" t="s">
        <v>174</v>
      </c>
      <c r="AL678" t="s">
        <v>146</v>
      </c>
      <c r="AM678" t="s">
        <v>147</v>
      </c>
      <c r="AS678" t="s">
        <v>148</v>
      </c>
      <c r="BG678">
        <v>80</v>
      </c>
      <c r="BM678" t="s">
        <v>151</v>
      </c>
      <c r="BN678">
        <v>0</v>
      </c>
      <c r="BP678" t="s">
        <v>278</v>
      </c>
    </row>
    <row r="679" spans="1:92" x14ac:dyDescent="0.2">
      <c r="A679" t="s">
        <v>111</v>
      </c>
      <c r="B679" t="b">
        <v>1</v>
      </c>
      <c r="F679" t="str">
        <f>HYPERLINK("https://portal.dnb.de/opac.htm?method=simpleSearch&amp;cqlMode=true&amp;query=idn%3D1268951471", "Portal")</f>
        <v>Portal</v>
      </c>
      <c r="G679" t="s">
        <v>300</v>
      </c>
      <c r="H679" t="s">
        <v>3068</v>
      </c>
      <c r="I679" t="s">
        <v>3069</v>
      </c>
      <c r="J679" t="s">
        <v>3070</v>
      </c>
      <c r="K679" t="s">
        <v>3071</v>
      </c>
      <c r="L679" t="s">
        <v>3071</v>
      </c>
      <c r="N679" t="s">
        <v>741</v>
      </c>
      <c r="O679" t="s">
        <v>121</v>
      </c>
      <c r="S679" t="s">
        <v>140</v>
      </c>
      <c r="AI679" t="s">
        <v>165</v>
      </c>
      <c r="AK679" t="s">
        <v>146</v>
      </c>
      <c r="AM679" t="s">
        <v>147</v>
      </c>
      <c r="AS679" t="s">
        <v>148</v>
      </c>
      <c r="BG679">
        <v>60</v>
      </c>
      <c r="BM679" t="s">
        <v>151</v>
      </c>
      <c r="BN679">
        <v>0</v>
      </c>
      <c r="BP679" t="s">
        <v>152</v>
      </c>
      <c r="BV679" t="s">
        <v>3072</v>
      </c>
      <c r="BW679" t="s">
        <v>3073</v>
      </c>
      <c r="BX679" t="s">
        <v>3074</v>
      </c>
    </row>
    <row r="680" spans="1:92" x14ac:dyDescent="0.2">
      <c r="A680" t="s">
        <v>111</v>
      </c>
      <c r="B680" t="b">
        <v>1</v>
      </c>
      <c r="E680">
        <v>685</v>
      </c>
      <c r="F680" t="str">
        <f>HYPERLINK("https://portal.dnb.de/opac.htm?method=simpleSearch&amp;cqlMode=true&amp;query=idn%3D1066970084", "Portal")</f>
        <v>Portal</v>
      </c>
      <c r="G680" t="s">
        <v>133</v>
      </c>
      <c r="H680" t="s">
        <v>3075</v>
      </c>
      <c r="I680" t="s">
        <v>3076</v>
      </c>
      <c r="J680" t="s">
        <v>3077</v>
      </c>
      <c r="K680" t="s">
        <v>3077</v>
      </c>
      <c r="L680" t="s">
        <v>3077</v>
      </c>
      <c r="N680" t="s">
        <v>3078</v>
      </c>
      <c r="O680" t="s">
        <v>121</v>
      </c>
      <c r="S680" t="s">
        <v>140</v>
      </c>
      <c r="AI680" t="s">
        <v>145</v>
      </c>
      <c r="AM680" t="s">
        <v>313</v>
      </c>
      <c r="AS680" t="s">
        <v>148</v>
      </c>
      <c r="BG680" t="s">
        <v>150</v>
      </c>
      <c r="BM680" t="s">
        <v>151</v>
      </c>
      <c r="BN680">
        <v>0</v>
      </c>
      <c r="BP680" t="s">
        <v>152</v>
      </c>
    </row>
    <row r="681" spans="1:92" x14ac:dyDescent="0.2">
      <c r="A681" t="s">
        <v>111</v>
      </c>
      <c r="B681" t="b">
        <v>1</v>
      </c>
      <c r="E681">
        <v>686</v>
      </c>
      <c r="F681" t="str">
        <f>HYPERLINK("https://portal.dnb.de/opac.htm?method=simpleSearch&amp;cqlMode=true&amp;query=idn%3D1066971315", "Portal")</f>
        <v>Portal</v>
      </c>
      <c r="G681" t="s">
        <v>133</v>
      </c>
      <c r="H681" t="s">
        <v>3079</v>
      </c>
      <c r="I681" t="s">
        <v>3080</v>
      </c>
      <c r="J681" t="s">
        <v>3081</v>
      </c>
      <c r="K681" t="s">
        <v>3081</v>
      </c>
      <c r="L681" t="s">
        <v>3081</v>
      </c>
      <c r="N681" t="s">
        <v>3082</v>
      </c>
      <c r="O681" t="s">
        <v>121</v>
      </c>
      <c r="S681" t="s">
        <v>140</v>
      </c>
      <c r="AI681" t="s">
        <v>165</v>
      </c>
      <c r="AM681" t="s">
        <v>147</v>
      </c>
      <c r="AS681" t="s">
        <v>148</v>
      </c>
      <c r="BC681" t="s">
        <v>166</v>
      </c>
      <c r="BD681" t="s">
        <v>146</v>
      </c>
      <c r="BG681" t="s">
        <v>150</v>
      </c>
      <c r="BM681" t="s">
        <v>151</v>
      </c>
      <c r="BN681">
        <v>0</v>
      </c>
      <c r="BP681" t="s">
        <v>152</v>
      </c>
      <c r="BV681" t="s">
        <v>3083</v>
      </c>
      <c r="BW681" t="s">
        <v>2750</v>
      </c>
      <c r="BX681" t="s">
        <v>3084</v>
      </c>
    </row>
    <row r="682" spans="1:92" x14ac:dyDescent="0.2">
      <c r="A682" t="s">
        <v>111</v>
      </c>
      <c r="B682" t="b">
        <v>1</v>
      </c>
      <c r="E682">
        <v>1</v>
      </c>
      <c r="F682" t="str">
        <f>HYPERLINK("https://portal.dnb.de/opac.htm?method=simpleSearch&amp;cqlMode=true&amp;query=idn%3D107238311X", "Portal")</f>
        <v>Portal</v>
      </c>
      <c r="G682" t="s">
        <v>115</v>
      </c>
      <c r="H682" t="s">
        <v>3085</v>
      </c>
      <c r="I682" t="s">
        <v>3086</v>
      </c>
      <c r="J682" t="s">
        <v>3087</v>
      </c>
      <c r="K682" t="s">
        <v>3087</v>
      </c>
      <c r="L682" t="s">
        <v>3087</v>
      </c>
      <c r="N682" t="s">
        <v>3088</v>
      </c>
      <c r="O682" t="s">
        <v>121</v>
      </c>
      <c r="S682" t="s">
        <v>140</v>
      </c>
      <c r="AI682" t="s">
        <v>165</v>
      </c>
      <c r="AM682" t="s">
        <v>266</v>
      </c>
      <c r="AS682" t="s">
        <v>148</v>
      </c>
      <c r="BG682" t="s">
        <v>1476</v>
      </c>
      <c r="BM682" t="s">
        <v>151</v>
      </c>
      <c r="BN682">
        <v>0</v>
      </c>
      <c r="BS682" t="s">
        <v>146</v>
      </c>
    </row>
    <row r="683" spans="1:92" x14ac:dyDescent="0.2">
      <c r="A683" t="s">
        <v>111</v>
      </c>
      <c r="B683" t="b">
        <v>1</v>
      </c>
      <c r="C683" t="s">
        <v>146</v>
      </c>
      <c r="E683">
        <v>687</v>
      </c>
      <c r="F683" t="str">
        <f>HYPERLINK("https://portal.dnb.de/opac.htm?method=simpleSearch&amp;cqlMode=true&amp;query=idn%3D1066972214", "Portal")</f>
        <v>Portal</v>
      </c>
      <c r="G683" t="s">
        <v>133</v>
      </c>
      <c r="H683" t="s">
        <v>3089</v>
      </c>
      <c r="I683" t="s">
        <v>3090</v>
      </c>
      <c r="J683" t="s">
        <v>3091</v>
      </c>
      <c r="K683" t="s">
        <v>3091</v>
      </c>
      <c r="L683" t="s">
        <v>3092</v>
      </c>
      <c r="N683" t="s">
        <v>818</v>
      </c>
      <c r="O683" t="s">
        <v>121</v>
      </c>
      <c r="Q683" t="s">
        <v>814</v>
      </c>
      <c r="S683" t="s">
        <v>140</v>
      </c>
      <c r="AI683" t="s">
        <v>182</v>
      </c>
      <c r="AK683" t="s">
        <v>146</v>
      </c>
      <c r="AM683" t="s">
        <v>313</v>
      </c>
      <c r="AS683" t="s">
        <v>148</v>
      </c>
      <c r="BC683" t="s">
        <v>166</v>
      </c>
      <c r="BD683" t="s">
        <v>146</v>
      </c>
      <c r="BG683">
        <v>60</v>
      </c>
      <c r="BM683" t="s">
        <v>213</v>
      </c>
      <c r="BN683">
        <v>3.5</v>
      </c>
      <c r="BP683" t="s">
        <v>152</v>
      </c>
      <c r="CA683" t="s">
        <v>146</v>
      </c>
      <c r="CB683" t="s">
        <v>146</v>
      </c>
      <c r="CD683" t="s">
        <v>202</v>
      </c>
      <c r="CM683">
        <v>3.5</v>
      </c>
      <c r="CN683" t="s">
        <v>3093</v>
      </c>
    </row>
    <row r="684" spans="1:92" x14ac:dyDescent="0.2">
      <c r="A684" t="s">
        <v>111</v>
      </c>
      <c r="B684" t="b">
        <v>1</v>
      </c>
      <c r="E684">
        <v>688</v>
      </c>
      <c r="F684" t="str">
        <f>HYPERLINK("https://portal.dnb.de/opac.htm?method=simpleSearch&amp;cqlMode=true&amp;query=idn%3D1072383721", "Portal")</f>
        <v>Portal</v>
      </c>
      <c r="G684" t="s">
        <v>115</v>
      </c>
      <c r="H684" t="s">
        <v>3094</v>
      </c>
      <c r="I684" t="s">
        <v>3095</v>
      </c>
      <c r="J684" t="s">
        <v>3096</v>
      </c>
      <c r="K684" t="s">
        <v>3096</v>
      </c>
      <c r="L684" t="s">
        <v>3096</v>
      </c>
      <c r="N684" t="s">
        <v>3097</v>
      </c>
      <c r="O684" t="s">
        <v>121</v>
      </c>
      <c r="S684" t="s">
        <v>189</v>
      </c>
      <c r="AI684" t="s">
        <v>165</v>
      </c>
      <c r="AK684" t="s">
        <v>146</v>
      </c>
      <c r="AM684" t="s">
        <v>313</v>
      </c>
      <c r="AS684" t="s">
        <v>148</v>
      </c>
      <c r="BC684" t="s">
        <v>166</v>
      </c>
      <c r="BD684" t="s">
        <v>146</v>
      </c>
      <c r="BG684">
        <v>110</v>
      </c>
      <c r="BM684" t="s">
        <v>151</v>
      </c>
      <c r="BN684">
        <v>0</v>
      </c>
      <c r="BP684" t="s">
        <v>152</v>
      </c>
    </row>
    <row r="685" spans="1:92" x14ac:dyDescent="0.2">
      <c r="A685" t="s">
        <v>111</v>
      </c>
      <c r="B685" t="b">
        <v>1</v>
      </c>
      <c r="F685" t="str">
        <f>HYPERLINK("https://portal.dnb.de/opac.htm?method=simpleSearch&amp;cqlMode=true&amp;query=idn%3D1072190648", "Portal")</f>
        <v>Portal</v>
      </c>
      <c r="G685" t="s">
        <v>115</v>
      </c>
      <c r="H685" t="s">
        <v>3098</v>
      </c>
      <c r="I685" t="s">
        <v>3099</v>
      </c>
      <c r="J685" t="s">
        <v>3100</v>
      </c>
      <c r="K685" t="s">
        <v>3100</v>
      </c>
      <c r="L685" t="s">
        <v>3100</v>
      </c>
      <c r="N685" t="s">
        <v>3101</v>
      </c>
      <c r="O685" t="s">
        <v>121</v>
      </c>
    </row>
    <row r="686" spans="1:92" x14ac:dyDescent="0.2">
      <c r="A686" t="s">
        <v>111</v>
      </c>
      <c r="B686" t="b">
        <v>1</v>
      </c>
      <c r="F686" t="str">
        <f>HYPERLINK("https://portal.dnb.de/opac.htm?method=simpleSearch&amp;cqlMode=true&amp;query=idn%3D1066941572", "Portal")</f>
        <v>Portal</v>
      </c>
      <c r="G686" t="s">
        <v>300</v>
      </c>
      <c r="H686" t="s">
        <v>3102</v>
      </c>
      <c r="I686" t="s">
        <v>3103</v>
      </c>
      <c r="J686" t="s">
        <v>3104</v>
      </c>
      <c r="K686" t="s">
        <v>3105</v>
      </c>
      <c r="L686" t="s">
        <v>3105</v>
      </c>
      <c r="N686" t="s">
        <v>3106</v>
      </c>
      <c r="O686" t="s">
        <v>121</v>
      </c>
    </row>
    <row r="687" spans="1:92" x14ac:dyDescent="0.2">
      <c r="A687" t="s">
        <v>111</v>
      </c>
      <c r="B687" t="b">
        <v>0</v>
      </c>
      <c r="E687">
        <v>689</v>
      </c>
      <c r="F687" t="str">
        <f>HYPERLINK("https://portal.dnb.de/opac.htm?method=simpleSearch&amp;cqlMode=true&amp;query=idn%3D1109774656", "Portal")</f>
        <v>Portal</v>
      </c>
      <c r="H687" t="s">
        <v>3107</v>
      </c>
      <c r="I687" t="s">
        <v>3108</v>
      </c>
      <c r="L687" t="s">
        <v>3109</v>
      </c>
      <c r="M687" t="s">
        <v>3110</v>
      </c>
      <c r="S687" t="s">
        <v>181</v>
      </c>
      <c r="AS687" t="s">
        <v>148</v>
      </c>
      <c r="BG687">
        <v>180</v>
      </c>
      <c r="BN687">
        <v>0</v>
      </c>
    </row>
    <row r="688" spans="1:92" x14ac:dyDescent="0.2">
      <c r="A688" t="s">
        <v>111</v>
      </c>
      <c r="B688" t="b">
        <v>0</v>
      </c>
      <c r="E688">
        <v>690</v>
      </c>
      <c r="F688" t="str">
        <f>HYPERLINK("https://portal.dnb.de/opac.htm?method=simpleSearch&amp;cqlMode=true&amp;query=idn%3D110977575X", "Portal")</f>
        <v>Portal</v>
      </c>
      <c r="H688" t="s">
        <v>3111</v>
      </c>
      <c r="I688" t="s">
        <v>3112</v>
      </c>
      <c r="L688" t="s">
        <v>3113</v>
      </c>
      <c r="S688" t="s">
        <v>181</v>
      </c>
      <c r="AS688" t="s">
        <v>148</v>
      </c>
      <c r="BG688">
        <v>180</v>
      </c>
      <c r="BN688">
        <v>0</v>
      </c>
    </row>
    <row r="689" spans="1:66" x14ac:dyDescent="0.2">
      <c r="A689" t="s">
        <v>111</v>
      </c>
      <c r="B689" t="b">
        <v>0</v>
      </c>
      <c r="E689">
        <v>691</v>
      </c>
      <c r="F689" t="str">
        <f>HYPERLINK("https://portal.dnb.de/opac.htm?method=simpleSearch&amp;cqlMode=true&amp;query=idn%3D110977575X", "Portal")</f>
        <v>Portal</v>
      </c>
      <c r="H689" t="s">
        <v>3114</v>
      </c>
      <c r="I689" t="s">
        <v>3112</v>
      </c>
      <c r="L689" t="s">
        <v>3115</v>
      </c>
      <c r="S689" t="s">
        <v>181</v>
      </c>
      <c r="AS689" t="s">
        <v>148</v>
      </c>
      <c r="BG689">
        <v>180</v>
      </c>
      <c r="BN689">
        <v>0</v>
      </c>
    </row>
    <row r="690" spans="1:66" x14ac:dyDescent="0.2">
      <c r="A690" t="s">
        <v>111</v>
      </c>
      <c r="B690" t="b">
        <v>0</v>
      </c>
      <c r="E690">
        <v>692</v>
      </c>
      <c r="F690" t="str">
        <f>HYPERLINK("https://portal.dnb.de/opac.htm?method=simpleSearch&amp;cqlMode=true&amp;query=idn%3D110977575X", "Portal")</f>
        <v>Portal</v>
      </c>
      <c r="H690" t="s">
        <v>3116</v>
      </c>
      <c r="I690" t="s">
        <v>3112</v>
      </c>
      <c r="L690" t="s">
        <v>3117</v>
      </c>
      <c r="S690" t="s">
        <v>181</v>
      </c>
      <c r="AS690" t="s">
        <v>148</v>
      </c>
      <c r="BG690">
        <v>180</v>
      </c>
      <c r="BN690">
        <v>0</v>
      </c>
    </row>
    <row r="691" spans="1:66" x14ac:dyDescent="0.2">
      <c r="A691" t="s">
        <v>111</v>
      </c>
      <c r="B691" t="b">
        <v>0</v>
      </c>
      <c r="E691">
        <v>693</v>
      </c>
      <c r="F691" t="str">
        <f>HYPERLINK("https://portal.dnb.de/opac.htm?method=simpleSearch&amp;cqlMode=true&amp;query=idn%3D1066968020", "Portal")</f>
        <v>Portal</v>
      </c>
      <c r="H691" t="s">
        <v>3118</v>
      </c>
      <c r="I691" t="s">
        <v>3119</v>
      </c>
      <c r="L691" t="s">
        <v>3120</v>
      </c>
      <c r="S691" t="s">
        <v>181</v>
      </c>
      <c r="AS691" t="s">
        <v>148</v>
      </c>
      <c r="BG691">
        <v>180</v>
      </c>
      <c r="BN691">
        <v>0</v>
      </c>
    </row>
    <row r="692" spans="1:66" x14ac:dyDescent="0.2">
      <c r="A692" t="s">
        <v>111</v>
      </c>
      <c r="B692" t="b">
        <v>0</v>
      </c>
      <c r="E692">
        <v>694</v>
      </c>
      <c r="F692" t="str">
        <f>HYPERLINK("https://portal.dnb.de/opac.htm?method=simpleSearch&amp;cqlMode=true&amp;query=idn%3D1109813201", "Portal")</f>
        <v>Portal</v>
      </c>
      <c r="H692" t="s">
        <v>3121</v>
      </c>
      <c r="I692" t="s">
        <v>3122</v>
      </c>
      <c r="L692" t="s">
        <v>3123</v>
      </c>
      <c r="S692" t="s">
        <v>181</v>
      </c>
      <c r="AS692" t="s">
        <v>148</v>
      </c>
      <c r="BG692">
        <v>180</v>
      </c>
      <c r="BN692">
        <v>0</v>
      </c>
    </row>
    <row r="693" spans="1:66" x14ac:dyDescent="0.2">
      <c r="A693" t="s">
        <v>111</v>
      </c>
      <c r="B693" t="b">
        <v>0</v>
      </c>
      <c r="E693">
        <v>695</v>
      </c>
      <c r="F693" t="str">
        <f>HYPERLINK("https://portal.dnb.de/opac.htm?method=simpleSearch&amp;cqlMode=true&amp;query=idn%3D1109774656", "Portal")</f>
        <v>Portal</v>
      </c>
      <c r="H693" t="s">
        <v>3124</v>
      </c>
      <c r="I693" t="s">
        <v>3108</v>
      </c>
      <c r="L693" t="s">
        <v>3125</v>
      </c>
      <c r="S693" t="s">
        <v>181</v>
      </c>
      <c r="AS693" t="s">
        <v>148</v>
      </c>
      <c r="BG693">
        <v>180</v>
      </c>
      <c r="BN693">
        <v>0</v>
      </c>
    </row>
    <row r="694" spans="1:66" x14ac:dyDescent="0.2">
      <c r="A694" t="s">
        <v>111</v>
      </c>
      <c r="B694" t="b">
        <v>0</v>
      </c>
      <c r="E694">
        <v>696</v>
      </c>
      <c r="F694" t="str">
        <f>HYPERLINK("https://portal.dnb.de/opac.htm?method=simpleSearch&amp;cqlMode=true&amp;query=idn%3D1109815573", "Portal")</f>
        <v>Portal</v>
      </c>
      <c r="H694" t="s">
        <v>3126</v>
      </c>
      <c r="I694" t="s">
        <v>3127</v>
      </c>
      <c r="L694" t="s">
        <v>3128</v>
      </c>
      <c r="S694" t="s">
        <v>181</v>
      </c>
      <c r="AS694" t="s">
        <v>148</v>
      </c>
      <c r="BG694">
        <v>180</v>
      </c>
      <c r="BN694">
        <v>0</v>
      </c>
    </row>
    <row r="695" spans="1:66" x14ac:dyDescent="0.2">
      <c r="A695" t="s">
        <v>111</v>
      </c>
      <c r="B695" t="b">
        <v>0</v>
      </c>
      <c r="E695">
        <v>697</v>
      </c>
      <c r="F695" t="str">
        <f>HYPERLINK("https://portal.dnb.de/opac.htm?method=simpleSearch&amp;cqlMode=true&amp;query=idn%3D1109815573", "Portal")</f>
        <v>Portal</v>
      </c>
      <c r="H695" t="s">
        <v>3129</v>
      </c>
      <c r="I695" t="s">
        <v>3127</v>
      </c>
      <c r="L695" t="s">
        <v>3130</v>
      </c>
      <c r="S695" t="s">
        <v>181</v>
      </c>
      <c r="AS695" t="s">
        <v>148</v>
      </c>
      <c r="BG695">
        <v>180</v>
      </c>
      <c r="BN695">
        <v>0</v>
      </c>
    </row>
    <row r="696" spans="1:66" x14ac:dyDescent="0.2">
      <c r="A696" t="s">
        <v>111</v>
      </c>
      <c r="B696" t="b">
        <v>0</v>
      </c>
      <c r="E696">
        <v>698</v>
      </c>
      <c r="F696" t="str">
        <f>HYPERLINK("https://portal.dnb.de/opac.htm?method=simpleSearch&amp;cqlMode=true&amp;query=idn%3D1109815573", "Portal")</f>
        <v>Portal</v>
      </c>
      <c r="H696" t="s">
        <v>3131</v>
      </c>
      <c r="I696" t="s">
        <v>3127</v>
      </c>
      <c r="L696" t="s">
        <v>3132</v>
      </c>
      <c r="S696" t="s">
        <v>181</v>
      </c>
      <c r="AS696" t="s">
        <v>148</v>
      </c>
      <c r="BG696">
        <v>180</v>
      </c>
      <c r="BN696">
        <v>0</v>
      </c>
    </row>
    <row r="697" spans="1:66" x14ac:dyDescent="0.2">
      <c r="A697" t="s">
        <v>111</v>
      </c>
      <c r="B697" t="b">
        <v>0</v>
      </c>
      <c r="E697">
        <v>699</v>
      </c>
      <c r="F697" t="str">
        <f>HYPERLINK("https://portal.dnb.de/opac.htm?method=simpleSearch&amp;cqlMode=true&amp;query=idn%3D1066964505", "Portal")</f>
        <v>Portal</v>
      </c>
      <c r="H697" t="s">
        <v>3133</v>
      </c>
      <c r="I697" t="s">
        <v>3134</v>
      </c>
      <c r="L697" t="s">
        <v>3135</v>
      </c>
      <c r="S697" t="s">
        <v>181</v>
      </c>
      <c r="AS697" t="s">
        <v>148</v>
      </c>
      <c r="BG697">
        <v>180</v>
      </c>
      <c r="BN697">
        <v>0</v>
      </c>
    </row>
    <row r="698" spans="1:66" x14ac:dyDescent="0.2">
      <c r="A698" t="s">
        <v>111</v>
      </c>
      <c r="B698" t="b">
        <v>0</v>
      </c>
      <c r="E698">
        <v>700</v>
      </c>
      <c r="F698" t="str">
        <f>HYPERLINK("https://portal.dnb.de/opac.htm?method=simpleSearch&amp;cqlMode=true&amp;query=idn%3D1066965390", "Portal")</f>
        <v>Portal</v>
      </c>
      <c r="H698" t="s">
        <v>3136</v>
      </c>
      <c r="I698" t="s">
        <v>3137</v>
      </c>
      <c r="L698" t="s">
        <v>3138</v>
      </c>
      <c r="S698" t="s">
        <v>181</v>
      </c>
      <c r="AS698" t="s">
        <v>148</v>
      </c>
      <c r="BG698">
        <v>180</v>
      </c>
      <c r="BN698">
        <v>0</v>
      </c>
    </row>
    <row r="699" spans="1:66" x14ac:dyDescent="0.2">
      <c r="A699" t="s">
        <v>111</v>
      </c>
      <c r="B699" t="b">
        <v>0</v>
      </c>
      <c r="E699">
        <v>701</v>
      </c>
      <c r="F699" t="str">
        <f>HYPERLINK("https://portal.dnb.de/opac.htm?method=simpleSearch&amp;cqlMode=true&amp;query=idn%3D110982050X", "Portal")</f>
        <v>Portal</v>
      </c>
      <c r="H699" t="s">
        <v>3139</v>
      </c>
      <c r="I699" t="s">
        <v>3140</v>
      </c>
      <c r="L699" t="s">
        <v>3141</v>
      </c>
      <c r="S699" t="s">
        <v>181</v>
      </c>
      <c r="AS699" t="s">
        <v>148</v>
      </c>
      <c r="BG699">
        <v>180</v>
      </c>
      <c r="BN699">
        <v>0</v>
      </c>
    </row>
    <row r="700" spans="1:66" x14ac:dyDescent="0.2">
      <c r="A700" t="s">
        <v>111</v>
      </c>
      <c r="B700" t="b">
        <v>0</v>
      </c>
      <c r="E700">
        <v>702</v>
      </c>
      <c r="F700" t="str">
        <f>HYPERLINK("https://portal.dnb.de/opac.htm?method=simpleSearch&amp;cqlMode=true&amp;query=idn%3D1109921993", "Portal")</f>
        <v>Portal</v>
      </c>
      <c r="H700" t="s">
        <v>3142</v>
      </c>
      <c r="I700" t="s">
        <v>3143</v>
      </c>
      <c r="L700" t="s">
        <v>3144</v>
      </c>
      <c r="S700" t="s">
        <v>181</v>
      </c>
      <c r="AS700" t="s">
        <v>148</v>
      </c>
      <c r="BG700">
        <v>180</v>
      </c>
      <c r="BN700">
        <v>0</v>
      </c>
    </row>
    <row r="701" spans="1:66" x14ac:dyDescent="0.2">
      <c r="A701" t="s">
        <v>111</v>
      </c>
      <c r="B701" t="b">
        <v>0</v>
      </c>
      <c r="E701">
        <v>703</v>
      </c>
      <c r="F701" t="str">
        <f>HYPERLINK("https://portal.dnb.de/opac.htm?method=simpleSearch&amp;cqlMode=true&amp;query=idn%3D1110068220", "Portal")</f>
        <v>Portal</v>
      </c>
      <c r="H701" t="s">
        <v>3145</v>
      </c>
      <c r="I701" t="s">
        <v>3146</v>
      </c>
      <c r="L701" t="s">
        <v>3147</v>
      </c>
      <c r="S701" t="s">
        <v>181</v>
      </c>
      <c r="AS701" t="s">
        <v>148</v>
      </c>
      <c r="BG701">
        <v>180</v>
      </c>
      <c r="BN701">
        <v>0</v>
      </c>
    </row>
    <row r="702" spans="1:66" x14ac:dyDescent="0.2">
      <c r="A702" t="s">
        <v>111</v>
      </c>
      <c r="B702" t="b">
        <v>0</v>
      </c>
      <c r="E702">
        <v>704</v>
      </c>
      <c r="F702" t="str">
        <f>HYPERLINK("https://portal.dnb.de/opac.htm?method=simpleSearch&amp;cqlMode=true&amp;query=idn%3D1066966613", "Portal")</f>
        <v>Portal</v>
      </c>
      <c r="H702" t="s">
        <v>3148</v>
      </c>
      <c r="I702" t="s">
        <v>3149</v>
      </c>
      <c r="L702" t="s">
        <v>3150</v>
      </c>
      <c r="S702" t="s">
        <v>181</v>
      </c>
      <c r="AS702" t="s">
        <v>148</v>
      </c>
      <c r="BG702">
        <v>180</v>
      </c>
      <c r="BN702">
        <v>0</v>
      </c>
    </row>
    <row r="703" spans="1:66" x14ac:dyDescent="0.2">
      <c r="A703" t="s">
        <v>111</v>
      </c>
      <c r="B703" t="b">
        <v>0</v>
      </c>
      <c r="E703">
        <v>705</v>
      </c>
      <c r="F703" t="str">
        <f>HYPERLINK("https://portal.dnb.de/opac.htm?method=simpleSearch&amp;cqlMode=true&amp;query=idn%3D1066965390", "Portal")</f>
        <v>Portal</v>
      </c>
      <c r="H703" t="s">
        <v>3136</v>
      </c>
      <c r="I703" t="s">
        <v>3137</v>
      </c>
      <c r="L703" t="s">
        <v>3151</v>
      </c>
      <c r="S703" t="s">
        <v>181</v>
      </c>
      <c r="AS703" t="s">
        <v>148</v>
      </c>
      <c r="BG703">
        <v>180</v>
      </c>
      <c r="BN703">
        <v>0</v>
      </c>
    </row>
    <row r="704" spans="1:66" x14ac:dyDescent="0.2">
      <c r="A704" t="s">
        <v>111</v>
      </c>
      <c r="B704" t="b">
        <v>0</v>
      </c>
      <c r="E704">
        <v>706</v>
      </c>
      <c r="F704" t="str">
        <f>HYPERLINK("https://portal.dnb.de/opac.htm?method=simpleSearch&amp;cqlMode=true&amp;query=idn%3D110982050X", "Portal")</f>
        <v>Portal</v>
      </c>
      <c r="H704" t="s">
        <v>3152</v>
      </c>
      <c r="I704" t="s">
        <v>3140</v>
      </c>
      <c r="L704" t="s">
        <v>3153</v>
      </c>
      <c r="S704" t="s">
        <v>181</v>
      </c>
      <c r="AS704" t="s">
        <v>148</v>
      </c>
      <c r="BG704">
        <v>180</v>
      </c>
      <c r="BN704">
        <v>0</v>
      </c>
    </row>
    <row r="705" spans="1:66" x14ac:dyDescent="0.2">
      <c r="A705" t="s">
        <v>111</v>
      </c>
      <c r="B705" t="b">
        <v>0</v>
      </c>
      <c r="E705">
        <v>707</v>
      </c>
      <c r="F705" t="str">
        <f>HYPERLINK("https://portal.dnb.de/opac.htm?method=simpleSearch&amp;cqlMode=true&amp;query=idn%3D111007414X", "Portal")</f>
        <v>Portal</v>
      </c>
      <c r="H705" t="s">
        <v>3154</v>
      </c>
      <c r="I705" t="s">
        <v>3155</v>
      </c>
      <c r="L705" t="s">
        <v>3156</v>
      </c>
      <c r="S705" t="s">
        <v>181</v>
      </c>
      <c r="AS705" t="s">
        <v>148</v>
      </c>
      <c r="BG705">
        <v>180</v>
      </c>
      <c r="BN705">
        <v>0</v>
      </c>
    </row>
    <row r="706" spans="1:66" x14ac:dyDescent="0.2">
      <c r="A706" t="s">
        <v>111</v>
      </c>
      <c r="B706" t="b">
        <v>0</v>
      </c>
      <c r="E706">
        <v>708</v>
      </c>
      <c r="F706" t="str">
        <f>HYPERLINK("https://portal.dnb.de/opac.htm?method=simpleSearch&amp;cqlMode=true&amp;query=idn%3D111007414X", "Portal")</f>
        <v>Portal</v>
      </c>
      <c r="H706" t="s">
        <v>3157</v>
      </c>
      <c r="I706" t="s">
        <v>3155</v>
      </c>
      <c r="L706" t="s">
        <v>3158</v>
      </c>
      <c r="S706" t="s">
        <v>181</v>
      </c>
      <c r="AS706" t="s">
        <v>148</v>
      </c>
      <c r="BG706">
        <v>180</v>
      </c>
      <c r="BN706">
        <v>0</v>
      </c>
    </row>
    <row r="707" spans="1:66" x14ac:dyDescent="0.2">
      <c r="A707" t="s">
        <v>111</v>
      </c>
      <c r="B707" t="b">
        <v>0</v>
      </c>
      <c r="E707">
        <v>709</v>
      </c>
      <c r="F707" t="str">
        <f>HYPERLINK("https://portal.dnb.de/opac.htm?method=simpleSearch&amp;cqlMode=true&amp;query=idn%3D111007414X", "Portal")</f>
        <v>Portal</v>
      </c>
      <c r="H707" t="s">
        <v>3159</v>
      </c>
      <c r="I707" t="s">
        <v>3155</v>
      </c>
      <c r="L707" t="s">
        <v>3160</v>
      </c>
      <c r="S707" t="s">
        <v>181</v>
      </c>
      <c r="AS707" t="s">
        <v>148</v>
      </c>
      <c r="BG707">
        <v>180</v>
      </c>
      <c r="BN707">
        <v>0</v>
      </c>
    </row>
    <row r="708" spans="1:66" x14ac:dyDescent="0.2">
      <c r="A708" t="s">
        <v>111</v>
      </c>
      <c r="B708" t="b">
        <v>0</v>
      </c>
      <c r="E708">
        <v>710</v>
      </c>
      <c r="F708" t="str">
        <f>HYPERLINK("https://portal.dnb.de/opac.htm?method=simpleSearch&amp;cqlMode=true&amp;query=idn%3D111007414X", "Portal")</f>
        <v>Portal</v>
      </c>
      <c r="H708" t="s">
        <v>3161</v>
      </c>
      <c r="I708" t="s">
        <v>3155</v>
      </c>
      <c r="L708" t="s">
        <v>3162</v>
      </c>
      <c r="S708" t="s">
        <v>181</v>
      </c>
      <c r="AS708" t="s">
        <v>148</v>
      </c>
      <c r="BG708">
        <v>180</v>
      </c>
      <c r="BN708">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workbookViewId="0">
      <selection activeCell="C39" sqref="C39"/>
    </sheetView>
  </sheetViews>
  <sheetFormatPr baseColWidth="10" defaultRowHeight="11.4" x14ac:dyDescent="0.2"/>
  <cols>
    <col min="1" max="2" width="13.59765625" style="74" customWidth="1"/>
    <col min="3" max="3" width="155.59765625" style="74" customWidth="1"/>
  </cols>
  <sheetData>
    <row r="2" spans="1:3" ht="14.25" customHeight="1" x14ac:dyDescent="0.25">
      <c r="A2" s="1" t="s">
        <v>3163</v>
      </c>
      <c r="B2" s="16"/>
      <c r="C2" s="72"/>
    </row>
    <row r="3" spans="1:3" x14ac:dyDescent="0.2">
      <c r="B3" s="16"/>
      <c r="C3" s="72" t="s">
        <v>3164</v>
      </c>
    </row>
    <row r="4" spans="1:3" x14ac:dyDescent="0.2">
      <c r="A4" s="2" t="s">
        <v>3165</v>
      </c>
      <c r="B4" s="16"/>
      <c r="C4" s="72"/>
    </row>
    <row r="5" spans="1:3" x14ac:dyDescent="0.2">
      <c r="B5" s="16"/>
      <c r="C5" s="72"/>
    </row>
    <row r="6" spans="1:3" x14ac:dyDescent="0.2">
      <c r="A6" t="s">
        <v>3166</v>
      </c>
      <c r="B6" s="16"/>
      <c r="C6" s="72"/>
    </row>
    <row r="7" spans="1:3" x14ac:dyDescent="0.2">
      <c r="A7" t="s">
        <v>3167</v>
      </c>
      <c r="B7" s="16"/>
      <c r="C7" s="72"/>
    </row>
    <row r="8" spans="1:3" x14ac:dyDescent="0.2">
      <c r="B8" s="16"/>
      <c r="C8" s="72"/>
    </row>
    <row r="9" spans="1:3" x14ac:dyDescent="0.2">
      <c r="A9" t="s">
        <v>3168</v>
      </c>
      <c r="B9" s="16"/>
      <c r="C9" s="72"/>
    </row>
    <row r="10" spans="1:3" x14ac:dyDescent="0.2">
      <c r="A10" t="s">
        <v>3169</v>
      </c>
      <c r="B10" s="16"/>
      <c r="C10" s="72"/>
    </row>
    <row r="16" spans="1:3" ht="12.75" customHeight="1" x14ac:dyDescent="0.2">
      <c r="A16" s="57" t="s">
        <v>3170</v>
      </c>
    </row>
    <row r="18" spans="1:3" x14ac:dyDescent="0.2">
      <c r="A18" t="s">
        <v>3171</v>
      </c>
    </row>
    <row r="20" spans="1:3" x14ac:dyDescent="0.2">
      <c r="A20" s="58" t="s">
        <v>3172</v>
      </c>
    </row>
    <row r="21" spans="1:3" s="59" customFormat="1" x14ac:dyDescent="0.2">
      <c r="A21" s="59" t="s">
        <v>3173</v>
      </c>
    </row>
    <row r="23" spans="1:3" x14ac:dyDescent="0.2">
      <c r="A23" t="s">
        <v>3174</v>
      </c>
      <c r="B23" t="s">
        <v>3175</v>
      </c>
      <c r="C23" t="s">
        <v>3176</v>
      </c>
    </row>
    <row r="25" spans="1:3" x14ac:dyDescent="0.2">
      <c r="A25" s="56">
        <v>44595</v>
      </c>
      <c r="B25" t="s">
        <v>3177</v>
      </c>
      <c r="C25" t="s">
        <v>3178</v>
      </c>
    </row>
    <row r="26" spans="1:3" x14ac:dyDescent="0.2">
      <c r="A26" s="56"/>
      <c r="C26" t="s">
        <v>3179</v>
      </c>
    </row>
    <row r="27" spans="1:3" x14ac:dyDescent="0.2">
      <c r="A27" s="56"/>
      <c r="C27" t="s">
        <v>3180</v>
      </c>
    </row>
    <row r="28" spans="1:3" x14ac:dyDescent="0.2">
      <c r="A28" s="56"/>
      <c r="C28" t="s">
        <v>3181</v>
      </c>
    </row>
    <row r="29" spans="1:3" x14ac:dyDescent="0.2">
      <c r="C29" t="s">
        <v>3182</v>
      </c>
    </row>
    <row r="30" spans="1:3" ht="33.75" customHeight="1" x14ac:dyDescent="0.2">
      <c r="C30" s="71" t="s">
        <v>3183</v>
      </c>
    </row>
    <row r="31" spans="1:3" s="69" customFormat="1" ht="33.75" customHeight="1" x14ac:dyDescent="0.2">
      <c r="A31" s="68">
        <v>44734</v>
      </c>
      <c r="B31" s="69" t="s">
        <v>3177</v>
      </c>
      <c r="C31" s="70" t="s">
        <v>3184</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2" bestFit="1" customWidth="1"/>
    <col min="2" max="2" width="75.19921875" style="72" bestFit="1" customWidth="1"/>
    <col min="3" max="5" width="10.8984375" style="72" customWidth="1"/>
    <col min="6" max="16384" width="10.8984375" style="72"/>
  </cols>
  <sheetData>
    <row r="1" spans="1:2" s="62" customFormat="1" x14ac:dyDescent="0.2">
      <c r="A1" s="73" t="s">
        <v>3185</v>
      </c>
      <c r="B1" s="62" t="s">
        <v>3186</v>
      </c>
    </row>
    <row r="3" spans="1:2" x14ac:dyDescent="0.2">
      <c r="A3" s="61" t="s">
        <v>3187</v>
      </c>
    </row>
    <row r="4" spans="1:2" x14ac:dyDescent="0.2">
      <c r="A4" s="72" t="s">
        <v>3188</v>
      </c>
      <c r="B4" s="72" t="s">
        <v>3189</v>
      </c>
    </row>
    <row r="5" spans="1:2" x14ac:dyDescent="0.2">
      <c r="A5" s="72" t="s">
        <v>3190</v>
      </c>
      <c r="B5" s="72" t="s">
        <v>3191</v>
      </c>
    </row>
    <row r="7" spans="1:2" x14ac:dyDescent="0.2">
      <c r="A7" s="61" t="s">
        <v>3192</v>
      </c>
    </row>
    <row r="8" spans="1:2" x14ac:dyDescent="0.2">
      <c r="A8" s="72" t="s">
        <v>148</v>
      </c>
      <c r="B8" t="s">
        <v>961</v>
      </c>
    </row>
    <row r="9" spans="1:2" x14ac:dyDescent="0.2">
      <c r="A9" s="72" t="s">
        <v>3046</v>
      </c>
      <c r="B9" t="s">
        <v>1262</v>
      </c>
    </row>
    <row r="10" spans="1:2" x14ac:dyDescent="0.2">
      <c r="A10" s="72" t="s">
        <v>518</v>
      </c>
      <c r="B10" t="s">
        <v>1048</v>
      </c>
    </row>
    <row r="11" spans="1:2" x14ac:dyDescent="0.2">
      <c r="A11" s="72" t="s">
        <v>3193</v>
      </c>
      <c r="B11" t="s">
        <v>1101</v>
      </c>
    </row>
    <row r="12" spans="1:2" x14ac:dyDescent="0.2">
      <c r="A12" s="72" t="s">
        <v>182</v>
      </c>
      <c r="B12" s="72" t="s">
        <v>3194</v>
      </c>
    </row>
    <row r="13" spans="1:2" x14ac:dyDescent="0.2">
      <c r="A13" s="72" t="s">
        <v>145</v>
      </c>
      <c r="B13" t="s">
        <v>139</v>
      </c>
    </row>
    <row r="14" spans="1:2" x14ac:dyDescent="0.2">
      <c r="A14" s="72" t="s">
        <v>165</v>
      </c>
      <c r="B14" t="s">
        <v>207</v>
      </c>
    </row>
    <row r="15" spans="1:2" x14ac:dyDescent="0.2">
      <c r="A15" s="72" t="s">
        <v>174</v>
      </c>
      <c r="B15" t="s">
        <v>171</v>
      </c>
    </row>
    <row r="16" spans="1:2" x14ac:dyDescent="0.2">
      <c r="A16" s="72" t="s">
        <v>190</v>
      </c>
      <c r="B16" t="s">
        <v>188</v>
      </c>
    </row>
    <row r="17" spans="1:2" x14ac:dyDescent="0.2">
      <c r="A17" s="72" t="s">
        <v>3195</v>
      </c>
      <c r="B17" t="s">
        <v>3196</v>
      </c>
    </row>
    <row r="18" spans="1:2" x14ac:dyDescent="0.2">
      <c r="A18" s="72" t="s">
        <v>2832</v>
      </c>
      <c r="B18" t="s">
        <v>3197</v>
      </c>
    </row>
    <row r="19" spans="1:2" x14ac:dyDescent="0.2">
      <c r="A19" s="72" t="s">
        <v>3198</v>
      </c>
      <c r="B19" s="72" t="s">
        <v>3199</v>
      </c>
    </row>
    <row r="21" spans="1:2" x14ac:dyDescent="0.2">
      <c r="A21" s="61" t="s">
        <v>3200</v>
      </c>
    </row>
    <row r="22" spans="1:2" x14ac:dyDescent="0.2">
      <c r="A22" s="72" t="s">
        <v>266</v>
      </c>
      <c r="B22" s="72" t="s">
        <v>3201</v>
      </c>
    </row>
    <row r="23" spans="1:2" x14ac:dyDescent="0.2">
      <c r="A23" s="72" t="s">
        <v>313</v>
      </c>
      <c r="B23" s="72" t="s">
        <v>3202</v>
      </c>
    </row>
    <row r="24" spans="1:2" x14ac:dyDescent="0.2">
      <c r="A24" s="72" t="s">
        <v>228</v>
      </c>
      <c r="B24" s="72" t="s">
        <v>172</v>
      </c>
    </row>
    <row r="25" spans="1:2" x14ac:dyDescent="0.2">
      <c r="A25" s="72" t="s">
        <v>147</v>
      </c>
      <c r="B25" s="72" t="s">
        <v>3203</v>
      </c>
    </row>
    <row r="27" spans="1:2" x14ac:dyDescent="0.2">
      <c r="A27" s="61" t="s">
        <v>3204</v>
      </c>
    </row>
    <row r="28" spans="1:2" x14ac:dyDescent="0.2">
      <c r="A28" s="72" t="s">
        <v>586</v>
      </c>
      <c r="B28" s="72" t="s">
        <v>3205</v>
      </c>
    </row>
    <row r="29" spans="1:2" x14ac:dyDescent="0.2">
      <c r="A29" s="72" t="s">
        <v>287</v>
      </c>
      <c r="B29" s="72" t="s">
        <v>3206</v>
      </c>
    </row>
    <row r="30" spans="1:2" x14ac:dyDescent="0.2">
      <c r="A30" s="72" t="s">
        <v>669</v>
      </c>
      <c r="B30" s="72" t="s">
        <v>3207</v>
      </c>
    </row>
    <row r="31" spans="1:2" x14ac:dyDescent="0.2">
      <c r="A31" s="72" t="s">
        <v>606</v>
      </c>
      <c r="B31" s="72" t="s">
        <v>3208</v>
      </c>
    </row>
    <row r="33" spans="1:2" x14ac:dyDescent="0.2">
      <c r="A33" s="61" t="s">
        <v>3209</v>
      </c>
    </row>
    <row r="34" spans="1:2" x14ac:dyDescent="0.2">
      <c r="A34" s="72" t="s">
        <v>1476</v>
      </c>
      <c r="B34" s="72" t="s">
        <v>3210</v>
      </c>
    </row>
    <row r="35" spans="1:2" ht="45" customHeight="1" x14ac:dyDescent="0.2">
      <c r="A35" s="72" t="s">
        <v>3211</v>
      </c>
      <c r="B35" s="66" t="s">
        <v>3212</v>
      </c>
    </row>
    <row r="37" spans="1:2" ht="22.5" customHeight="1" x14ac:dyDescent="0.2">
      <c r="A37" s="60" t="s">
        <v>3213</v>
      </c>
    </row>
    <row r="38" spans="1:2" x14ac:dyDescent="0.2">
      <c r="A38" s="72" t="s">
        <v>237</v>
      </c>
      <c r="B38" s="72" t="s">
        <v>3214</v>
      </c>
    </row>
    <row r="39" spans="1:2" x14ac:dyDescent="0.2">
      <c r="A39" s="72" t="s">
        <v>228</v>
      </c>
      <c r="B39" s="72" t="s">
        <v>3215</v>
      </c>
    </row>
    <row r="40" spans="1:2" x14ac:dyDescent="0.2">
      <c r="A40" s="72" t="s">
        <v>3216</v>
      </c>
      <c r="B40" s="72" t="s">
        <v>3217</v>
      </c>
    </row>
    <row r="41" spans="1:2" x14ac:dyDescent="0.2">
      <c r="A41" s="72" t="s">
        <v>3218</v>
      </c>
      <c r="B41" s="72" t="s">
        <v>3219</v>
      </c>
    </row>
    <row r="42" spans="1:2" x14ac:dyDescent="0.2">
      <c r="A42" s="72" t="s">
        <v>837</v>
      </c>
      <c r="B42" s="72" t="s">
        <v>3220</v>
      </c>
    </row>
    <row r="43" spans="1:2" x14ac:dyDescent="0.2">
      <c r="A43" s="72" t="s">
        <v>560</v>
      </c>
      <c r="B43" s="72" t="s">
        <v>3221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58" workbookViewId="0">
      <selection activeCell="C72" sqref="C72"/>
    </sheetView>
  </sheetViews>
  <sheetFormatPr baseColWidth="10" defaultColWidth="11" defaultRowHeight="11.4" x14ac:dyDescent="0.2"/>
  <cols>
    <col min="1" max="1" width="16.69921875" style="66" customWidth="1"/>
    <col min="2" max="2" width="23.69921875" style="66" bestFit="1" customWidth="1"/>
    <col min="3" max="5" width="11" style="66" customWidth="1"/>
    <col min="6" max="16384" width="11" style="66"/>
  </cols>
  <sheetData>
    <row r="1" spans="1:3" ht="33.75" customHeight="1" x14ac:dyDescent="0.2">
      <c r="A1" s="76" t="s">
        <v>3222</v>
      </c>
      <c r="B1" s="77"/>
    </row>
    <row r="2" spans="1:3" ht="22.5" customHeight="1" x14ac:dyDescent="0.2">
      <c r="A2" s="66" t="s">
        <v>3223</v>
      </c>
      <c r="B2" s="63"/>
      <c r="C2" s="66" t="e">
        <f>Basis!#REF!</f>
        <v>#REF!</v>
      </c>
    </row>
    <row r="3" spans="1:3" ht="22.5" customHeight="1" x14ac:dyDescent="0.2">
      <c r="A3" s="66" t="s">
        <v>3224</v>
      </c>
      <c r="B3" s="63"/>
      <c r="C3" s="66" t="e">
        <f>Basis!#REF!</f>
        <v>#REF!</v>
      </c>
    </row>
    <row r="4" spans="1:3" ht="33.75" customHeight="1" x14ac:dyDescent="0.2">
      <c r="A4" s="66" t="s">
        <v>3225</v>
      </c>
      <c r="B4" s="63"/>
      <c r="C4" s="66" t="e">
        <f>Basis!#REF!</f>
        <v>#REF!</v>
      </c>
    </row>
    <row r="5" spans="1:3" ht="22.5" customHeight="1" x14ac:dyDescent="0.2">
      <c r="A5" s="66" t="s">
        <v>3226</v>
      </c>
      <c r="B5" s="63"/>
      <c r="C5" s="66" t="e">
        <f>Basis!#REF!</f>
        <v>#REF!</v>
      </c>
    </row>
    <row r="6" spans="1:3" x14ac:dyDescent="0.2">
      <c r="A6" s="66" t="s">
        <v>18</v>
      </c>
      <c r="B6" s="63" t="s">
        <v>189</v>
      </c>
      <c r="C6" s="66" t="e">
        <f>Basis!#REF!</f>
        <v>#REF!</v>
      </c>
    </row>
    <row r="7" spans="1:3" x14ac:dyDescent="0.2">
      <c r="B7" s="63" t="s">
        <v>140</v>
      </c>
      <c r="C7" s="66" t="e">
        <f>Basis!#REF!</f>
        <v>#REF!</v>
      </c>
    </row>
    <row r="8" spans="1:3" x14ac:dyDescent="0.2">
      <c r="B8" s="63" t="s">
        <v>162</v>
      </c>
      <c r="C8" s="66" t="e">
        <f>Basis!#REF!</f>
        <v>#REF!</v>
      </c>
    </row>
    <row r="9" spans="1:3" x14ac:dyDescent="0.2">
      <c r="B9" s="63" t="s">
        <v>181</v>
      </c>
      <c r="C9" s="66" t="e">
        <f>Basis!#REF!</f>
        <v>#REF!</v>
      </c>
    </row>
    <row r="10" spans="1:3" x14ac:dyDescent="0.2">
      <c r="A10" s="66" t="s">
        <v>3227</v>
      </c>
      <c r="B10" s="63"/>
      <c r="C10" s="66" t="e">
        <f>Basis!#REF!</f>
        <v>#REF!</v>
      </c>
    </row>
    <row r="11" spans="1:3" x14ac:dyDescent="0.2">
      <c r="A11" s="66" t="s">
        <v>3228</v>
      </c>
      <c r="B11" s="63"/>
      <c r="C11" s="66" t="e">
        <f>Basis!#REF!</f>
        <v>#REF!</v>
      </c>
    </row>
    <row r="12" spans="1:3" ht="22.5" customHeight="1" x14ac:dyDescent="0.2">
      <c r="A12" s="66" t="s">
        <v>32</v>
      </c>
      <c r="B12" s="63"/>
      <c r="C12" s="66" t="e">
        <f>Basis!#REF!</f>
        <v>#REF!</v>
      </c>
    </row>
    <row r="13" spans="1:3" ht="22.5" customHeight="1" x14ac:dyDescent="0.2">
      <c r="A13" s="66" t="s">
        <v>33</v>
      </c>
      <c r="B13" s="63"/>
      <c r="C13" s="66" t="e">
        <f>Basis!#REF!</f>
        <v>#REF!</v>
      </c>
    </row>
    <row r="14" spans="1:3" x14ac:dyDescent="0.2">
      <c r="A14" s="66" t="s">
        <v>3192</v>
      </c>
      <c r="B14" s="75" t="s">
        <v>961</v>
      </c>
      <c r="C14" s="66" t="e">
        <f>Basis!#REF!</f>
        <v>#REF!</v>
      </c>
    </row>
    <row r="15" spans="1:3" x14ac:dyDescent="0.2">
      <c r="B15" s="75" t="s">
        <v>1262</v>
      </c>
      <c r="C15" s="66" t="e">
        <f>Basis!#REF!</f>
        <v>#REF!</v>
      </c>
    </row>
    <row r="16" spans="1:3" x14ac:dyDescent="0.2">
      <c r="B16" s="75" t="s">
        <v>1048</v>
      </c>
      <c r="C16" s="66" t="e">
        <f>Basis!#REF!</f>
        <v>#REF!</v>
      </c>
    </row>
    <row r="17" spans="1:3" x14ac:dyDescent="0.2">
      <c r="B17" s="75" t="s">
        <v>1101</v>
      </c>
      <c r="C17" s="66" t="e">
        <f>Basis!#REF!</f>
        <v>#REF!</v>
      </c>
    </row>
    <row r="18" spans="1:3" x14ac:dyDescent="0.2">
      <c r="B18" s="64" t="s">
        <v>3194</v>
      </c>
      <c r="C18" s="66" t="e">
        <f>Basis!#REF!</f>
        <v>#REF!</v>
      </c>
    </row>
    <row r="19" spans="1:3" x14ac:dyDescent="0.2">
      <c r="B19" s="75" t="s">
        <v>139</v>
      </c>
      <c r="C19" s="66" t="e">
        <f>Basis!#REF!</f>
        <v>#REF!</v>
      </c>
    </row>
    <row r="20" spans="1:3" x14ac:dyDescent="0.2">
      <c r="B20" s="75" t="s">
        <v>207</v>
      </c>
      <c r="C20" s="66" t="e">
        <f>Basis!#REF!</f>
        <v>#REF!</v>
      </c>
    </row>
    <row r="21" spans="1:3" x14ac:dyDescent="0.2">
      <c r="B21" s="75" t="s">
        <v>171</v>
      </c>
      <c r="C21" s="65" t="e">
        <f>Basis!#REF!</f>
        <v>#REF!</v>
      </c>
    </row>
    <row r="22" spans="1:3" x14ac:dyDescent="0.2">
      <c r="B22" s="75" t="s">
        <v>188</v>
      </c>
      <c r="C22" s="65" t="e">
        <f>Basis!#REF!</f>
        <v>#REF!</v>
      </c>
    </row>
    <row r="23" spans="1:3" x14ac:dyDescent="0.2">
      <c r="B23" s="75" t="s">
        <v>3196</v>
      </c>
      <c r="C23" s="65" t="e">
        <f>Basis!#REF!</f>
        <v>#REF!</v>
      </c>
    </row>
    <row r="24" spans="1:3" x14ac:dyDescent="0.2">
      <c r="B24" s="75" t="s">
        <v>3197</v>
      </c>
      <c r="C24" s="66" t="e">
        <f>Basis!#REF!</f>
        <v>#REF!</v>
      </c>
    </row>
    <row r="25" spans="1:3" x14ac:dyDescent="0.2">
      <c r="B25" s="64" t="s">
        <v>3199</v>
      </c>
      <c r="C25" s="66" t="e">
        <f>Basis!#REF!</f>
        <v>#REF!</v>
      </c>
    </row>
    <row r="26" spans="1:3" x14ac:dyDescent="0.2">
      <c r="B26" s="64" t="s">
        <v>3229</v>
      </c>
    </row>
    <row r="27" spans="1:3" ht="22.5" customHeight="1" x14ac:dyDescent="0.2">
      <c r="A27" s="66" t="s">
        <v>3230</v>
      </c>
      <c r="B27" s="63"/>
      <c r="C27" s="66" t="e">
        <f>Basis!#REF!</f>
        <v>#REF!</v>
      </c>
    </row>
    <row r="28" spans="1:3" ht="22.5" customHeight="1" x14ac:dyDescent="0.2">
      <c r="A28" s="66" t="s">
        <v>3231</v>
      </c>
      <c r="B28" s="63"/>
      <c r="C28" s="66" t="e">
        <f>Basis!#REF!</f>
        <v>#REF!</v>
      </c>
    </row>
    <row r="29" spans="1:3" ht="33.75" customHeight="1" x14ac:dyDescent="0.2">
      <c r="A29" s="66" t="s">
        <v>3232</v>
      </c>
      <c r="B29" s="63"/>
      <c r="C29" s="66" t="e">
        <f>Basis!#REF!</f>
        <v>#REF!</v>
      </c>
    </row>
    <row r="30" spans="1:3" ht="22.5" customHeight="1" x14ac:dyDescent="0.2">
      <c r="A30" s="66" t="s">
        <v>3233</v>
      </c>
      <c r="B30" s="63"/>
      <c r="C30" s="66" t="e">
        <f>Basis!#REF!</f>
        <v>#REF!</v>
      </c>
    </row>
    <row r="31" spans="1:3" ht="22.5" customHeight="1" x14ac:dyDescent="0.2">
      <c r="A31" s="66" t="s">
        <v>3234</v>
      </c>
      <c r="B31" s="63"/>
      <c r="C31" s="66" t="e">
        <f>Basis!#REF!</f>
        <v>#REF!</v>
      </c>
    </row>
    <row r="32" spans="1:3" ht="33.75" customHeight="1" x14ac:dyDescent="0.2">
      <c r="A32" s="66" t="s">
        <v>3235</v>
      </c>
      <c r="B32" s="63"/>
      <c r="C32" s="66" t="e">
        <f>Basis!#REF!</f>
        <v>#REF!</v>
      </c>
    </row>
    <row r="33" spans="1:3" ht="22.5" customHeight="1" x14ac:dyDescent="0.2">
      <c r="A33" s="66" t="s">
        <v>3236</v>
      </c>
      <c r="B33" s="63"/>
      <c r="C33" s="66" t="e">
        <f>Basis!#REF!</f>
        <v>#REF!</v>
      </c>
    </row>
    <row r="34" spans="1:3" ht="22.5" customHeight="1" x14ac:dyDescent="0.2">
      <c r="A34" s="66" t="s">
        <v>3237</v>
      </c>
      <c r="B34" s="63"/>
      <c r="C34" s="66" t="e">
        <f>Basis!#REF!</f>
        <v>#REF!</v>
      </c>
    </row>
    <row r="35" spans="1:3" x14ac:dyDescent="0.2">
      <c r="A35" s="66" t="s">
        <v>3238</v>
      </c>
      <c r="B35" s="63"/>
      <c r="C35" s="66" t="e">
        <f>Basis!#REF!</f>
        <v>#REF!</v>
      </c>
    </row>
    <row r="36" spans="1:3" x14ac:dyDescent="0.2">
      <c r="A36" s="66" t="s">
        <v>3239</v>
      </c>
      <c r="B36" s="63" t="s">
        <v>3240</v>
      </c>
      <c r="C36" s="66" t="e">
        <f>Basis!#REF!</f>
        <v>#REF!</v>
      </c>
    </row>
    <row r="37" spans="1:3" x14ac:dyDescent="0.2">
      <c r="B37" s="63" t="s">
        <v>3241</v>
      </c>
      <c r="C37" s="65" t="e">
        <f>Basis!#REF!</f>
        <v>#REF!</v>
      </c>
    </row>
    <row r="38" spans="1:3" ht="22.5" customHeight="1" x14ac:dyDescent="0.2">
      <c r="A38" s="66" t="s">
        <v>3242</v>
      </c>
      <c r="B38" s="63"/>
      <c r="C38" s="66" t="e">
        <f>Basis!#REF!</f>
        <v>#REF!</v>
      </c>
    </row>
    <row r="39" spans="1:3" x14ac:dyDescent="0.2">
      <c r="A39" s="66" t="s">
        <v>3243</v>
      </c>
      <c r="B39" s="63"/>
      <c r="C39" s="66" t="e">
        <f>Basis!#REF!</f>
        <v>#REF!</v>
      </c>
    </row>
    <row r="40" spans="1:3" x14ac:dyDescent="0.2">
      <c r="A40" s="66" t="s">
        <v>47</v>
      </c>
      <c r="B40" s="63"/>
      <c r="C40" s="66" t="e">
        <f>Basis!#REF!</f>
        <v>#REF!</v>
      </c>
    </row>
    <row r="41" spans="1:3" ht="22.5" customHeight="1" x14ac:dyDescent="0.2">
      <c r="A41" s="66" t="s">
        <v>3244</v>
      </c>
      <c r="B41" s="63"/>
      <c r="C41" s="66" t="e">
        <f>Basis!#REF!</f>
        <v>#REF!</v>
      </c>
    </row>
    <row r="42" spans="1:3" ht="22.5" customHeight="1" x14ac:dyDescent="0.2">
      <c r="A42" s="66" t="s">
        <v>3245</v>
      </c>
      <c r="B42" s="63"/>
      <c r="C42" s="66" t="e">
        <f>Basis!#REF!</f>
        <v>#REF!</v>
      </c>
    </row>
    <row r="43" spans="1:3" ht="22.5" customHeight="1" x14ac:dyDescent="0.2">
      <c r="A43" s="66" t="s">
        <v>3246</v>
      </c>
      <c r="B43" s="63"/>
      <c r="C43" s="66" t="e">
        <f>Basis!#REF!</f>
        <v>#REF!</v>
      </c>
    </row>
    <row r="44" spans="1:3" ht="22.5" customHeight="1" x14ac:dyDescent="0.2">
      <c r="A44" s="66" t="s">
        <v>3247</v>
      </c>
      <c r="B44" s="63"/>
      <c r="C44" s="66" t="e">
        <f>Basis!#REF!</f>
        <v>#REF!</v>
      </c>
    </row>
    <row r="45" spans="1:3" ht="22.5" customHeight="1" x14ac:dyDescent="0.2">
      <c r="A45" s="66" t="s">
        <v>52</v>
      </c>
      <c r="B45" s="63"/>
    </row>
    <row r="46" spans="1:3" x14ac:dyDescent="0.2">
      <c r="A46" s="66" t="s">
        <v>3248</v>
      </c>
      <c r="B46" s="63"/>
      <c r="C46" s="66" t="e">
        <f>Basis!#REF!</f>
        <v>#REF!</v>
      </c>
    </row>
    <row r="47" spans="1:3" ht="45" customHeight="1" x14ac:dyDescent="0.2">
      <c r="A47" s="66" t="s">
        <v>3249</v>
      </c>
      <c r="B47" s="63"/>
      <c r="C47" s="66" t="e">
        <f>Basis!#REF!</f>
        <v>#REF!</v>
      </c>
    </row>
    <row r="48" spans="1:3" ht="22.5" customHeight="1" x14ac:dyDescent="0.2">
      <c r="A48" s="66" t="s">
        <v>3250</v>
      </c>
      <c r="B48" s="63"/>
      <c r="C48" s="66" t="e">
        <f>Basis!#REF!</f>
        <v>#REF!</v>
      </c>
    </row>
    <row r="49" spans="1:3" ht="33.75" customHeight="1" x14ac:dyDescent="0.2">
      <c r="A49" s="66" t="s">
        <v>3251</v>
      </c>
      <c r="B49" s="63"/>
      <c r="C49" s="66" t="e">
        <f>Basis!#REF!</f>
        <v>#REF!</v>
      </c>
    </row>
    <row r="50" spans="1:3" ht="33.75" customHeight="1" x14ac:dyDescent="0.2">
      <c r="A50" s="66" t="s">
        <v>3252</v>
      </c>
      <c r="B50" s="63"/>
    </row>
    <row r="51" spans="1:3" ht="22.5" customHeight="1" x14ac:dyDescent="0.2">
      <c r="A51" s="66" t="s">
        <v>3253</v>
      </c>
      <c r="B51" s="63">
        <v>0</v>
      </c>
      <c r="C51" s="66" t="e">
        <f>Basis!#REF!</f>
        <v>#REF!</v>
      </c>
    </row>
    <row r="52" spans="1:3" x14ac:dyDescent="0.2">
      <c r="B52" s="63">
        <v>45</v>
      </c>
      <c r="C52" s="66" t="e">
        <f>Basis!#REF!</f>
        <v>#REF!</v>
      </c>
    </row>
    <row r="53" spans="1:3" x14ac:dyDescent="0.2">
      <c r="B53" s="63" t="s">
        <v>983</v>
      </c>
      <c r="C53" s="66" t="e">
        <f>Basis!#REF!</f>
        <v>#REF!</v>
      </c>
    </row>
    <row r="54" spans="1:3" x14ac:dyDescent="0.2">
      <c r="B54" s="63">
        <v>60</v>
      </c>
      <c r="C54" s="66" t="e">
        <f>Basis!#REF!</f>
        <v>#REF!</v>
      </c>
    </row>
    <row r="55" spans="1:3" x14ac:dyDescent="0.2">
      <c r="B55" s="63" t="s">
        <v>200</v>
      </c>
      <c r="C55" s="66" t="e">
        <f>Basis!#REF!</f>
        <v>#REF!</v>
      </c>
    </row>
    <row r="56" spans="1:3" x14ac:dyDescent="0.2">
      <c r="B56" s="63">
        <v>80</v>
      </c>
      <c r="C56" s="66" t="e">
        <f>Basis!#REF!</f>
        <v>#REF!</v>
      </c>
    </row>
    <row r="57" spans="1:3" x14ac:dyDescent="0.2">
      <c r="B57" s="63" t="s">
        <v>3254</v>
      </c>
      <c r="C57" s="66" t="e">
        <f>Basis!#REF!</f>
        <v>#REF!</v>
      </c>
    </row>
    <row r="58" spans="1:3" x14ac:dyDescent="0.2">
      <c r="B58" s="63">
        <v>110</v>
      </c>
      <c r="C58" s="66" t="e">
        <f>Basis!#REF!</f>
        <v>#REF!</v>
      </c>
    </row>
    <row r="59" spans="1:3" x14ac:dyDescent="0.2">
      <c r="B59" s="63" t="s">
        <v>150</v>
      </c>
      <c r="C59" s="66" t="e">
        <f>Basis!#REF!</f>
        <v>#REF!</v>
      </c>
    </row>
    <row r="60" spans="1:3" x14ac:dyDescent="0.2">
      <c r="B60" s="63" t="s">
        <v>1476</v>
      </c>
      <c r="C60" s="66" t="e">
        <f>Basis!#REF!</f>
        <v>#REF!</v>
      </c>
    </row>
    <row r="61" spans="1:3" x14ac:dyDescent="0.2">
      <c r="B61" s="63">
        <v>180</v>
      </c>
      <c r="C61" s="66" t="e">
        <f>Basis!#REF!</f>
        <v>#REF!</v>
      </c>
    </row>
    <row r="62" spans="1:3" x14ac:dyDescent="0.2">
      <c r="B62" s="63" t="s">
        <v>502</v>
      </c>
      <c r="C62" s="66" t="e">
        <f>Basis!#REF!</f>
        <v>#REF!</v>
      </c>
    </row>
    <row r="63" spans="1:3" x14ac:dyDescent="0.2">
      <c r="A63" s="66" t="s">
        <v>3255</v>
      </c>
      <c r="B63" s="63"/>
      <c r="C63" s="66" t="e">
        <f>Basis!#REF!</f>
        <v>#REF!</v>
      </c>
    </row>
    <row r="64" spans="1:3" ht="33.75" customHeight="1" x14ac:dyDescent="0.2">
      <c r="A64" s="66" t="s">
        <v>3256</v>
      </c>
      <c r="B64" s="63"/>
      <c r="C64" s="66" t="e">
        <f>Basis!#REF!</f>
        <v>#REF!</v>
      </c>
    </row>
    <row r="65" spans="1:4" x14ac:dyDescent="0.2">
      <c r="A65" s="66" t="s">
        <v>3257</v>
      </c>
      <c r="B65" s="63"/>
      <c r="C65" s="66" t="e">
        <f>Basis!#REF!</f>
        <v>#REF!</v>
      </c>
    </row>
    <row r="66" spans="1:4" ht="22.5" customHeight="1" x14ac:dyDescent="0.2">
      <c r="A66" s="66" t="s">
        <v>3258</v>
      </c>
      <c r="B66" s="63"/>
      <c r="C66" s="66" t="e">
        <f>Basis!#REF!</f>
        <v>#REF!</v>
      </c>
    </row>
    <row r="67" spans="1:4" ht="33.75" customHeight="1" x14ac:dyDescent="0.2">
      <c r="A67" s="66" t="s">
        <v>63</v>
      </c>
      <c r="B67" s="63"/>
      <c r="C67" s="66" t="e">
        <f>Basis!#REF!</f>
        <v>#REF!</v>
      </c>
    </row>
    <row r="68" spans="1:4" ht="22.5" customHeight="1" x14ac:dyDescent="0.2">
      <c r="A68" s="66" t="s">
        <v>3259</v>
      </c>
      <c r="B68" s="63" t="s">
        <v>3260</v>
      </c>
      <c r="C68" s="66" t="e">
        <f>Basis!#REF!</f>
        <v>#REF!</v>
      </c>
    </row>
    <row r="69" spans="1:4" x14ac:dyDescent="0.2">
      <c r="B69" s="63" t="s">
        <v>3261</v>
      </c>
      <c r="C69" s="66" t="e">
        <f>Basis!#REF!</f>
        <v>#REF!</v>
      </c>
    </row>
    <row r="70" spans="1:4" x14ac:dyDescent="0.2">
      <c r="B70" s="63" t="s">
        <v>3262</v>
      </c>
      <c r="C70" s="66" t="e">
        <f>Basis!#REF!</f>
        <v>#REF!</v>
      </c>
    </row>
    <row r="71" spans="1:4" x14ac:dyDescent="0.2">
      <c r="B71" s="63" t="s">
        <v>3263</v>
      </c>
      <c r="C71" s="66" t="e">
        <f>Basis!#REF!</f>
        <v>#REF!</v>
      </c>
    </row>
    <row r="72" spans="1:4" x14ac:dyDescent="0.2">
      <c r="B72" s="63" t="s">
        <v>918</v>
      </c>
      <c r="C72" s="66" t="e">
        <f>Basis!#REF!</f>
        <v>#REF!</v>
      </c>
    </row>
    <row r="73" spans="1:4" ht="33.75" customHeight="1" x14ac:dyDescent="0.2">
      <c r="A73" s="66" t="s">
        <v>3264</v>
      </c>
      <c r="B73" s="63"/>
      <c r="C73" s="67" t="e">
        <f>Basis!#REF!</f>
        <v>#REF!</v>
      </c>
    </row>
    <row r="74" spans="1:4" ht="22.5" customHeight="1" x14ac:dyDescent="0.2">
      <c r="A74" s="66" t="s">
        <v>3265</v>
      </c>
      <c r="B74" s="63"/>
      <c r="C74" s="66" t="e">
        <f>Basis!#REF!</f>
        <v>#REF!</v>
      </c>
    </row>
    <row r="75" spans="1:4" x14ac:dyDescent="0.2">
      <c r="A75" s="66" t="s">
        <v>67</v>
      </c>
      <c r="B75" s="63"/>
      <c r="C75" s="66" t="e">
        <f>Basis!#REF!</f>
        <v>#REF!</v>
      </c>
    </row>
    <row r="76" spans="1:4" x14ac:dyDescent="0.2">
      <c r="A76" s="66" t="s">
        <v>68</v>
      </c>
      <c r="B76" s="63"/>
      <c r="C76" s="66" t="e">
        <f>Basis!#REF!</f>
        <v>#REF!</v>
      </c>
    </row>
    <row r="77" spans="1:4" x14ac:dyDescent="0.2">
      <c r="A77" s="66" t="s">
        <v>1724</v>
      </c>
      <c r="B77" s="63"/>
      <c r="C77" s="66" t="e">
        <f>Basis!#REF!</f>
        <v>#REF!</v>
      </c>
    </row>
    <row r="78" spans="1:4" x14ac:dyDescent="0.2">
      <c r="A78" s="66" t="s">
        <v>70</v>
      </c>
      <c r="B78" s="63"/>
      <c r="C78" s="66" t="e">
        <f>Basis!#REF!</f>
        <v>#REF!</v>
      </c>
    </row>
    <row r="79" spans="1:4" x14ac:dyDescent="0.2">
      <c r="A79" s="66" t="s">
        <v>3266</v>
      </c>
      <c r="B79" s="63"/>
      <c r="C79" s="66" t="e">
        <f>Basis!#REF!</f>
        <v>#REF!</v>
      </c>
      <c r="D79" s="66" t="e">
        <f>C79-Basis!#REF!</f>
        <v>#REF!</v>
      </c>
    </row>
    <row r="80" spans="1:4" x14ac:dyDescent="0.2">
      <c r="A80" s="66" t="s">
        <v>72</v>
      </c>
      <c r="B80" s="63"/>
      <c r="C80" s="66" t="e">
        <f>Basis!#REF!</f>
        <v>#REF!</v>
      </c>
    </row>
    <row r="81" spans="1:3" ht="22.5" customHeight="1" x14ac:dyDescent="0.2">
      <c r="A81" s="66" t="s">
        <v>73</v>
      </c>
      <c r="B81" s="63"/>
      <c r="C81" s="66" t="e">
        <f>Basis!#REF!</f>
        <v>#REF!</v>
      </c>
    </row>
    <row r="82" spans="1:3" ht="22.5" customHeight="1" x14ac:dyDescent="0.2">
      <c r="A82" s="66" t="s">
        <v>74</v>
      </c>
      <c r="B82" s="63" t="s">
        <v>3260</v>
      </c>
      <c r="C82" s="66" t="e">
        <f>Basis!#REF!</f>
        <v>#REF!</v>
      </c>
    </row>
    <row r="83" spans="1:3" x14ac:dyDescent="0.2">
      <c r="B83" s="63" t="s">
        <v>3267</v>
      </c>
      <c r="C83" s="66" t="e">
        <f>Basis!#REF!</f>
        <v>#REF!</v>
      </c>
    </row>
    <row r="84" spans="1:3" x14ac:dyDescent="0.2">
      <c r="B84" s="63" t="s">
        <v>3268</v>
      </c>
      <c r="C84" s="66" t="e">
        <f>Basis!#REF!</f>
        <v>#REF!</v>
      </c>
    </row>
    <row r="85" spans="1:3" ht="22.5" customHeight="1" x14ac:dyDescent="0.2">
      <c r="A85" s="66" t="s">
        <v>76</v>
      </c>
      <c r="B85" s="63"/>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5"/>
  <sheetViews>
    <sheetView topLeftCell="A340" workbookViewId="0">
      <selection activeCell="B77" sqref="B77"/>
    </sheetView>
  </sheetViews>
  <sheetFormatPr baseColWidth="10" defaultRowHeight="11.4" x14ac:dyDescent="0.2"/>
  <cols>
    <col min="1" max="1" width="18" style="74" customWidth="1"/>
    <col min="2" max="2" width="22.5" style="74" bestFit="1" customWidth="1"/>
  </cols>
  <sheetData>
    <row r="1" spans="1:2" x14ac:dyDescent="0.2">
      <c r="A1" t="s">
        <v>11</v>
      </c>
      <c r="B1" t="s">
        <v>11</v>
      </c>
    </row>
    <row r="2" spans="1:2" x14ac:dyDescent="0.2">
      <c r="A2" t="s">
        <v>3087</v>
      </c>
      <c r="B2" t="s">
        <v>913</v>
      </c>
    </row>
    <row r="3" spans="1:2" x14ac:dyDescent="0.2">
      <c r="A3" t="s">
        <v>136</v>
      </c>
      <c r="B3" t="s">
        <v>1074</v>
      </c>
    </row>
    <row r="4" spans="1:2" x14ac:dyDescent="0.2">
      <c r="A4" t="s">
        <v>159</v>
      </c>
      <c r="B4" t="s">
        <v>1078</v>
      </c>
    </row>
    <row r="5" spans="1:2" x14ac:dyDescent="0.2">
      <c r="A5" t="s">
        <v>169</v>
      </c>
      <c r="B5" t="s">
        <v>1085</v>
      </c>
    </row>
    <row r="6" spans="1:2" x14ac:dyDescent="0.2">
      <c r="A6" t="s">
        <v>177</v>
      </c>
      <c r="B6" t="s">
        <v>1096</v>
      </c>
    </row>
    <row r="7" spans="1:2" x14ac:dyDescent="0.2">
      <c r="A7" t="s">
        <v>186</v>
      </c>
      <c r="B7" t="s">
        <v>1104</v>
      </c>
    </row>
    <row r="8" spans="1:2" x14ac:dyDescent="0.2">
      <c r="A8" t="s">
        <v>195</v>
      </c>
      <c r="B8" t="s">
        <v>1115</v>
      </c>
    </row>
    <row r="9" spans="1:2" x14ac:dyDescent="0.2">
      <c r="A9" t="s">
        <v>205</v>
      </c>
      <c r="B9" t="s">
        <v>1127</v>
      </c>
    </row>
    <row r="10" spans="1:2" x14ac:dyDescent="0.2">
      <c r="A10" t="s">
        <v>210</v>
      </c>
      <c r="B10" t="s">
        <v>1137</v>
      </c>
    </row>
    <row r="11" spans="1:2" x14ac:dyDescent="0.2">
      <c r="A11" t="s">
        <v>216</v>
      </c>
      <c r="B11" t="s">
        <v>1146</v>
      </c>
    </row>
    <row r="12" spans="1:2" x14ac:dyDescent="0.2">
      <c r="A12" t="s">
        <v>225</v>
      </c>
      <c r="B12" t="s">
        <v>1161</v>
      </c>
    </row>
    <row r="13" spans="1:2" x14ac:dyDescent="0.2">
      <c r="A13" t="s">
        <v>234</v>
      </c>
      <c r="B13" t="s">
        <v>1170</v>
      </c>
    </row>
    <row r="14" spans="1:2" x14ac:dyDescent="0.2">
      <c r="A14" t="s">
        <v>241</v>
      </c>
      <c r="B14" t="s">
        <v>1175</v>
      </c>
    </row>
    <row r="15" spans="1:2" x14ac:dyDescent="0.2">
      <c r="A15" t="s">
        <v>248</v>
      </c>
      <c r="B15" t="s">
        <v>1181</v>
      </c>
    </row>
    <row r="16" spans="1:2" x14ac:dyDescent="0.2">
      <c r="A16" t="s">
        <v>253</v>
      </c>
      <c r="B16" t="s">
        <v>1237</v>
      </c>
    </row>
    <row r="17" spans="1:2" x14ac:dyDescent="0.2">
      <c r="A17" t="s">
        <v>260</v>
      </c>
      <c r="B17" t="s">
        <v>1241</v>
      </c>
    </row>
    <row r="18" spans="1:2" x14ac:dyDescent="0.2">
      <c r="A18" t="s">
        <v>264</v>
      </c>
      <c r="B18" t="s">
        <v>1245</v>
      </c>
    </row>
    <row r="19" spans="1:2" x14ac:dyDescent="0.2">
      <c r="A19" t="s">
        <v>271</v>
      </c>
      <c r="B19" t="s">
        <v>1249</v>
      </c>
    </row>
    <row r="20" spans="1:2" x14ac:dyDescent="0.2">
      <c r="A20" t="s">
        <v>275</v>
      </c>
      <c r="B20" t="s">
        <v>1252</v>
      </c>
    </row>
    <row r="21" spans="1:2" x14ac:dyDescent="0.2">
      <c r="A21" t="s">
        <v>283</v>
      </c>
      <c r="B21" t="s">
        <v>1256</v>
      </c>
    </row>
    <row r="22" spans="1:2" x14ac:dyDescent="0.2">
      <c r="A22" t="s">
        <v>294</v>
      </c>
      <c r="B22" t="s">
        <v>1260</v>
      </c>
    </row>
    <row r="23" spans="1:2" x14ac:dyDescent="0.2">
      <c r="A23" t="s">
        <v>3269</v>
      </c>
      <c r="B23" t="s">
        <v>3270</v>
      </c>
    </row>
    <row r="24" spans="1:2" x14ac:dyDescent="0.2">
      <c r="A24" t="s">
        <v>298</v>
      </c>
      <c r="B24" t="s">
        <v>1267</v>
      </c>
    </row>
    <row r="25" spans="1:2" x14ac:dyDescent="0.2">
      <c r="A25" t="s">
        <v>309</v>
      </c>
      <c r="B25" t="s">
        <v>1271</v>
      </c>
    </row>
    <row r="26" spans="1:2" x14ac:dyDescent="0.2">
      <c r="A26" t="s">
        <v>317</v>
      </c>
      <c r="B26" t="s">
        <v>1286</v>
      </c>
    </row>
    <row r="27" spans="1:2" x14ac:dyDescent="0.2">
      <c r="A27" t="s">
        <v>321</v>
      </c>
      <c r="B27" t="s">
        <v>1291</v>
      </c>
    </row>
    <row r="28" spans="1:2" x14ac:dyDescent="0.2">
      <c r="A28" t="s">
        <v>329</v>
      </c>
      <c r="B28" t="s">
        <v>1295</v>
      </c>
    </row>
    <row r="29" spans="1:2" x14ac:dyDescent="0.2">
      <c r="A29" t="s">
        <v>333</v>
      </c>
      <c r="B29" t="s">
        <v>1301</v>
      </c>
    </row>
    <row r="30" spans="1:2" x14ac:dyDescent="0.2">
      <c r="A30" t="s">
        <v>341</v>
      </c>
      <c r="B30" t="s">
        <v>1309</v>
      </c>
    </row>
    <row r="31" spans="1:2" x14ac:dyDescent="0.2">
      <c r="A31" t="s">
        <v>346</v>
      </c>
      <c r="B31" t="s">
        <v>1319</v>
      </c>
    </row>
    <row r="32" spans="1:2" x14ac:dyDescent="0.2">
      <c r="A32" t="s">
        <v>350</v>
      </c>
      <c r="B32" t="s">
        <v>1323</v>
      </c>
    </row>
    <row r="33" spans="1:2" x14ac:dyDescent="0.2">
      <c r="A33" t="s">
        <v>354</v>
      </c>
      <c r="B33" t="s">
        <v>1327</v>
      </c>
    </row>
    <row r="34" spans="1:2" x14ac:dyDescent="0.2">
      <c r="A34" t="s">
        <v>359</v>
      </c>
      <c r="B34" t="s">
        <v>1336</v>
      </c>
    </row>
    <row r="35" spans="1:2" x14ac:dyDescent="0.2">
      <c r="A35" t="s">
        <v>363</v>
      </c>
      <c r="B35" t="s">
        <v>1385</v>
      </c>
    </row>
    <row r="36" spans="1:2" x14ac:dyDescent="0.2">
      <c r="A36" t="s">
        <v>367</v>
      </c>
      <c r="B36" t="s">
        <v>1411</v>
      </c>
    </row>
    <row r="37" spans="1:2" x14ac:dyDescent="0.2">
      <c r="A37" t="s">
        <v>371</v>
      </c>
      <c r="B37" t="s">
        <v>1424</v>
      </c>
    </row>
    <row r="38" spans="1:2" x14ac:dyDescent="0.2">
      <c r="A38" t="s">
        <v>375</v>
      </c>
      <c r="B38" t="s">
        <v>1426</v>
      </c>
    </row>
    <row r="39" spans="1:2" x14ac:dyDescent="0.2">
      <c r="A39" t="s">
        <v>379</v>
      </c>
      <c r="B39" t="s">
        <v>1440</v>
      </c>
    </row>
    <row r="40" spans="1:2" x14ac:dyDescent="0.2">
      <c r="A40" t="s">
        <v>384</v>
      </c>
      <c r="B40" t="s">
        <v>3271</v>
      </c>
    </row>
    <row r="41" spans="1:2" x14ac:dyDescent="0.2">
      <c r="A41" t="s">
        <v>389</v>
      </c>
      <c r="B41" t="s">
        <v>1469</v>
      </c>
    </row>
    <row r="42" spans="1:2" x14ac:dyDescent="0.2">
      <c r="A42" t="s">
        <v>392</v>
      </c>
      <c r="B42" t="s">
        <v>1472</v>
      </c>
    </row>
    <row r="43" spans="1:2" x14ac:dyDescent="0.2">
      <c r="A43" t="s">
        <v>395</v>
      </c>
      <c r="B43" t="s">
        <v>1502</v>
      </c>
    </row>
    <row r="44" spans="1:2" x14ac:dyDescent="0.2">
      <c r="A44" t="s">
        <v>405</v>
      </c>
      <c r="B44" t="s">
        <v>1522</v>
      </c>
    </row>
    <row r="45" spans="1:2" x14ac:dyDescent="0.2">
      <c r="A45" t="s">
        <v>409</v>
      </c>
      <c r="B45" t="s">
        <v>3272</v>
      </c>
    </row>
    <row r="46" spans="1:2" x14ac:dyDescent="0.2">
      <c r="A46" t="s">
        <v>413</v>
      </c>
      <c r="B46" t="s">
        <v>1655</v>
      </c>
    </row>
    <row r="47" spans="1:2" x14ac:dyDescent="0.2">
      <c r="A47" t="s">
        <v>419</v>
      </c>
      <c r="B47" t="s">
        <v>1659</v>
      </c>
    </row>
    <row r="48" spans="1:2" x14ac:dyDescent="0.2">
      <c r="A48" t="s">
        <v>423</v>
      </c>
      <c r="B48" t="s">
        <v>1669</v>
      </c>
    </row>
    <row r="49" spans="1:2" x14ac:dyDescent="0.2">
      <c r="A49" t="s">
        <v>427</v>
      </c>
      <c r="B49" t="s">
        <v>1678</v>
      </c>
    </row>
    <row r="50" spans="1:2" x14ac:dyDescent="0.2">
      <c r="A50" t="s">
        <v>431</v>
      </c>
      <c r="B50" t="s">
        <v>1687</v>
      </c>
    </row>
    <row r="51" spans="1:2" x14ac:dyDescent="0.2">
      <c r="A51" t="s">
        <v>435</v>
      </c>
      <c r="B51" t="s">
        <v>1700</v>
      </c>
    </row>
    <row r="52" spans="1:2" x14ac:dyDescent="0.2">
      <c r="A52" t="s">
        <v>442</v>
      </c>
      <c r="B52" t="s">
        <v>1714</v>
      </c>
    </row>
    <row r="53" spans="1:2" x14ac:dyDescent="0.2">
      <c r="A53" t="s">
        <v>3273</v>
      </c>
      <c r="B53" t="s">
        <v>1725</v>
      </c>
    </row>
    <row r="54" spans="1:2" x14ac:dyDescent="0.2">
      <c r="A54" t="s">
        <v>3274</v>
      </c>
      <c r="B54" t="s">
        <v>1732</v>
      </c>
    </row>
    <row r="55" spans="1:2" x14ac:dyDescent="0.2">
      <c r="A55" t="s">
        <v>3275</v>
      </c>
      <c r="B55" t="s">
        <v>1736</v>
      </c>
    </row>
    <row r="56" spans="1:2" x14ac:dyDescent="0.2">
      <c r="A56" t="s">
        <v>448</v>
      </c>
      <c r="B56" t="s">
        <v>1744</v>
      </c>
    </row>
    <row r="57" spans="1:2" x14ac:dyDescent="0.2">
      <c r="A57" t="s">
        <v>457</v>
      </c>
      <c r="B57" t="s">
        <v>1850</v>
      </c>
    </row>
    <row r="58" spans="1:2" x14ac:dyDescent="0.2">
      <c r="A58" t="s">
        <v>461</v>
      </c>
      <c r="B58" t="s">
        <v>1933</v>
      </c>
    </row>
    <row r="59" spans="1:2" x14ac:dyDescent="0.2">
      <c r="A59" t="s">
        <v>465</v>
      </c>
      <c r="B59" t="s">
        <v>1951</v>
      </c>
    </row>
    <row r="60" spans="1:2" x14ac:dyDescent="0.2">
      <c r="A60" t="s">
        <v>469</v>
      </c>
      <c r="B60" t="s">
        <v>2011</v>
      </c>
    </row>
    <row r="61" spans="1:2" x14ac:dyDescent="0.2">
      <c r="A61" t="s">
        <v>475</v>
      </c>
      <c r="B61" t="s">
        <v>2014</v>
      </c>
    </row>
    <row r="62" spans="1:2" x14ac:dyDescent="0.2">
      <c r="A62" t="s">
        <v>480</v>
      </c>
      <c r="B62" t="s">
        <v>2018</v>
      </c>
    </row>
    <row r="63" spans="1:2" x14ac:dyDescent="0.2">
      <c r="A63" t="s">
        <v>484</v>
      </c>
      <c r="B63" t="s">
        <v>2022</v>
      </c>
    </row>
    <row r="64" spans="1:2" x14ac:dyDescent="0.2">
      <c r="A64" t="s">
        <v>489</v>
      </c>
      <c r="B64" t="s">
        <v>2029</v>
      </c>
    </row>
    <row r="65" spans="1:2" x14ac:dyDescent="0.2">
      <c r="A65" t="s">
        <v>496</v>
      </c>
      <c r="B65" t="s">
        <v>2040</v>
      </c>
    </row>
    <row r="66" spans="1:2" x14ac:dyDescent="0.2">
      <c r="A66" t="s">
        <v>500</v>
      </c>
      <c r="B66" t="s">
        <v>2046</v>
      </c>
    </row>
    <row r="67" spans="1:2" x14ac:dyDescent="0.2">
      <c r="A67" t="s">
        <v>506</v>
      </c>
      <c r="B67" t="s">
        <v>2053</v>
      </c>
    </row>
    <row r="68" spans="1:2" x14ac:dyDescent="0.2">
      <c r="A68" t="s">
        <v>511</v>
      </c>
      <c r="B68" t="s">
        <v>2067</v>
      </c>
    </row>
    <row r="69" spans="1:2" x14ac:dyDescent="0.2">
      <c r="A69" t="s">
        <v>515</v>
      </c>
      <c r="B69" t="s">
        <v>2077</v>
      </c>
    </row>
    <row r="70" spans="1:2" x14ac:dyDescent="0.2">
      <c r="A70" t="s">
        <v>526</v>
      </c>
      <c r="B70" t="s">
        <v>2082</v>
      </c>
    </row>
    <row r="71" spans="1:2" x14ac:dyDescent="0.2">
      <c r="A71" t="s">
        <v>530</v>
      </c>
      <c r="B71" t="s">
        <v>2086</v>
      </c>
    </row>
    <row r="72" spans="1:2" x14ac:dyDescent="0.2">
      <c r="A72" t="s">
        <v>535</v>
      </c>
      <c r="B72" t="s">
        <v>2102</v>
      </c>
    </row>
    <row r="73" spans="1:2" x14ac:dyDescent="0.2">
      <c r="A73" t="s">
        <v>542</v>
      </c>
      <c r="B73" t="s">
        <v>2105</v>
      </c>
    </row>
    <row r="74" spans="1:2" x14ac:dyDescent="0.2">
      <c r="A74" t="s">
        <v>547</v>
      </c>
      <c r="B74" t="s">
        <v>2109</v>
      </c>
    </row>
    <row r="75" spans="1:2" x14ac:dyDescent="0.2">
      <c r="A75" t="s">
        <v>556</v>
      </c>
      <c r="B75" t="s">
        <v>2116</v>
      </c>
    </row>
    <row r="76" spans="1:2" x14ac:dyDescent="0.2">
      <c r="A76" t="s">
        <v>556</v>
      </c>
      <c r="B76" t="s">
        <v>2119</v>
      </c>
    </row>
    <row r="77" spans="1:2" x14ac:dyDescent="0.2">
      <c r="A77" t="s">
        <v>565</v>
      </c>
      <c r="B77" t="s">
        <v>2123</v>
      </c>
    </row>
    <row r="78" spans="1:2" x14ac:dyDescent="0.2">
      <c r="A78" t="s">
        <v>571</v>
      </c>
      <c r="B78" t="s">
        <v>2126</v>
      </c>
    </row>
    <row r="79" spans="1:2" x14ac:dyDescent="0.2">
      <c r="A79" t="s">
        <v>576</v>
      </c>
      <c r="B79" t="s">
        <v>2131</v>
      </c>
    </row>
    <row r="80" spans="1:2" x14ac:dyDescent="0.2">
      <c r="A80" t="s">
        <v>580</v>
      </c>
      <c r="B80" t="s">
        <v>2136</v>
      </c>
    </row>
    <row r="81" spans="1:2" x14ac:dyDescent="0.2">
      <c r="A81" t="s">
        <v>584</v>
      </c>
      <c r="B81" t="s">
        <v>2139</v>
      </c>
    </row>
    <row r="82" spans="1:2" x14ac:dyDescent="0.2">
      <c r="A82" t="s">
        <v>589</v>
      </c>
      <c r="B82" t="s">
        <v>2143</v>
      </c>
    </row>
    <row r="83" spans="1:2" x14ac:dyDescent="0.2">
      <c r="A83" t="s">
        <v>593</v>
      </c>
      <c r="B83" t="s">
        <v>2146</v>
      </c>
    </row>
    <row r="84" spans="1:2" x14ac:dyDescent="0.2">
      <c r="A84" t="s">
        <v>596</v>
      </c>
      <c r="B84" t="s">
        <v>2236</v>
      </c>
    </row>
    <row r="85" spans="1:2" x14ac:dyDescent="0.2">
      <c r="A85" t="s">
        <v>600</v>
      </c>
      <c r="B85" t="s">
        <v>2240</v>
      </c>
    </row>
    <row r="86" spans="1:2" x14ac:dyDescent="0.2">
      <c r="A86" t="s">
        <v>604</v>
      </c>
      <c r="B86" t="s">
        <v>2245</v>
      </c>
    </row>
    <row r="87" spans="1:2" x14ac:dyDescent="0.2">
      <c r="A87" t="s">
        <v>614</v>
      </c>
      <c r="B87" t="s">
        <v>2249</v>
      </c>
    </row>
    <row r="88" spans="1:2" x14ac:dyDescent="0.2">
      <c r="A88" t="s">
        <v>622</v>
      </c>
      <c r="B88" t="s">
        <v>2252</v>
      </c>
    </row>
    <row r="89" spans="1:2" x14ac:dyDescent="0.2">
      <c r="A89" t="s">
        <v>630</v>
      </c>
      <c r="B89" t="s">
        <v>2256</v>
      </c>
    </row>
    <row r="90" spans="1:2" x14ac:dyDescent="0.2">
      <c r="A90" t="s">
        <v>640</v>
      </c>
      <c r="B90" t="s">
        <v>2273</v>
      </c>
    </row>
    <row r="91" spans="1:2" x14ac:dyDescent="0.2">
      <c r="A91" t="s">
        <v>645</v>
      </c>
      <c r="B91" t="s">
        <v>2277</v>
      </c>
    </row>
    <row r="92" spans="1:2" x14ac:dyDescent="0.2">
      <c r="A92" t="s">
        <v>649</v>
      </c>
      <c r="B92" t="s">
        <v>2281</v>
      </c>
    </row>
    <row r="93" spans="1:2" x14ac:dyDescent="0.2">
      <c r="A93" t="s">
        <v>653</v>
      </c>
      <c r="B93" t="s">
        <v>2285</v>
      </c>
    </row>
    <row r="94" spans="1:2" x14ac:dyDescent="0.2">
      <c r="A94" t="s">
        <v>657</v>
      </c>
      <c r="B94" t="s">
        <v>2289</v>
      </c>
    </row>
    <row r="95" spans="1:2" x14ac:dyDescent="0.2">
      <c r="A95" t="s">
        <v>664</v>
      </c>
      <c r="B95" t="s">
        <v>2292</v>
      </c>
    </row>
    <row r="96" spans="1:2" x14ac:dyDescent="0.2">
      <c r="A96" t="s">
        <v>668</v>
      </c>
      <c r="B96" t="s">
        <v>2296</v>
      </c>
    </row>
    <row r="97" spans="1:2" x14ac:dyDescent="0.2">
      <c r="A97" t="s">
        <v>672</v>
      </c>
      <c r="B97" t="s">
        <v>2299</v>
      </c>
    </row>
    <row r="98" spans="1:2" x14ac:dyDescent="0.2">
      <c r="A98" t="s">
        <v>676</v>
      </c>
      <c r="B98" t="s">
        <v>2302</v>
      </c>
    </row>
    <row r="99" spans="1:2" x14ac:dyDescent="0.2">
      <c r="A99" t="s">
        <v>681</v>
      </c>
      <c r="B99" t="s">
        <v>2305</v>
      </c>
    </row>
    <row r="100" spans="1:2" x14ac:dyDescent="0.2">
      <c r="A100" t="s">
        <v>685</v>
      </c>
      <c r="B100" t="s">
        <v>2313</v>
      </c>
    </row>
    <row r="101" spans="1:2" x14ac:dyDescent="0.2">
      <c r="A101" t="s">
        <v>688</v>
      </c>
      <c r="B101" t="s">
        <v>2321</v>
      </c>
    </row>
    <row r="102" spans="1:2" x14ac:dyDescent="0.2">
      <c r="A102" t="s">
        <v>693</v>
      </c>
      <c r="B102" t="s">
        <v>2343</v>
      </c>
    </row>
    <row r="103" spans="1:2" x14ac:dyDescent="0.2">
      <c r="A103" t="s">
        <v>698</v>
      </c>
      <c r="B103" t="s">
        <v>2353</v>
      </c>
    </row>
    <row r="104" spans="1:2" x14ac:dyDescent="0.2">
      <c r="A104" t="s">
        <v>699</v>
      </c>
      <c r="B104" t="s">
        <v>2357</v>
      </c>
    </row>
    <row r="105" spans="1:2" x14ac:dyDescent="0.2">
      <c r="A105" t="s">
        <v>702</v>
      </c>
      <c r="B105" t="s">
        <v>2368</v>
      </c>
    </row>
    <row r="106" spans="1:2" x14ac:dyDescent="0.2">
      <c r="A106" t="s">
        <v>705</v>
      </c>
      <c r="B106" t="s">
        <v>2388</v>
      </c>
    </row>
    <row r="107" spans="1:2" x14ac:dyDescent="0.2">
      <c r="A107" t="s">
        <v>709</v>
      </c>
      <c r="B107" t="s">
        <v>2408</v>
      </c>
    </row>
    <row r="108" spans="1:2" x14ac:dyDescent="0.2">
      <c r="A108" t="s">
        <v>715</v>
      </c>
      <c r="B108" t="s">
        <v>2413</v>
      </c>
    </row>
    <row r="109" spans="1:2" x14ac:dyDescent="0.2">
      <c r="A109" t="s">
        <v>718</v>
      </c>
      <c r="B109" t="s">
        <v>2417</v>
      </c>
    </row>
    <row r="110" spans="1:2" x14ac:dyDescent="0.2">
      <c r="A110" t="s">
        <v>722</v>
      </c>
      <c r="B110" t="s">
        <v>2421</v>
      </c>
    </row>
    <row r="111" spans="1:2" x14ac:dyDescent="0.2">
      <c r="A111" t="s">
        <v>726</v>
      </c>
      <c r="B111" t="s">
        <v>2425</v>
      </c>
    </row>
    <row r="112" spans="1:2" x14ac:dyDescent="0.2">
      <c r="A112" t="s">
        <v>730</v>
      </c>
      <c r="B112" t="s">
        <v>2428</v>
      </c>
    </row>
    <row r="113" spans="1:2" x14ac:dyDescent="0.2">
      <c r="A113" t="s">
        <v>735</v>
      </c>
      <c r="B113" t="s">
        <v>2437</v>
      </c>
    </row>
    <row r="114" spans="1:2" x14ac:dyDescent="0.2">
      <c r="A114" t="s">
        <v>740</v>
      </c>
      <c r="B114" t="s">
        <v>2441</v>
      </c>
    </row>
    <row r="115" spans="1:2" x14ac:dyDescent="0.2">
      <c r="A115" t="s">
        <v>747</v>
      </c>
      <c r="B115" t="s">
        <v>2445</v>
      </c>
    </row>
    <row r="116" spans="1:2" x14ac:dyDescent="0.2">
      <c r="A116" t="s">
        <v>751</v>
      </c>
      <c r="B116" t="s">
        <v>2450</v>
      </c>
    </row>
    <row r="117" spans="1:2" x14ac:dyDescent="0.2">
      <c r="A117" t="s">
        <v>758</v>
      </c>
      <c r="B117" t="s">
        <v>2454</v>
      </c>
    </row>
    <row r="118" spans="1:2" x14ac:dyDescent="0.2">
      <c r="A118" t="s">
        <v>764</v>
      </c>
      <c r="B118" t="s">
        <v>2461</v>
      </c>
    </row>
    <row r="119" spans="1:2" x14ac:dyDescent="0.2">
      <c r="A119" t="s">
        <v>772</v>
      </c>
      <c r="B119" t="s">
        <v>2465</v>
      </c>
    </row>
    <row r="120" spans="1:2" x14ac:dyDescent="0.2">
      <c r="A120" t="s">
        <v>777</v>
      </c>
      <c r="B120" t="s">
        <v>2469</v>
      </c>
    </row>
    <row r="121" spans="1:2" x14ac:dyDescent="0.2">
      <c r="A121" t="s">
        <v>783</v>
      </c>
      <c r="B121" t="s">
        <v>2474</v>
      </c>
    </row>
    <row r="122" spans="1:2" x14ac:dyDescent="0.2">
      <c r="A122" t="s">
        <v>787</v>
      </c>
      <c r="B122" t="s">
        <v>3070</v>
      </c>
    </row>
    <row r="123" spans="1:2" x14ac:dyDescent="0.2">
      <c r="A123" t="s">
        <v>792</v>
      </c>
      <c r="B123" t="s">
        <v>2477</v>
      </c>
    </row>
    <row r="124" spans="1:2" x14ac:dyDescent="0.2">
      <c r="A124" t="s">
        <v>798</v>
      </c>
      <c r="B124" t="s">
        <v>2481</v>
      </c>
    </row>
    <row r="125" spans="1:2" x14ac:dyDescent="0.2">
      <c r="A125" t="s">
        <v>802</v>
      </c>
      <c r="B125" t="s">
        <v>2485</v>
      </c>
    </row>
    <row r="126" spans="1:2" x14ac:dyDescent="0.2">
      <c r="A126" t="s">
        <v>808</v>
      </c>
      <c r="B126" t="s">
        <v>2489</v>
      </c>
    </row>
    <row r="127" spans="1:2" x14ac:dyDescent="0.2">
      <c r="A127" t="s">
        <v>812</v>
      </c>
      <c r="B127" t="s">
        <v>2497</v>
      </c>
    </row>
    <row r="128" spans="1:2" x14ac:dyDescent="0.2">
      <c r="A128" t="s">
        <v>817</v>
      </c>
      <c r="B128" t="s">
        <v>2501</v>
      </c>
    </row>
    <row r="129" spans="1:2" x14ac:dyDescent="0.2">
      <c r="A129" t="s">
        <v>822</v>
      </c>
      <c r="B129" t="s">
        <v>2504</v>
      </c>
    </row>
    <row r="130" spans="1:2" x14ac:dyDescent="0.2">
      <c r="A130" t="s">
        <v>827</v>
      </c>
      <c r="B130" t="s">
        <v>2559</v>
      </c>
    </row>
    <row r="131" spans="1:2" x14ac:dyDescent="0.2">
      <c r="A131" t="s">
        <v>832</v>
      </c>
      <c r="B131" t="s">
        <v>2579</v>
      </c>
    </row>
    <row r="132" spans="1:2" x14ac:dyDescent="0.2">
      <c r="A132" t="s">
        <v>836</v>
      </c>
      <c r="B132" t="s">
        <v>2592</v>
      </c>
    </row>
    <row r="133" spans="1:2" x14ac:dyDescent="0.2">
      <c r="A133" t="s">
        <v>840</v>
      </c>
      <c r="B133" t="s">
        <v>2625</v>
      </c>
    </row>
    <row r="134" spans="1:2" x14ac:dyDescent="0.2">
      <c r="A134" t="s">
        <v>845</v>
      </c>
      <c r="B134" t="s">
        <v>2651</v>
      </c>
    </row>
    <row r="135" spans="1:2" x14ac:dyDescent="0.2">
      <c r="A135" t="s">
        <v>849</v>
      </c>
      <c r="B135" t="s">
        <v>2655</v>
      </c>
    </row>
    <row r="136" spans="1:2" x14ac:dyDescent="0.2">
      <c r="A136" t="s">
        <v>853</v>
      </c>
      <c r="B136" t="s">
        <v>2659</v>
      </c>
    </row>
    <row r="137" spans="1:2" x14ac:dyDescent="0.2">
      <c r="A137" t="s">
        <v>857</v>
      </c>
      <c r="B137" t="s">
        <v>2667</v>
      </c>
    </row>
    <row r="138" spans="1:2" x14ac:dyDescent="0.2">
      <c r="A138" t="s">
        <v>861</v>
      </c>
      <c r="B138" t="s">
        <v>2671</v>
      </c>
    </row>
    <row r="139" spans="1:2" x14ac:dyDescent="0.2">
      <c r="A139" t="s">
        <v>864</v>
      </c>
      <c r="B139" t="s">
        <v>2676</v>
      </c>
    </row>
    <row r="140" spans="1:2" x14ac:dyDescent="0.2">
      <c r="A140" t="s">
        <v>869</v>
      </c>
      <c r="B140" t="s">
        <v>2680</v>
      </c>
    </row>
    <row r="141" spans="1:2" x14ac:dyDescent="0.2">
      <c r="A141" t="s">
        <v>873</v>
      </c>
      <c r="B141" t="s">
        <v>2684</v>
      </c>
    </row>
    <row r="142" spans="1:2" x14ac:dyDescent="0.2">
      <c r="A142" t="s">
        <v>877</v>
      </c>
    </row>
    <row r="143" spans="1:2" x14ac:dyDescent="0.2">
      <c r="A143" t="s">
        <v>881</v>
      </c>
    </row>
    <row r="144" spans="1:2" x14ac:dyDescent="0.2">
      <c r="A144" t="s">
        <v>884</v>
      </c>
    </row>
    <row r="145" spans="1:1" x14ac:dyDescent="0.2">
      <c r="A145" t="s">
        <v>889</v>
      </c>
    </row>
    <row r="146" spans="1:1" x14ac:dyDescent="0.2">
      <c r="A146" t="s">
        <v>893</v>
      </c>
    </row>
    <row r="147" spans="1:1" x14ac:dyDescent="0.2">
      <c r="A147" t="s">
        <v>897</v>
      </c>
    </row>
    <row r="148" spans="1:1" x14ac:dyDescent="0.2">
      <c r="A148" t="s">
        <v>901</v>
      </c>
    </row>
    <row r="149" spans="1:1" x14ac:dyDescent="0.2">
      <c r="A149" t="s">
        <v>905</v>
      </c>
    </row>
    <row r="150" spans="1:1" x14ac:dyDescent="0.2">
      <c r="A150" t="s">
        <v>909</v>
      </c>
    </row>
    <row r="151" spans="1:1" x14ac:dyDescent="0.2">
      <c r="A151" t="s">
        <v>913</v>
      </c>
    </row>
    <row r="152" spans="1:1" x14ac:dyDescent="0.2">
      <c r="A152" t="s">
        <v>922</v>
      </c>
    </row>
    <row r="153" spans="1:1" x14ac:dyDescent="0.2">
      <c r="A153" t="s">
        <v>926</v>
      </c>
    </row>
    <row r="154" spans="1:1" x14ac:dyDescent="0.2">
      <c r="A154" t="s">
        <v>931</v>
      </c>
    </row>
    <row r="155" spans="1:1" x14ac:dyDescent="0.2">
      <c r="A155" t="s">
        <v>935</v>
      </c>
    </row>
    <row r="156" spans="1:1" x14ac:dyDescent="0.2">
      <c r="A156" t="s">
        <v>941</v>
      </c>
    </row>
    <row r="157" spans="1:1" x14ac:dyDescent="0.2">
      <c r="A157" t="s">
        <v>945</v>
      </c>
    </row>
    <row r="158" spans="1:1" x14ac:dyDescent="0.2">
      <c r="A158" t="s">
        <v>949</v>
      </c>
    </row>
    <row r="159" spans="1:1" x14ac:dyDescent="0.2">
      <c r="A159" t="s">
        <v>955</v>
      </c>
    </row>
    <row r="160" spans="1:1" x14ac:dyDescent="0.2">
      <c r="A160" t="s">
        <v>959</v>
      </c>
    </row>
    <row r="161" spans="1:1" x14ac:dyDescent="0.2">
      <c r="A161" t="s">
        <v>964</v>
      </c>
    </row>
    <row r="162" spans="1:1" x14ac:dyDescent="0.2">
      <c r="A162" t="s">
        <v>968</v>
      </c>
    </row>
    <row r="163" spans="1:1" x14ac:dyDescent="0.2">
      <c r="A163" t="s">
        <v>972</v>
      </c>
    </row>
    <row r="164" spans="1:1" x14ac:dyDescent="0.2">
      <c r="A164" t="s">
        <v>976</v>
      </c>
    </row>
    <row r="165" spans="1:1" x14ac:dyDescent="0.2">
      <c r="A165" t="s">
        <v>981</v>
      </c>
    </row>
    <row r="166" spans="1:1" x14ac:dyDescent="0.2">
      <c r="A166" t="s">
        <v>985</v>
      </c>
    </row>
    <row r="167" spans="1:1" x14ac:dyDescent="0.2">
      <c r="A167" t="s">
        <v>990</v>
      </c>
    </row>
    <row r="168" spans="1:1" x14ac:dyDescent="0.2">
      <c r="A168" t="s">
        <v>994</v>
      </c>
    </row>
    <row r="169" spans="1:1" x14ac:dyDescent="0.2">
      <c r="A169" t="s">
        <v>3276</v>
      </c>
    </row>
    <row r="170" spans="1:1" x14ac:dyDescent="0.2">
      <c r="A170" t="s">
        <v>1001</v>
      </c>
    </row>
    <row r="171" spans="1:1" x14ac:dyDescent="0.2">
      <c r="A171" t="s">
        <v>1005</v>
      </c>
    </row>
    <row r="172" spans="1:1" x14ac:dyDescent="0.2">
      <c r="A172" t="s">
        <v>1010</v>
      </c>
    </row>
    <row r="173" spans="1:1" x14ac:dyDescent="0.2">
      <c r="A173" t="s">
        <v>1014</v>
      </c>
    </row>
    <row r="174" spans="1:1" x14ac:dyDescent="0.2">
      <c r="A174" t="s">
        <v>1018</v>
      </c>
    </row>
    <row r="175" spans="1:1" x14ac:dyDescent="0.2">
      <c r="A175" t="s">
        <v>1022</v>
      </c>
    </row>
    <row r="176" spans="1:1" x14ac:dyDescent="0.2">
      <c r="A176" t="s">
        <v>1026</v>
      </c>
    </row>
    <row r="177" spans="1:1" x14ac:dyDescent="0.2">
      <c r="A177" t="s">
        <v>1030</v>
      </c>
    </row>
    <row r="178" spans="1:1" x14ac:dyDescent="0.2">
      <c r="A178" t="s">
        <v>1034</v>
      </c>
    </row>
    <row r="179" spans="1:1" x14ac:dyDescent="0.2">
      <c r="A179" t="s">
        <v>1040</v>
      </c>
    </row>
    <row r="180" spans="1:1" x14ac:dyDescent="0.2">
      <c r="A180" t="s">
        <v>1046</v>
      </c>
    </row>
    <row r="181" spans="1:1" x14ac:dyDescent="0.2">
      <c r="A181" t="s">
        <v>1051</v>
      </c>
    </row>
    <row r="182" spans="1:1" x14ac:dyDescent="0.2">
      <c r="A182" t="s">
        <v>1055</v>
      </c>
    </row>
    <row r="183" spans="1:1" x14ac:dyDescent="0.2">
      <c r="A183" t="s">
        <v>1059</v>
      </c>
    </row>
    <row r="184" spans="1:1" x14ac:dyDescent="0.2">
      <c r="A184" t="s">
        <v>1066</v>
      </c>
    </row>
    <row r="185" spans="1:1" x14ac:dyDescent="0.2">
      <c r="A185" t="s">
        <v>3277</v>
      </c>
    </row>
    <row r="186" spans="1:1" x14ac:dyDescent="0.2">
      <c r="A186" t="s">
        <v>1078</v>
      </c>
    </row>
    <row r="187" spans="1:1" x14ac:dyDescent="0.2">
      <c r="A187" t="s">
        <v>1081</v>
      </c>
    </row>
    <row r="188" spans="1:1" x14ac:dyDescent="0.2">
      <c r="A188" t="s">
        <v>1089</v>
      </c>
    </row>
    <row r="189" spans="1:1" x14ac:dyDescent="0.2">
      <c r="A189" t="s">
        <v>1093</v>
      </c>
    </row>
    <row r="190" spans="1:1" x14ac:dyDescent="0.2">
      <c r="A190" t="s">
        <v>1099</v>
      </c>
    </row>
    <row r="191" spans="1:1" x14ac:dyDescent="0.2">
      <c r="A191" t="s">
        <v>1108</v>
      </c>
    </row>
    <row r="192" spans="1:1" x14ac:dyDescent="0.2">
      <c r="A192" t="s">
        <v>1111</v>
      </c>
    </row>
    <row r="193" spans="1:1" x14ac:dyDescent="0.2">
      <c r="A193" t="s">
        <v>1119</v>
      </c>
    </row>
    <row r="194" spans="1:1" x14ac:dyDescent="0.2">
      <c r="A194" t="s">
        <v>1123</v>
      </c>
    </row>
    <row r="195" spans="1:1" x14ac:dyDescent="0.2">
      <c r="A195" t="s">
        <v>1132</v>
      </c>
    </row>
    <row r="196" spans="1:1" x14ac:dyDescent="0.2">
      <c r="A196" t="s">
        <v>1141</v>
      </c>
    </row>
    <row r="197" spans="1:1" x14ac:dyDescent="0.2">
      <c r="A197" t="s">
        <v>1153</v>
      </c>
    </row>
    <row r="198" spans="1:1" x14ac:dyDescent="0.2">
      <c r="A198" t="s">
        <v>1157</v>
      </c>
    </row>
    <row r="199" spans="1:1" x14ac:dyDescent="0.2">
      <c r="A199" t="s">
        <v>1166</v>
      </c>
    </row>
    <row r="200" spans="1:1" x14ac:dyDescent="0.2">
      <c r="A200" t="s">
        <v>1175</v>
      </c>
    </row>
    <row r="201" spans="1:1" x14ac:dyDescent="0.2">
      <c r="A201" t="s">
        <v>1178</v>
      </c>
    </row>
    <row r="202" spans="1:1" x14ac:dyDescent="0.2">
      <c r="A202" t="s">
        <v>1186</v>
      </c>
    </row>
    <row r="203" spans="1:1" x14ac:dyDescent="0.2">
      <c r="A203" t="s">
        <v>1189</v>
      </c>
    </row>
    <row r="204" spans="1:1" x14ac:dyDescent="0.2">
      <c r="A204" t="s">
        <v>1193</v>
      </c>
    </row>
    <row r="205" spans="1:1" x14ac:dyDescent="0.2">
      <c r="A205" t="s">
        <v>1197</v>
      </c>
    </row>
    <row r="206" spans="1:1" x14ac:dyDescent="0.2">
      <c r="A206" t="s">
        <v>1207</v>
      </c>
    </row>
    <row r="207" spans="1:1" x14ac:dyDescent="0.2">
      <c r="A207" t="s">
        <v>1211</v>
      </c>
    </row>
    <row r="208" spans="1:1" x14ac:dyDescent="0.2">
      <c r="A208" t="s">
        <v>1216</v>
      </c>
    </row>
    <row r="209" spans="1:1" x14ac:dyDescent="0.2">
      <c r="A209" t="s">
        <v>1220</v>
      </c>
    </row>
    <row r="210" spans="1:1" x14ac:dyDescent="0.2">
      <c r="A210" t="s">
        <v>1225</v>
      </c>
    </row>
    <row r="211" spans="1:1" x14ac:dyDescent="0.2">
      <c r="A211" t="s">
        <v>1229</v>
      </c>
    </row>
    <row r="212" spans="1:1" x14ac:dyDescent="0.2">
      <c r="A212" t="s">
        <v>1233</v>
      </c>
    </row>
    <row r="213" spans="1:1" x14ac:dyDescent="0.2">
      <c r="A213" t="s">
        <v>1332</v>
      </c>
    </row>
    <row r="214" spans="1:1" x14ac:dyDescent="0.2">
      <c r="A214" t="s">
        <v>1341</v>
      </c>
    </row>
    <row r="215" spans="1:1" x14ac:dyDescent="0.2">
      <c r="A215" t="s">
        <v>1346</v>
      </c>
    </row>
    <row r="216" spans="1:1" x14ac:dyDescent="0.2">
      <c r="A216" t="s">
        <v>1350</v>
      </c>
    </row>
    <row r="217" spans="1:1" x14ac:dyDescent="0.2">
      <c r="A217" t="s">
        <v>1353</v>
      </c>
    </row>
    <row r="218" spans="1:1" x14ac:dyDescent="0.2">
      <c r="A218" t="s">
        <v>1361</v>
      </c>
    </row>
    <row r="219" spans="1:1" x14ac:dyDescent="0.2">
      <c r="A219" t="s">
        <v>1366</v>
      </c>
    </row>
    <row r="220" spans="1:1" x14ac:dyDescent="0.2">
      <c r="A220" t="s">
        <v>1369</v>
      </c>
    </row>
    <row r="221" spans="1:1" x14ac:dyDescent="0.2">
      <c r="A221" t="s">
        <v>1376</v>
      </c>
    </row>
    <row r="222" spans="1:1" x14ac:dyDescent="0.2">
      <c r="A222" t="s">
        <v>1381</v>
      </c>
    </row>
    <row r="223" spans="1:1" x14ac:dyDescent="0.2">
      <c r="A223" t="s">
        <v>1389</v>
      </c>
    </row>
    <row r="224" spans="1:1" x14ac:dyDescent="0.2">
      <c r="A224" t="s">
        <v>1404</v>
      </c>
    </row>
    <row r="225" spans="1:1" x14ac:dyDescent="0.2">
      <c r="A225" t="s">
        <v>1408</v>
      </c>
    </row>
    <row r="226" spans="1:1" x14ac:dyDescent="0.2">
      <c r="A226" t="s">
        <v>1415</v>
      </c>
    </row>
    <row r="227" spans="1:1" x14ac:dyDescent="0.2">
      <c r="A227" t="s">
        <v>1417</v>
      </c>
    </row>
    <row r="228" spans="1:1" x14ac:dyDescent="0.2">
      <c r="A228" t="s">
        <v>1418</v>
      </c>
    </row>
    <row r="229" spans="1:1" x14ac:dyDescent="0.2">
      <c r="A229" t="s">
        <v>3278</v>
      </c>
    </row>
    <row r="230" spans="1:1" x14ac:dyDescent="0.2">
      <c r="A230" t="s">
        <v>1429</v>
      </c>
    </row>
    <row r="231" spans="1:1" x14ac:dyDescent="0.2">
      <c r="A231" t="s">
        <v>1433</v>
      </c>
    </row>
    <row r="232" spans="1:1" x14ac:dyDescent="0.2">
      <c r="A232" t="s">
        <v>1436</v>
      </c>
    </row>
    <row r="233" spans="1:1" x14ac:dyDescent="0.2">
      <c r="A233" t="s">
        <v>1457</v>
      </c>
    </row>
    <row r="234" spans="1:1" x14ac:dyDescent="0.2">
      <c r="A234" t="s">
        <v>1460</v>
      </c>
    </row>
    <row r="235" spans="1:1" x14ac:dyDescent="0.2">
      <c r="A235" t="s">
        <v>1465</v>
      </c>
    </row>
    <row r="236" spans="1:1" x14ac:dyDescent="0.2">
      <c r="A236" t="s">
        <v>1482</v>
      </c>
    </row>
    <row r="237" spans="1:1" x14ac:dyDescent="0.2">
      <c r="A237" t="s">
        <v>1490</v>
      </c>
    </row>
    <row r="238" spans="1:1" x14ac:dyDescent="0.2">
      <c r="A238" t="s">
        <v>1494</v>
      </c>
    </row>
    <row r="239" spans="1:1" x14ac:dyDescent="0.2">
      <c r="A239" t="s">
        <v>1498</v>
      </c>
    </row>
    <row r="240" spans="1:1" x14ac:dyDescent="0.2">
      <c r="A240" t="s">
        <v>1514</v>
      </c>
    </row>
    <row r="241" spans="1:1" x14ac:dyDescent="0.2">
      <c r="A241" t="s">
        <v>1518</v>
      </c>
    </row>
    <row r="242" spans="1:1" x14ac:dyDescent="0.2">
      <c r="A242" t="s">
        <v>1526</v>
      </c>
    </row>
    <row r="243" spans="1:1" x14ac:dyDescent="0.2">
      <c r="A243" t="s">
        <v>1530</v>
      </c>
    </row>
    <row r="244" spans="1:1" x14ac:dyDescent="0.2">
      <c r="A244" t="s">
        <v>1535</v>
      </c>
    </row>
    <row r="245" spans="1:1" x14ac:dyDescent="0.2">
      <c r="A245" t="s">
        <v>1540</v>
      </c>
    </row>
    <row r="246" spans="1:1" x14ac:dyDescent="0.2">
      <c r="A246" t="s">
        <v>1544</v>
      </c>
    </row>
    <row r="247" spans="1:1" x14ac:dyDescent="0.2">
      <c r="A247" t="s">
        <v>1548</v>
      </c>
    </row>
    <row r="248" spans="1:1" x14ac:dyDescent="0.2">
      <c r="A248" t="s">
        <v>1552</v>
      </c>
    </row>
    <row r="249" spans="1:1" x14ac:dyDescent="0.2">
      <c r="A249" t="s">
        <v>1555</v>
      </c>
    </row>
    <row r="250" spans="1:1" x14ac:dyDescent="0.2">
      <c r="A250" t="s">
        <v>1559</v>
      </c>
    </row>
    <row r="251" spans="1:1" x14ac:dyDescent="0.2">
      <c r="A251" t="s">
        <v>1563</v>
      </c>
    </row>
    <row r="252" spans="1:1" x14ac:dyDescent="0.2">
      <c r="A252" t="s">
        <v>1567</v>
      </c>
    </row>
    <row r="253" spans="1:1" x14ac:dyDescent="0.2">
      <c r="A253" t="s">
        <v>1571</v>
      </c>
    </row>
    <row r="254" spans="1:1" x14ac:dyDescent="0.2">
      <c r="A254" t="s">
        <v>1575</v>
      </c>
    </row>
    <row r="255" spans="1:1" x14ac:dyDescent="0.2">
      <c r="A255" t="s">
        <v>1578</v>
      </c>
    </row>
    <row r="256" spans="1:1" x14ac:dyDescent="0.2">
      <c r="A256" t="s">
        <v>1594</v>
      </c>
    </row>
    <row r="257" spans="1:1" x14ac:dyDescent="0.2">
      <c r="A257" t="s">
        <v>1597</v>
      </c>
    </row>
    <row r="258" spans="1:1" x14ac:dyDescent="0.2">
      <c r="A258" t="s">
        <v>1602</v>
      </c>
    </row>
    <row r="259" spans="1:1" x14ac:dyDescent="0.2">
      <c r="A259" t="s">
        <v>1606</v>
      </c>
    </row>
    <row r="260" spans="1:1" x14ac:dyDescent="0.2">
      <c r="A260" t="s">
        <v>1611</v>
      </c>
    </row>
    <row r="261" spans="1:1" x14ac:dyDescent="0.2">
      <c r="A261" t="s">
        <v>1615</v>
      </c>
    </row>
    <row r="262" spans="1:1" x14ac:dyDescent="0.2">
      <c r="A262" t="s">
        <v>1621</v>
      </c>
    </row>
    <row r="263" spans="1:1" x14ac:dyDescent="0.2">
      <c r="A263" t="s">
        <v>1628</v>
      </c>
    </row>
    <row r="264" spans="1:1" x14ac:dyDescent="0.2">
      <c r="A264" t="s">
        <v>1633</v>
      </c>
    </row>
    <row r="265" spans="1:1" x14ac:dyDescent="0.2">
      <c r="A265" t="s">
        <v>1637</v>
      </c>
    </row>
    <row r="266" spans="1:1" x14ac:dyDescent="0.2">
      <c r="A266" t="s">
        <v>1640</v>
      </c>
    </row>
    <row r="267" spans="1:1" x14ac:dyDescent="0.2">
      <c r="A267" t="s">
        <v>1645</v>
      </c>
    </row>
    <row r="268" spans="1:1" x14ac:dyDescent="0.2">
      <c r="A268" t="s">
        <v>1648</v>
      </c>
    </row>
    <row r="269" spans="1:1" x14ac:dyDescent="0.2">
      <c r="A269" t="s">
        <v>1665</v>
      </c>
    </row>
    <row r="270" spans="1:1" x14ac:dyDescent="0.2">
      <c r="A270" t="s">
        <v>1673</v>
      </c>
    </row>
    <row r="271" spans="1:1" x14ac:dyDescent="0.2">
      <c r="A271" t="s">
        <v>1682</v>
      </c>
    </row>
    <row r="272" spans="1:1" x14ac:dyDescent="0.2">
      <c r="A272" t="s">
        <v>1692</v>
      </c>
    </row>
    <row r="273" spans="1:1" x14ac:dyDescent="0.2">
      <c r="A273" t="s">
        <v>1696</v>
      </c>
    </row>
    <row r="274" spans="1:1" x14ac:dyDescent="0.2">
      <c r="A274" t="s">
        <v>1704</v>
      </c>
    </row>
    <row r="275" spans="1:1" x14ac:dyDescent="0.2">
      <c r="A275" t="s">
        <v>1708</v>
      </c>
    </row>
    <row r="276" spans="1:1" x14ac:dyDescent="0.2">
      <c r="A276" t="s">
        <v>1717</v>
      </c>
    </row>
    <row r="277" spans="1:1" x14ac:dyDescent="0.2">
      <c r="A277" t="s">
        <v>1723</v>
      </c>
    </row>
    <row r="278" spans="1:1" x14ac:dyDescent="0.2">
      <c r="A278" t="s">
        <v>1728</v>
      </c>
    </row>
    <row r="279" spans="1:1" x14ac:dyDescent="0.2">
      <c r="A279" t="s">
        <v>1740</v>
      </c>
    </row>
    <row r="280" spans="1:1" x14ac:dyDescent="0.2">
      <c r="A280" t="s">
        <v>1748</v>
      </c>
    </row>
    <row r="281" spans="1:1" x14ac:dyDescent="0.2">
      <c r="A281" t="s">
        <v>3279</v>
      </c>
    </row>
    <row r="282" spans="1:1" x14ac:dyDescent="0.2">
      <c r="A282" t="s">
        <v>3280</v>
      </c>
    </row>
    <row r="283" spans="1:1" x14ac:dyDescent="0.2">
      <c r="A283" t="s">
        <v>3281</v>
      </c>
    </row>
    <row r="284" spans="1:1" x14ac:dyDescent="0.2">
      <c r="A284" t="s">
        <v>1774</v>
      </c>
    </row>
    <row r="285" spans="1:1" x14ac:dyDescent="0.2">
      <c r="A285" t="s">
        <v>1784</v>
      </c>
    </row>
    <row r="286" spans="1:1" x14ac:dyDescent="0.2">
      <c r="A286" t="s">
        <v>1789</v>
      </c>
    </row>
    <row r="287" spans="1:1" x14ac:dyDescent="0.2">
      <c r="A287" t="s">
        <v>1793</v>
      </c>
    </row>
    <row r="288" spans="1:1" x14ac:dyDescent="0.2">
      <c r="A288" t="s">
        <v>1796</v>
      </c>
    </row>
    <row r="289" spans="1:1" x14ac:dyDescent="0.2">
      <c r="A289" t="s">
        <v>1802</v>
      </c>
    </row>
    <row r="290" spans="1:1" x14ac:dyDescent="0.2">
      <c r="A290" t="s">
        <v>1808</v>
      </c>
    </row>
    <row r="291" spans="1:1" x14ac:dyDescent="0.2">
      <c r="A291" t="s">
        <v>1812</v>
      </c>
    </row>
    <row r="292" spans="1:1" x14ac:dyDescent="0.2">
      <c r="A292" t="s">
        <v>1816</v>
      </c>
    </row>
    <row r="293" spans="1:1" x14ac:dyDescent="0.2">
      <c r="A293" t="s">
        <v>1821</v>
      </c>
    </row>
    <row r="294" spans="1:1" x14ac:dyDescent="0.2">
      <c r="A294" t="s">
        <v>1827</v>
      </c>
    </row>
    <row r="295" spans="1:1" x14ac:dyDescent="0.2">
      <c r="A295" t="s">
        <v>1831</v>
      </c>
    </row>
    <row r="296" spans="1:1" x14ac:dyDescent="0.2">
      <c r="A296" t="s">
        <v>1835</v>
      </c>
    </row>
    <row r="297" spans="1:1" x14ac:dyDescent="0.2">
      <c r="A297" t="s">
        <v>1839</v>
      </c>
    </row>
    <row r="298" spans="1:1" x14ac:dyDescent="0.2">
      <c r="A298" t="s">
        <v>1846</v>
      </c>
    </row>
    <row r="299" spans="1:1" x14ac:dyDescent="0.2">
      <c r="A299" t="s">
        <v>1854</v>
      </c>
    </row>
    <row r="300" spans="1:1" x14ac:dyDescent="0.2">
      <c r="A300" t="s">
        <v>1859</v>
      </c>
    </row>
    <row r="301" spans="1:1" x14ac:dyDescent="0.2">
      <c r="A301" t="s">
        <v>1862</v>
      </c>
    </row>
    <row r="302" spans="1:1" x14ac:dyDescent="0.2">
      <c r="A302" t="s">
        <v>1866</v>
      </c>
    </row>
    <row r="303" spans="1:1" x14ac:dyDescent="0.2">
      <c r="A303" t="s">
        <v>1871</v>
      </c>
    </row>
    <row r="304" spans="1:1" x14ac:dyDescent="0.2">
      <c r="A304" t="s">
        <v>1872</v>
      </c>
    </row>
    <row r="305" spans="1:1" x14ac:dyDescent="0.2">
      <c r="A305" t="s">
        <v>1876</v>
      </c>
    </row>
    <row r="306" spans="1:1" x14ac:dyDescent="0.2">
      <c r="A306" t="s">
        <v>1879</v>
      </c>
    </row>
    <row r="307" spans="1:1" x14ac:dyDescent="0.2">
      <c r="A307" t="s">
        <v>1880</v>
      </c>
    </row>
    <row r="308" spans="1:1" x14ac:dyDescent="0.2">
      <c r="A308" t="s">
        <v>1881</v>
      </c>
    </row>
    <row r="309" spans="1:1" x14ac:dyDescent="0.2">
      <c r="A309" t="s">
        <v>1882</v>
      </c>
    </row>
    <row r="310" spans="1:1" x14ac:dyDescent="0.2">
      <c r="A310" t="s">
        <v>1884</v>
      </c>
    </row>
    <row r="311" spans="1:1" x14ac:dyDescent="0.2">
      <c r="A311" t="s">
        <v>1916</v>
      </c>
    </row>
    <row r="312" spans="1:1" x14ac:dyDescent="0.2">
      <c r="A312" t="s">
        <v>1929</v>
      </c>
    </row>
    <row r="313" spans="1:1" x14ac:dyDescent="0.2">
      <c r="A313" t="s">
        <v>1947</v>
      </c>
    </row>
    <row r="314" spans="1:1" x14ac:dyDescent="0.2">
      <c r="A314" t="s">
        <v>1955</v>
      </c>
    </row>
    <row r="315" spans="1:1" x14ac:dyDescent="0.2">
      <c r="A315" t="s">
        <v>1959</v>
      </c>
    </row>
    <row r="316" spans="1:1" x14ac:dyDescent="0.2">
      <c r="A316" t="s">
        <v>1963</v>
      </c>
    </row>
    <row r="317" spans="1:1" x14ac:dyDescent="0.2">
      <c r="A317" t="s">
        <v>1979</v>
      </c>
    </row>
    <row r="318" spans="1:1" x14ac:dyDescent="0.2">
      <c r="A318" t="s">
        <v>1987</v>
      </c>
    </row>
    <row r="319" spans="1:1" x14ac:dyDescent="0.2">
      <c r="A319" t="s">
        <v>1990</v>
      </c>
    </row>
    <row r="320" spans="1:1" x14ac:dyDescent="0.2">
      <c r="A320" t="s">
        <v>1995</v>
      </c>
    </row>
    <row r="321" spans="1:1" x14ac:dyDescent="0.2">
      <c r="A321" t="s">
        <v>2000</v>
      </c>
    </row>
    <row r="322" spans="1:1" x14ac:dyDescent="0.2">
      <c r="A322" t="s">
        <v>2007</v>
      </c>
    </row>
    <row r="323" spans="1:1" x14ac:dyDescent="0.2">
      <c r="A323" t="s">
        <v>2034</v>
      </c>
    </row>
    <row r="324" spans="1:1" x14ac:dyDescent="0.2">
      <c r="A324" t="s">
        <v>2038</v>
      </c>
    </row>
    <row r="325" spans="1:1" x14ac:dyDescent="0.2">
      <c r="A325" t="s">
        <v>2043</v>
      </c>
    </row>
    <row r="326" spans="1:1" x14ac:dyDescent="0.2">
      <c r="A326" t="s">
        <v>2050</v>
      </c>
    </row>
    <row r="327" spans="1:1" x14ac:dyDescent="0.2">
      <c r="A327" t="s">
        <v>2058</v>
      </c>
    </row>
    <row r="328" spans="1:1" x14ac:dyDescent="0.2">
      <c r="A328" t="s">
        <v>2062</v>
      </c>
    </row>
    <row r="329" spans="1:1" x14ac:dyDescent="0.2">
      <c r="A329" t="s">
        <v>2073</v>
      </c>
    </row>
    <row r="330" spans="1:1" x14ac:dyDescent="0.2">
      <c r="A330" t="s">
        <v>2077</v>
      </c>
    </row>
    <row r="331" spans="1:1" x14ac:dyDescent="0.2">
      <c r="A331" t="s">
        <v>2089</v>
      </c>
    </row>
    <row r="332" spans="1:1" x14ac:dyDescent="0.2">
      <c r="A332" t="s">
        <v>2091</v>
      </c>
    </row>
    <row r="333" spans="1:1" x14ac:dyDescent="0.2">
      <c r="A333" t="s">
        <v>2098</v>
      </c>
    </row>
    <row r="334" spans="1:1" x14ac:dyDescent="0.2">
      <c r="A334" t="s">
        <v>2149</v>
      </c>
    </row>
    <row r="335" spans="1:1" x14ac:dyDescent="0.2">
      <c r="A335" t="s">
        <v>2153</v>
      </c>
    </row>
    <row r="336" spans="1:1" x14ac:dyDescent="0.2">
      <c r="A336" t="s">
        <v>2157</v>
      </c>
    </row>
    <row r="337" spans="1:1" x14ac:dyDescent="0.2">
      <c r="A337" t="s">
        <v>2162</v>
      </c>
    </row>
    <row r="338" spans="1:1" x14ac:dyDescent="0.2">
      <c r="A338" t="s">
        <v>2169</v>
      </c>
    </row>
    <row r="339" spans="1:1" x14ac:dyDescent="0.2">
      <c r="A339" t="s">
        <v>2173</v>
      </c>
    </row>
    <row r="340" spans="1:1" x14ac:dyDescent="0.2">
      <c r="A340" t="s">
        <v>2177</v>
      </c>
    </row>
    <row r="341" spans="1:1" x14ac:dyDescent="0.2">
      <c r="A341" t="s">
        <v>2181</v>
      </c>
    </row>
    <row r="342" spans="1:1" x14ac:dyDescent="0.2">
      <c r="A342" t="s">
        <v>2185</v>
      </c>
    </row>
    <row r="343" spans="1:1" x14ac:dyDescent="0.2">
      <c r="A343" t="s">
        <v>2189</v>
      </c>
    </row>
    <row r="344" spans="1:1" x14ac:dyDescent="0.2">
      <c r="A344" t="s">
        <v>2196</v>
      </c>
    </row>
    <row r="345" spans="1:1" x14ac:dyDescent="0.2">
      <c r="A345" t="s">
        <v>2200</v>
      </c>
    </row>
    <row r="346" spans="1:1" x14ac:dyDescent="0.2">
      <c r="A346" t="s">
        <v>2204</v>
      </c>
    </row>
    <row r="347" spans="1:1" x14ac:dyDescent="0.2">
      <c r="A347" t="s">
        <v>2207</v>
      </c>
    </row>
    <row r="348" spans="1:1" x14ac:dyDescent="0.2">
      <c r="A348" t="s">
        <v>2210</v>
      </c>
    </row>
    <row r="349" spans="1:1" x14ac:dyDescent="0.2">
      <c r="A349" t="s">
        <v>2215</v>
      </c>
    </row>
    <row r="350" spans="1:1" x14ac:dyDescent="0.2">
      <c r="A350" t="s">
        <v>2221</v>
      </c>
    </row>
    <row r="351" spans="1:1" x14ac:dyDescent="0.2">
      <c r="A351" t="s">
        <v>2228</v>
      </c>
    </row>
    <row r="352" spans="1:1" x14ac:dyDescent="0.2">
      <c r="A352" t="s">
        <v>2232</v>
      </c>
    </row>
    <row r="353" spans="1:1" x14ac:dyDescent="0.2">
      <c r="A353" t="s">
        <v>2308</v>
      </c>
    </row>
    <row r="354" spans="1:1" x14ac:dyDescent="0.2">
      <c r="A354" t="s">
        <v>2317</v>
      </c>
    </row>
    <row r="355" spans="1:1" x14ac:dyDescent="0.2">
      <c r="A355" t="s">
        <v>2334</v>
      </c>
    </row>
    <row r="356" spans="1:1" x14ac:dyDescent="0.2">
      <c r="A356" t="s">
        <v>2338</v>
      </c>
    </row>
    <row r="357" spans="1:1" x14ac:dyDescent="0.2">
      <c r="A357" t="s">
        <v>2349</v>
      </c>
    </row>
    <row r="358" spans="1:1" x14ac:dyDescent="0.2">
      <c r="A358" t="s">
        <v>2364</v>
      </c>
    </row>
    <row r="359" spans="1:1" x14ac:dyDescent="0.2">
      <c r="A359" t="s">
        <v>2373</v>
      </c>
    </row>
    <row r="360" spans="1:1" x14ac:dyDescent="0.2">
      <c r="A360" t="s">
        <v>2377</v>
      </c>
    </row>
    <row r="361" spans="1:1" x14ac:dyDescent="0.2">
      <c r="A361" t="s">
        <v>2384</v>
      </c>
    </row>
    <row r="362" spans="1:1" x14ac:dyDescent="0.2">
      <c r="A362" t="s">
        <v>2392</v>
      </c>
    </row>
    <row r="363" spans="1:1" x14ac:dyDescent="0.2">
      <c r="A363" t="s">
        <v>2403</v>
      </c>
    </row>
    <row r="364" spans="1:1" x14ac:dyDescent="0.2">
      <c r="A364" t="s">
        <v>3282</v>
      </c>
    </row>
    <row r="365" spans="1:1" x14ac:dyDescent="0.2">
      <c r="A365" t="s">
        <v>2508</v>
      </c>
    </row>
    <row r="366" spans="1:1" x14ac:dyDescent="0.2">
      <c r="A366" t="s">
        <v>2512</v>
      </c>
    </row>
    <row r="367" spans="1:1" x14ac:dyDescent="0.2">
      <c r="A367" t="s">
        <v>2516</v>
      </c>
    </row>
    <row r="368" spans="1:1" x14ac:dyDescent="0.2">
      <c r="A368" t="s">
        <v>2522</v>
      </c>
    </row>
    <row r="369" spans="1:1" x14ac:dyDescent="0.2">
      <c r="A369" t="s">
        <v>2526</v>
      </c>
    </row>
    <row r="370" spans="1:1" x14ac:dyDescent="0.2">
      <c r="A370" t="s">
        <v>2529</v>
      </c>
    </row>
    <row r="371" spans="1:1" x14ac:dyDescent="0.2">
      <c r="A371" t="s">
        <v>2534</v>
      </c>
    </row>
    <row r="372" spans="1:1" x14ac:dyDescent="0.2">
      <c r="A372" t="s">
        <v>2543</v>
      </c>
    </row>
    <row r="373" spans="1:1" x14ac:dyDescent="0.2">
      <c r="A373" t="s">
        <v>2547</v>
      </c>
    </row>
    <row r="374" spans="1:1" x14ac:dyDescent="0.2">
      <c r="A374" t="s">
        <v>2551</v>
      </c>
    </row>
    <row r="375" spans="1:1" x14ac:dyDescent="0.2">
      <c r="A375" t="s">
        <v>2555</v>
      </c>
    </row>
    <row r="376" spans="1:1" x14ac:dyDescent="0.2">
      <c r="A376" t="s">
        <v>2566</v>
      </c>
    </row>
    <row r="377" spans="1:1" x14ac:dyDescent="0.2">
      <c r="A377" t="s">
        <v>2570</v>
      </c>
    </row>
    <row r="378" spans="1:1" x14ac:dyDescent="0.2">
      <c r="A378" t="s">
        <v>2574</v>
      </c>
    </row>
    <row r="379" spans="1:1" x14ac:dyDescent="0.2">
      <c r="A379" t="s">
        <v>2586</v>
      </c>
    </row>
    <row r="380" spans="1:1" x14ac:dyDescent="0.2">
      <c r="A380" t="s">
        <v>2614</v>
      </c>
    </row>
    <row r="381" spans="1:1" x14ac:dyDescent="0.2">
      <c r="A381" t="s">
        <v>2619</v>
      </c>
    </row>
    <row r="382" spans="1:1" x14ac:dyDescent="0.2">
      <c r="A382" t="s">
        <v>2629</v>
      </c>
    </row>
    <row r="383" spans="1:1" x14ac:dyDescent="0.2">
      <c r="A383" t="s">
        <v>2663</v>
      </c>
    </row>
    <row r="384" spans="1:1" x14ac:dyDescent="0.2">
      <c r="A384" t="s">
        <v>2688</v>
      </c>
    </row>
    <row r="385" spans="1:1" x14ac:dyDescent="0.2">
      <c r="A385" t="s">
        <v>2701</v>
      </c>
    </row>
    <row r="386" spans="1:1" x14ac:dyDescent="0.2">
      <c r="A386" t="s">
        <v>2706</v>
      </c>
    </row>
    <row r="387" spans="1:1" x14ac:dyDescent="0.2">
      <c r="A387" t="s">
        <v>2733</v>
      </c>
    </row>
    <row r="388" spans="1:1" x14ac:dyDescent="0.2">
      <c r="A388" t="s">
        <v>2739</v>
      </c>
    </row>
    <row r="389" spans="1:1" x14ac:dyDescent="0.2">
      <c r="A389" t="s">
        <v>2744</v>
      </c>
    </row>
    <row r="390" spans="1:1" x14ac:dyDescent="0.2">
      <c r="A390" t="s">
        <v>2754</v>
      </c>
    </row>
    <row r="391" spans="1:1" x14ac:dyDescent="0.2">
      <c r="A391" t="s">
        <v>2758</v>
      </c>
    </row>
    <row r="392" spans="1:1" x14ac:dyDescent="0.2">
      <c r="A392" t="s">
        <v>2765</v>
      </c>
    </row>
    <row r="393" spans="1:1" x14ac:dyDescent="0.2">
      <c r="A393" t="s">
        <v>2769</v>
      </c>
    </row>
    <row r="394" spans="1:1" x14ac:dyDescent="0.2">
      <c r="A394" t="s">
        <v>2773</v>
      </c>
    </row>
    <row r="395" spans="1:1" x14ac:dyDescent="0.2">
      <c r="A395" t="s">
        <v>3283</v>
      </c>
    </row>
    <row r="396" spans="1:1" x14ac:dyDescent="0.2">
      <c r="A396" t="s">
        <v>2778</v>
      </c>
    </row>
    <row r="397" spans="1:1" x14ac:dyDescent="0.2">
      <c r="A397" t="s">
        <v>2784</v>
      </c>
    </row>
    <row r="398" spans="1:1" x14ac:dyDescent="0.2">
      <c r="A398" t="s">
        <v>2796</v>
      </c>
    </row>
    <row r="399" spans="1:1" x14ac:dyDescent="0.2">
      <c r="A399" t="s">
        <v>2801</v>
      </c>
    </row>
    <row r="400" spans="1:1" x14ac:dyDescent="0.2">
      <c r="A400" t="s">
        <v>2809</v>
      </c>
    </row>
    <row r="401" spans="1:1" x14ac:dyDescent="0.2">
      <c r="A401" t="s">
        <v>2817</v>
      </c>
    </row>
    <row r="402" spans="1:1" x14ac:dyDescent="0.2">
      <c r="A402" t="s">
        <v>2821</v>
      </c>
    </row>
    <row r="403" spans="1:1" x14ac:dyDescent="0.2">
      <c r="A403" t="s">
        <v>2848</v>
      </c>
    </row>
    <row r="404" spans="1:1" x14ac:dyDescent="0.2">
      <c r="A404" t="s">
        <v>2856</v>
      </c>
    </row>
    <row r="405" spans="1:1" x14ac:dyDescent="0.2">
      <c r="A405" t="s">
        <v>2868</v>
      </c>
    </row>
    <row r="406" spans="1:1" x14ac:dyDescent="0.2">
      <c r="A406" t="s">
        <v>2875</v>
      </c>
    </row>
    <row r="407" spans="1:1" x14ac:dyDescent="0.2">
      <c r="A407" t="s">
        <v>2878</v>
      </c>
    </row>
    <row r="408" spans="1:1" x14ac:dyDescent="0.2">
      <c r="A408" t="s">
        <v>2881</v>
      </c>
    </row>
    <row r="409" spans="1:1" x14ac:dyDescent="0.2">
      <c r="A409" t="s">
        <v>2888</v>
      </c>
    </row>
    <row r="410" spans="1:1" x14ac:dyDescent="0.2">
      <c r="A410" t="s">
        <v>2896</v>
      </c>
    </row>
    <row r="411" spans="1:1" x14ac:dyDescent="0.2">
      <c r="A411" t="s">
        <v>2901</v>
      </c>
    </row>
    <row r="412" spans="1:1" x14ac:dyDescent="0.2">
      <c r="A412" t="s">
        <v>2907</v>
      </c>
    </row>
    <row r="413" spans="1:1" x14ac:dyDescent="0.2">
      <c r="A413" t="s">
        <v>2912</v>
      </c>
    </row>
    <row r="414" spans="1:1" x14ac:dyDescent="0.2">
      <c r="A414" t="s">
        <v>2918</v>
      </c>
    </row>
    <row r="415" spans="1:1" x14ac:dyDescent="0.2">
      <c r="A415" t="s">
        <v>2924</v>
      </c>
    </row>
    <row r="416" spans="1:1" x14ac:dyDescent="0.2">
      <c r="A416" t="s">
        <v>2933</v>
      </c>
    </row>
    <row r="417" spans="1:1" x14ac:dyDescent="0.2">
      <c r="A417" t="s">
        <v>2936</v>
      </c>
    </row>
    <row r="418" spans="1:1" x14ac:dyDescent="0.2">
      <c r="A418" t="s">
        <v>2940</v>
      </c>
    </row>
    <row r="419" spans="1:1" x14ac:dyDescent="0.2">
      <c r="A419" t="s">
        <v>2948</v>
      </c>
    </row>
    <row r="420" spans="1:1" x14ac:dyDescent="0.2">
      <c r="A420" t="s">
        <v>3284</v>
      </c>
    </row>
    <row r="421" spans="1:1" x14ac:dyDescent="0.2">
      <c r="A421" t="s">
        <v>2956</v>
      </c>
    </row>
    <row r="422" spans="1:1" x14ac:dyDescent="0.2">
      <c r="A422" t="s">
        <v>2959</v>
      </c>
    </row>
    <row r="423" spans="1:1" x14ac:dyDescent="0.2">
      <c r="A423" t="s">
        <v>2965</v>
      </c>
    </row>
    <row r="424" spans="1:1" x14ac:dyDescent="0.2">
      <c r="A424" t="s">
        <v>2968</v>
      </c>
    </row>
    <row r="425" spans="1:1" x14ac:dyDescent="0.2">
      <c r="A425" t="s">
        <v>2972</v>
      </c>
    </row>
    <row r="426" spans="1:1" x14ac:dyDescent="0.2">
      <c r="A426" t="s">
        <v>2977</v>
      </c>
    </row>
    <row r="427" spans="1:1" x14ac:dyDescent="0.2">
      <c r="A427" t="s">
        <v>2981</v>
      </c>
    </row>
    <row r="428" spans="1:1" x14ac:dyDescent="0.2">
      <c r="A428" t="s">
        <v>2996</v>
      </c>
    </row>
    <row r="429" spans="1:1" x14ac:dyDescent="0.2">
      <c r="A429" t="s">
        <v>2991</v>
      </c>
    </row>
    <row r="430" spans="1:1" x14ac:dyDescent="0.2">
      <c r="A430" t="s">
        <v>3000</v>
      </c>
    </row>
    <row r="431" spans="1:1" x14ac:dyDescent="0.2">
      <c r="A431" t="s">
        <v>3004</v>
      </c>
    </row>
    <row r="432" spans="1:1" x14ac:dyDescent="0.2">
      <c r="A432" t="s">
        <v>3008</v>
      </c>
    </row>
    <row r="433" spans="1:1" x14ac:dyDescent="0.2">
      <c r="A433" t="s">
        <v>3012</v>
      </c>
    </row>
    <row r="434" spans="1:1" x14ac:dyDescent="0.2">
      <c r="A434" t="s">
        <v>3020</v>
      </c>
    </row>
    <row r="435" spans="1:1" x14ac:dyDescent="0.2">
      <c r="A435" t="s">
        <v>3023</v>
      </c>
    </row>
    <row r="436" spans="1:1" x14ac:dyDescent="0.2">
      <c r="A436" t="s">
        <v>3027</v>
      </c>
    </row>
    <row r="437" spans="1:1" x14ac:dyDescent="0.2">
      <c r="A437" t="s">
        <v>3032</v>
      </c>
    </row>
    <row r="438" spans="1:1" x14ac:dyDescent="0.2">
      <c r="A438" t="s">
        <v>3035</v>
      </c>
    </row>
    <row r="439" spans="1:1" x14ac:dyDescent="0.2">
      <c r="A439" t="s">
        <v>3040</v>
      </c>
    </row>
    <row r="440" spans="1:1" x14ac:dyDescent="0.2">
      <c r="A440" t="s">
        <v>3044</v>
      </c>
    </row>
    <row r="441" spans="1:1" x14ac:dyDescent="0.2">
      <c r="A441" t="s">
        <v>3049</v>
      </c>
    </row>
    <row r="442" spans="1:1" x14ac:dyDescent="0.2">
      <c r="A442" t="s">
        <v>3054</v>
      </c>
    </row>
    <row r="443" spans="1:1" x14ac:dyDescent="0.2">
      <c r="A443" t="s">
        <v>3057</v>
      </c>
    </row>
    <row r="444" spans="1:1" x14ac:dyDescent="0.2">
      <c r="A444" t="s">
        <v>3063</v>
      </c>
    </row>
    <row r="445" spans="1:1" x14ac:dyDescent="0.2">
      <c r="A445" t="s">
        <v>3066</v>
      </c>
    </row>
    <row r="446" spans="1:1" x14ac:dyDescent="0.2">
      <c r="A446" t="s">
        <v>3077</v>
      </c>
    </row>
    <row r="447" spans="1:1" x14ac:dyDescent="0.2">
      <c r="A447" t="s">
        <v>3081</v>
      </c>
    </row>
    <row r="448" spans="1:1" x14ac:dyDescent="0.2">
      <c r="A448" t="s">
        <v>3092</v>
      </c>
    </row>
    <row r="449" spans="1:1" x14ac:dyDescent="0.2">
      <c r="A449" t="s">
        <v>3096</v>
      </c>
    </row>
    <row r="450" spans="1:1" x14ac:dyDescent="0.2">
      <c r="A450" t="s">
        <v>3109</v>
      </c>
    </row>
    <row r="451" spans="1:1" x14ac:dyDescent="0.2">
      <c r="A451" t="s">
        <v>3113</v>
      </c>
    </row>
    <row r="452" spans="1:1" x14ac:dyDescent="0.2">
      <c r="A452" t="s">
        <v>3115</v>
      </c>
    </row>
    <row r="453" spans="1:1" x14ac:dyDescent="0.2">
      <c r="A453" t="s">
        <v>3117</v>
      </c>
    </row>
    <row r="454" spans="1:1" x14ac:dyDescent="0.2">
      <c r="A454" t="s">
        <v>3120</v>
      </c>
    </row>
    <row r="455" spans="1:1" x14ac:dyDescent="0.2">
      <c r="A455" t="s">
        <v>3123</v>
      </c>
    </row>
    <row r="456" spans="1:1" x14ac:dyDescent="0.2">
      <c r="A456" t="s">
        <v>3125</v>
      </c>
    </row>
    <row r="457" spans="1:1" x14ac:dyDescent="0.2">
      <c r="A457" t="s">
        <v>3128</v>
      </c>
    </row>
    <row r="458" spans="1:1" x14ac:dyDescent="0.2">
      <c r="A458" t="s">
        <v>3130</v>
      </c>
    </row>
    <row r="459" spans="1:1" x14ac:dyDescent="0.2">
      <c r="A459" t="s">
        <v>3132</v>
      </c>
    </row>
    <row r="460" spans="1:1" x14ac:dyDescent="0.2">
      <c r="A460" t="s">
        <v>3135</v>
      </c>
    </row>
    <row r="461" spans="1:1" x14ac:dyDescent="0.2">
      <c r="A461" t="s">
        <v>3138</v>
      </c>
    </row>
    <row r="462" spans="1:1" x14ac:dyDescent="0.2">
      <c r="A462" t="s">
        <v>3141</v>
      </c>
    </row>
    <row r="463" spans="1:1" x14ac:dyDescent="0.2">
      <c r="A463" t="s">
        <v>3144</v>
      </c>
    </row>
    <row r="464" spans="1:1" x14ac:dyDescent="0.2">
      <c r="A464" t="s">
        <v>3147</v>
      </c>
    </row>
    <row r="465" spans="1:1" x14ac:dyDescent="0.2">
      <c r="A465" t="s">
        <v>3150</v>
      </c>
    </row>
    <row r="466" spans="1:1" x14ac:dyDescent="0.2">
      <c r="A466" t="s">
        <v>3151</v>
      </c>
    </row>
    <row r="467" spans="1:1" x14ac:dyDescent="0.2">
      <c r="A467" t="s">
        <v>3153</v>
      </c>
    </row>
    <row r="468" spans="1:1" x14ac:dyDescent="0.2">
      <c r="A468" t="s">
        <v>3156</v>
      </c>
    </row>
    <row r="469" spans="1:1" x14ac:dyDescent="0.2">
      <c r="A469" t="s">
        <v>3158</v>
      </c>
    </row>
    <row r="470" spans="1:1" x14ac:dyDescent="0.2">
      <c r="A470" t="s">
        <v>3160</v>
      </c>
    </row>
    <row r="471" spans="1:1" x14ac:dyDescent="0.2">
      <c r="A471" t="s">
        <v>3162</v>
      </c>
    </row>
    <row r="473" spans="1:1" x14ac:dyDescent="0.2">
      <c r="A473">
        <v>736</v>
      </c>
    </row>
    <row r="485" spans="1:1" x14ac:dyDescent="0.2">
      <c r="A485">
        <v>736</v>
      </c>
    </row>
  </sheetData>
  <conditionalFormatting sqref="A1:B1048576">
    <cfRule type="duplicateValues" dxfId="0" priority="1"/>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74" customWidth="1"/>
    <col min="3" max="3" width="44.59765625" style="74" customWidth="1"/>
    <col min="4" max="4" width="34.3984375" style="74" customWidth="1"/>
    <col min="6" max="6" width="36.19921875" style="74" customWidth="1"/>
  </cols>
  <sheetData>
    <row r="1" spans="1:1" ht="14.25" customHeight="1" x14ac:dyDescent="0.25">
      <c r="A1" s="1" t="s">
        <v>3285</v>
      </c>
    </row>
    <row r="6" spans="1:1" x14ac:dyDescent="0.2">
      <c r="A6" t="s">
        <v>3286</v>
      </c>
    </row>
    <row r="7" spans="1:1" x14ac:dyDescent="0.2">
      <c r="A7" t="s">
        <v>3287</v>
      </c>
    </row>
    <row r="9" spans="1:1" x14ac:dyDescent="0.2">
      <c r="A9" s="2" t="s">
        <v>3288</v>
      </c>
    </row>
    <row r="13" spans="1:1" x14ac:dyDescent="0.2">
      <c r="A13" t="s">
        <v>3289</v>
      </c>
    </row>
    <row r="14" spans="1:1" x14ac:dyDescent="0.2">
      <c r="A14" t="s">
        <v>3290</v>
      </c>
    </row>
    <row r="15" spans="1:1" x14ac:dyDescent="0.2">
      <c r="A15" t="s">
        <v>3291</v>
      </c>
    </row>
    <row r="18" spans="1:6" x14ac:dyDescent="0.2">
      <c r="A18" t="s">
        <v>3292</v>
      </c>
    </row>
    <row r="19" spans="1:6" x14ac:dyDescent="0.2">
      <c r="A19" s="40" t="s">
        <v>3293</v>
      </c>
      <c r="B19" s="40" t="s">
        <v>3294</v>
      </c>
      <c r="C19" s="52" t="s">
        <v>20</v>
      </c>
      <c r="D19" s="40" t="s">
        <v>22</v>
      </c>
      <c r="E19" s="40" t="s">
        <v>18</v>
      </c>
      <c r="F19" s="40" t="s">
        <v>3295</v>
      </c>
    </row>
    <row r="20" spans="1:6" x14ac:dyDescent="0.2">
      <c r="A20" s="43"/>
      <c r="B20" s="43" t="s">
        <v>961</v>
      </c>
      <c r="C20" s="43" t="s">
        <v>172</v>
      </c>
      <c r="D20" s="43" t="s">
        <v>68</v>
      </c>
      <c r="E20" s="43" t="s">
        <v>189</v>
      </c>
      <c r="F20" s="43" t="s">
        <v>141</v>
      </c>
    </row>
    <row r="21" spans="1:6" x14ac:dyDescent="0.2">
      <c r="A21" s="43"/>
      <c r="B21" s="43" t="s">
        <v>1262</v>
      </c>
      <c r="C21" s="43" t="s">
        <v>386</v>
      </c>
      <c r="D21" s="43" t="s">
        <v>173</v>
      </c>
      <c r="E21" s="43" t="s">
        <v>140</v>
      </c>
      <c r="F21" s="43" t="s">
        <v>163</v>
      </c>
    </row>
    <row r="22" spans="1:6" x14ac:dyDescent="0.2">
      <c r="A22" s="43"/>
      <c r="B22" s="43" t="s">
        <v>207</v>
      </c>
      <c r="C22" s="43" t="s">
        <v>3296</v>
      </c>
      <c r="D22" s="43" t="s">
        <v>3297</v>
      </c>
      <c r="E22" s="43" t="s">
        <v>162</v>
      </c>
      <c r="F22" s="43" t="s">
        <v>471</v>
      </c>
    </row>
    <row r="23" spans="1:6" x14ac:dyDescent="0.2">
      <c r="A23" s="43"/>
      <c r="B23" s="43" t="s">
        <v>139</v>
      </c>
      <c r="C23" t="s">
        <v>2346</v>
      </c>
      <c r="D23" s="43" t="s">
        <v>1263</v>
      </c>
      <c r="E23" s="43" t="s">
        <v>181</v>
      </c>
    </row>
    <row r="24" spans="1:6" x14ac:dyDescent="0.2">
      <c r="A24" s="43"/>
      <c r="B24" s="43" t="s">
        <v>1048</v>
      </c>
      <c r="C24" s="43" t="s">
        <v>773</v>
      </c>
      <c r="D24" s="43" t="s">
        <v>2576</v>
      </c>
    </row>
    <row r="25" spans="1:6" x14ac:dyDescent="0.2">
      <c r="A25" s="43"/>
      <c r="B25" s="43" t="s">
        <v>1101</v>
      </c>
      <c r="C25" s="43" t="s">
        <v>3298</v>
      </c>
      <c r="D25" s="43" t="s">
        <v>1724</v>
      </c>
    </row>
    <row r="26" spans="1:6" x14ac:dyDescent="0.2">
      <c r="A26" s="43"/>
      <c r="B26" s="43" t="s">
        <v>188</v>
      </c>
      <c r="C26" s="43" t="s">
        <v>3299</v>
      </c>
      <c r="D26" s="43" t="s">
        <v>67</v>
      </c>
    </row>
    <row r="27" spans="1:6" x14ac:dyDescent="0.2">
      <c r="A27" s="43"/>
      <c r="B27" s="43" t="s">
        <v>171</v>
      </c>
      <c r="C27" s="55" t="s">
        <v>3300</v>
      </c>
      <c r="D27" s="43" t="s">
        <v>3301</v>
      </c>
    </row>
    <row r="28" spans="1:6" x14ac:dyDescent="0.2">
      <c r="A28" s="43"/>
      <c r="B28" s="43" t="s">
        <v>3302</v>
      </c>
      <c r="C28" s="43" t="s">
        <v>3303</v>
      </c>
      <c r="D28" s="53" t="s">
        <v>2703</v>
      </c>
    </row>
    <row r="29" spans="1:6" x14ac:dyDescent="0.2">
      <c r="A29" s="51"/>
      <c r="B29" s="51" t="s">
        <v>1311</v>
      </c>
      <c r="C29" s="55" t="s">
        <v>2159</v>
      </c>
    </row>
    <row r="30" spans="1:6" s="43" customFormat="1" x14ac:dyDescent="0.2">
      <c r="B30" s="43" t="s">
        <v>3304</v>
      </c>
      <c r="C30" s="43" t="s">
        <v>3305</v>
      </c>
    </row>
    <row r="31" spans="1:6" x14ac:dyDescent="0.2">
      <c r="A31" s="43"/>
      <c r="B31" s="43" t="s">
        <v>3306</v>
      </c>
      <c r="C31" s="43" t="s">
        <v>3307</v>
      </c>
    </row>
    <row r="32" spans="1:6" x14ac:dyDescent="0.2">
      <c r="A32" s="43"/>
      <c r="B32" s="43" t="s">
        <v>3308</v>
      </c>
      <c r="C32" s="43" t="s">
        <v>381</v>
      </c>
    </row>
    <row r="33" spans="1:4" x14ac:dyDescent="0.2">
      <c r="C33" s="43" t="s">
        <v>3309</v>
      </c>
    </row>
    <row r="34" spans="1:4" x14ac:dyDescent="0.2">
      <c r="C34" s="55" t="s">
        <v>3310</v>
      </c>
    </row>
    <row r="35" spans="1:4" x14ac:dyDescent="0.2">
      <c r="C35" s="43" t="s">
        <v>3311</v>
      </c>
    </row>
    <row r="36" spans="1:4" x14ac:dyDescent="0.2">
      <c r="A36" t="s">
        <v>3312</v>
      </c>
      <c r="C36" s="43" t="s">
        <v>3313</v>
      </c>
    </row>
    <row r="37" spans="1:4" x14ac:dyDescent="0.2">
      <c r="A37" s="40" t="s">
        <v>3314</v>
      </c>
      <c r="B37" s="40" t="s">
        <v>3315</v>
      </c>
      <c r="C37" s="43" t="s">
        <v>3316</v>
      </c>
    </row>
    <row r="38" spans="1:4" x14ac:dyDescent="0.2">
      <c r="A38" s="54"/>
      <c r="B38" s="54" t="s">
        <v>3317</v>
      </c>
      <c r="C38" s="40" t="s">
        <v>3318</v>
      </c>
    </row>
    <row r="39" spans="1:4" x14ac:dyDescent="0.2">
      <c r="A39" s="43"/>
      <c r="B39" s="43" t="s">
        <v>3319</v>
      </c>
      <c r="C39" s="43" t="s">
        <v>143</v>
      </c>
    </row>
    <row r="40" spans="1:4" x14ac:dyDescent="0.2">
      <c r="A40" s="43"/>
      <c r="B40" s="43" t="s">
        <v>285</v>
      </c>
      <c r="C40" s="43" t="s">
        <v>3320</v>
      </c>
    </row>
    <row r="41" spans="1:4" x14ac:dyDescent="0.2">
      <c r="A41" s="43"/>
      <c r="B41" s="43" t="s">
        <v>3321</v>
      </c>
      <c r="C41" s="43"/>
    </row>
    <row r="42" spans="1:4" x14ac:dyDescent="0.2">
      <c r="A42" s="43"/>
      <c r="B42" s="43" t="s">
        <v>3322</v>
      </c>
      <c r="C42" s="43"/>
    </row>
    <row r="43" spans="1:4" x14ac:dyDescent="0.2">
      <c r="A43" s="43"/>
      <c r="B43" s="43" t="s">
        <v>3323</v>
      </c>
    </row>
    <row r="44" spans="1:4" x14ac:dyDescent="0.2">
      <c r="A44" s="43"/>
      <c r="B44" s="43" t="s">
        <v>3324</v>
      </c>
    </row>
    <row r="45" spans="1:4" x14ac:dyDescent="0.2">
      <c r="A45" s="43"/>
      <c r="B45" s="43" t="s">
        <v>1201</v>
      </c>
    </row>
    <row r="46" spans="1:4" x14ac:dyDescent="0.2">
      <c r="A46" s="43"/>
      <c r="B46" s="43" t="s">
        <v>3325</v>
      </c>
      <c r="D46" s="43" t="s">
        <v>1134</v>
      </c>
    </row>
    <row r="47" spans="1:4" x14ac:dyDescent="0.2">
      <c r="A47" s="43"/>
      <c r="B47" s="43"/>
      <c r="D47" s="43" t="s">
        <v>250</v>
      </c>
    </row>
    <row r="48" spans="1:4" x14ac:dyDescent="0.2">
      <c r="A48" s="43"/>
      <c r="B48" s="43" t="s">
        <v>3326</v>
      </c>
      <c r="D48" s="43" t="s">
        <v>144</v>
      </c>
    </row>
    <row r="49" spans="1:6" x14ac:dyDescent="0.2">
      <c r="A49" s="43"/>
      <c r="B49" s="43" t="s">
        <v>3327</v>
      </c>
      <c r="D49" t="s">
        <v>3328</v>
      </c>
    </row>
    <row r="50" spans="1:6" x14ac:dyDescent="0.2">
      <c r="A50" s="43"/>
      <c r="B50" s="43" t="s">
        <v>3329</v>
      </c>
      <c r="D50" t="s">
        <v>138</v>
      </c>
    </row>
    <row r="52" spans="1:6" x14ac:dyDescent="0.2">
      <c r="A52" t="s">
        <v>3330</v>
      </c>
    </row>
    <row r="53" spans="1:6" x14ac:dyDescent="0.2">
      <c r="A53" s="40" t="s">
        <v>3331</v>
      </c>
      <c r="B53" s="40" t="s">
        <v>3332</v>
      </c>
    </row>
    <row r="54" spans="1:6" ht="12.75" customHeight="1" x14ac:dyDescent="0.2">
      <c r="A54" s="44">
        <v>0</v>
      </c>
      <c r="B54" s="45" t="s">
        <v>3333</v>
      </c>
      <c r="D54" s="41"/>
      <c r="E54" s="41"/>
      <c r="F54" s="41"/>
    </row>
    <row r="55" spans="1:6" ht="12.75" customHeight="1" x14ac:dyDescent="0.2">
      <c r="A55" s="44">
        <v>1</v>
      </c>
      <c r="B55" s="45" t="s">
        <v>3334</v>
      </c>
      <c r="D55" s="41"/>
      <c r="E55" s="41"/>
      <c r="F55" s="41"/>
    </row>
    <row r="56" spans="1:6" ht="27.75" customHeight="1" x14ac:dyDescent="0.2">
      <c r="A56" s="44">
        <v>2</v>
      </c>
      <c r="B56" s="45" t="s">
        <v>3335</v>
      </c>
      <c r="D56" s="41"/>
      <c r="E56" s="41"/>
      <c r="F56" s="41"/>
    </row>
    <row r="57" spans="1:6" ht="24.75" customHeight="1" x14ac:dyDescent="0.2">
      <c r="A57" s="46">
        <v>3</v>
      </c>
      <c r="B57" s="45" t="s">
        <v>3336</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74" customWidth="1"/>
    <col min="2" max="3" width="11" style="12" customWidth="1"/>
    <col min="4" max="4" width="12.19921875" style="12" customWidth="1"/>
    <col min="5" max="5" width="11" style="12" customWidth="1"/>
    <col min="6" max="6" width="28.09765625" style="15" customWidth="1"/>
    <col min="7" max="7" width="4.69921875" style="74" customWidth="1"/>
    <col min="13" max="13" width="2.5" style="74" customWidth="1"/>
  </cols>
  <sheetData>
    <row r="1" spans="1:4" ht="14.25" customHeight="1" x14ac:dyDescent="0.25">
      <c r="A1" s="1" t="s">
        <v>3285</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Basis</vt:lpstr>
      <vt:lpstr>Infos zu dieser Mappe</vt:lpstr>
      <vt:lpstr>Legende_Thomschke</vt:lpstr>
      <vt:lpstr>Datentransfer</vt:lpstr>
      <vt:lpstr>Tabelle1</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2022-11-26T09:52:25Z</dcterms:modified>
</cp:coreProperties>
</file>