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Legende" sheetId="5" state="visible" r:id="rId5"/>
    <sheet name="Zusammenfassung" sheetId="6" state="visible" r:id="rId6"/>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4">
    <fill>
      <patternFill/>
    </fill>
    <fill>
      <patternFill patternType="gray125"/>
    </fill>
    <fill>
      <patternFill patternType="solid">
        <fgColor theme="0" tint="-0.149998474074526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79">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10" fillId="0" borderId="0" applyAlignment="1" pivotButton="0" quotePrefix="0" xfId="0">
      <alignment horizontal="left" vertical="top" wrapText="1"/>
    </xf>
    <xf numFmtId="0" fontId="10" fillId="0"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vertical="top"/>
    </xf>
    <xf numFmtId="0" fontId="0" fillId="0" borderId="0" applyAlignment="1" pivotButton="0" quotePrefix="0" xfId="0">
      <alignment horizontal="left" vertical="top"/>
    </xf>
    <xf numFmtId="0" fontId="0" fillId="0" borderId="0" applyAlignment="1" pivotButton="0" quotePrefix="0" xfId="0">
      <alignment horizontal="left" vertical="top" wrapText="1"/>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0"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8" fillId="0" borderId="0" applyAlignment="1" pivotButton="0" quotePrefix="0" xfId="0">
      <alignment vertical="top"/>
    </xf>
    <xf numFmtId="0" fontId="9"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vertical="top" wrapText="1"/>
    </xf>
    <xf numFmtId="0" fontId="2" fillId="0" borderId="0" applyAlignment="1" pivotButton="0" quotePrefix="0" xfId="0">
      <alignment horizontal="left" vertical="top" wrapText="1"/>
    </xf>
    <xf numFmtId="0" fontId="0" fillId="0" borderId="12" pivotButton="0" quotePrefix="0" xfId="0"/>
    <xf numFmtId="0" fontId="0" fillId="0" borderId="0" applyAlignment="1" pivotButton="0" quotePrefix="0" xfId="0">
      <alignment wrapText="1"/>
    </xf>
    <xf numFmtId="0" fontId="2" fillId="0" borderId="12" applyAlignment="1" pivotButton="0" quotePrefix="0" xfId="0">
      <alignment horizontal="left" vertical="top" wrapText="1"/>
    </xf>
    <xf numFmtId="0" fontId="0" fillId="0" borderId="12" pivotButton="0" quotePrefix="0" xfId="0"/>
  </cellXfs>
  <cellStyles count="2">
    <cellStyle name="Standard" xfId="0" builtinId="0"/>
    <cellStyle name="Prozent" xfId="1" builtinId="5"/>
  </cellStyles>
  <dxfs count="1">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DG1050" headerRowCount="1">
  <autoFilter ref="A1:DG1050"/>
  <tableColumns count="111">
    <tableColumn id="1" name="Gruppe"/>
    <tableColumn id="2" name="digi"/>
    <tableColumn id="3" name="Restaurierung"/>
    <tableColumn id="4" name="Whitelist"/>
    <tableColumn id="5" name="Lfd Nr."/>
    <tableColumn id="6" name="Link zum Portal"/>
    <tableColumn id="7" name="bbg"/>
    <tableColumn id="8" name="AKZ"/>
    <tableColumn id="9" name="IDN"/>
    <tableColumn id="10" name="signatur_g"/>
    <tableColumn id="11" name="signatur_a"/>
    <tableColumn id="12" name="Signatur"/>
    <tableColumn id="13" name="steht bei_x000a_/ Anm._x000a_zur_x000a_Signatur"/>
    <tableColumn id="14" name="titel"/>
    <tableColumn id="15" name="stuecktitel"/>
    <tableColumn id="16" name="Provenienzmerkmal"/>
    <tableColumn id="17" name="wert"/>
    <tableColumn id="18" name="Material"/>
    <tableColumn id="19" name="Format"/>
    <tableColumn id="20" name="Öffnungswinkel"/>
    <tableColumn id="21" name="Einschränkungen"/>
    <tableColumn id="22" name="Glasplatte "/>
    <tableColumn id="23" name="Verpackung"/>
    <tableColumn id="24" name="Verpackung austauschen "/>
    <tableColumn id="25" name="Schadensklasse"/>
    <tableColumn id="26" name="notwendige Reparatur(en) vor der Digitalisierung, notwendige Reparatur(en) vor der Digitalisierung"/>
    <tableColumn id="27" name="Bemerkungen"/>
    <tableColumn id="28" name="Fragen/ Hinweise_x000a_an DBSM"/>
    <tableColumn id="29" name="Fragen an M. Steinberg"/>
    <tableColumn id="30" name="nicht_x000a_am Stand-ort"/>
    <tableColumn id="31" name="Größe ÜF_x000a_(BxH)"/>
    <tableColumn id="32" name="Breite_x000a_(nur Ausreißer)"/>
    <tableColumn id="33" name="Dicke_x000a_(&gt;12 cm)"/>
    <tableColumn id="34" name="12° Format_x000a_(&lt;15 cm)"/>
    <tableColumn id="35" name="Einband-_x000a_art"/>
    <tableColumn id="36" name="Einbandart Kommentar"/>
    <tableColumn id="37" name="Einband über-_x000a_formt (ganz od. teilweise)"/>
    <tableColumn id="38" name="Buch bereits restau-riert"/>
    <tableColumn id="39" name="hohler/_x000a_fester Rücken (mit Einlage/_x000a_Vergoldung?)"/>
    <tableColumn id="40" name="Steh-_x000a_kanten_x000a_(bei Perg.)"/>
    <tableColumn id="41" name="Leder pudert ab/roter Zerfall (extrem)"/>
    <tableColumn id="42" name="Einband stark defor-miert"/>
    <tableColumn id="43" name="Be-schläge bes. auftra-gend"/>
    <tableColumn id="44" name="Buch-schließe steif"/>
    <tableColumn id="45" name="Buch-block Pa./Perg."/>
    <tableColumn id="46" name="saures Füll-material"/>
    <tableColumn id="47" name="Register-marken"/>
    <tableColumn id="48" name="seitliche Heftung"/>
    <tableColumn id="49" name="Buch-block sehr wellig"/>
    <tableColumn id="50" name="Buch-block neigt zum &quot;Bauch&quot;"/>
    <tableColumn id="51" name="ge-schloss-ene Lagen"/>
    <tableColumn id="52" name="Falttafeln"/>
    <tableColumn id="53" name="Größe Buch+_x000a_Falttafeln (BxH)"/>
    <tableColumn id="54" name="Original-grafik"/>
    <tableColumn id="55" name="Kolorier-ung / Buch-malerei / Initialen / Rubri-kation"/>
    <tableColumn id="56" name="berühr-ungsfreie Digit."/>
    <tableColumn id="57" name="Schrift weit bis in den Falz (Bund-steg in mm) Text-verlust"/>
    <tableColumn id="58" name="nicht digitali-sierbar wegen Bund-steg (vorraus-sichtlich)"/>
    <tableColumn id="59" name="max. Öffnungs-winkel"/>
    <tableColumn id="60" name="max. Öffnungs-winkel Kommentar"/>
    <tableColumn id="61" name="Digit. mit Begleit-ung"/>
    <tableColumn id="62" name="Digit. mit Begleit-ung Kommentar"/>
    <tableColumn id="63" name="Rest.-Bericht einge-klebt"/>
    <tableColumn id="64" name="Blatt mit Notizen zum Buch eingeklebt "/>
    <tableColumn id="65" name="Rest._x000a_not-wendig (ja/nein) (vor/nach der Digit.)"/>
    <tableColumn id="66" name="Rest.-_x000a_Aufwand gesamt_x000a_(in Std.)"/>
    <tableColumn id="67" name="Rest._x000a_erfolgt"/>
    <tableColumn id="68" name="Kassette"/>
    <tableColumn id="69" name="Schuber"/>
    <tableColumn id="70" name="Buch-schuh"/>
    <tableColumn id="71" name="Mappe "/>
    <tableColumn id="72" name="Um-schlag"/>
    <tableColumn id="73" name="SB neu"/>
    <tableColumn id="74" name="Anmerkungen (allg.)"/>
    <tableColumn id="75" name="für Testphase_x000a_vorsehen"/>
    <tableColumn id="76" name="für Testphase_x000a_vorsehen Kommentar"/>
    <tableColumn id="77" name="Schutzbehältnis empfohlen"/>
    <tableColumn id="78" name="Foto für Erheb. Rest. angefertigt (ab August)"/>
    <tableColumn id="79" name="feuchte-empfind-liches Leder"/>
    <tableColumn id="80" name="Material am Rücken/_x000a_Einband lose / eingeris-sen (auch Titelschild)"/>
    <tableColumn id="81" name="Narben spaltet sich ab"/>
    <tableColumn id="82" name="Gelenk(e) _x000a_an/durch-gebro-chen"/>
    <tableColumn id="83" name="Bünde gebro-chen (Anzahl)"/>
    <tableColumn id="84" name="Rücken lose/_x000a_halb lose"/>
    <tableColumn id="85" name="Be-schläge locker"/>
    <tableColumn id="86" name="Buch_x000a_schließe fragil"/>
    <tableColumn id="87" name="Deckel spaltet sich / Fehlstelle im Deckel"/>
    <tableColumn id="88" name="Deckel gebro-chen"/>
    <tableColumn id="89" name="Deckel lose / halb lose"/>
    <tableColumn id="90" name="Kapital fragil/_x000a_lose"/>
    <tableColumn id="91" name="Rest.-Aufwand Einband_x000a_(in Std.)"/>
    <tableColumn id="92" name="Anmerkungen für die Restaurierung am Einband"/>
    <tableColumn id="93" name="Ver-schmutz-ung (Vorsatz / Ränder /_x000a_ges. BB)"/>
    <tableColumn id="94" name="mikro-bieller Befall"/>
    <tableColumn id="95" name="Farb-schicht pudert"/>
    <tableColumn id="96" name="Buch-block / Seiten verblockt"/>
    <tableColumn id="97" name="erste / letzte Lage oder Seiten lose"/>
    <tableColumn id="98" name="(halb-) lose Seiten im BB"/>
    <tableColumn id="99" name="Heftung zerstört"/>
    <tableColumn id="100" name="Risse / Fehl-stellen im Vorsatz"/>
    <tableColumn id="101" name="Risse im Text-bereich / an exponier-ter Stelle (z.B. Ecke)"/>
    <tableColumn id="102" name="Risse am Rand"/>
    <tableColumn id="103" name="Fehl-stellen im BB_x000a_(groß) "/>
    <tableColumn id="104" name="Insekten-fraß (stark)"/>
    <tableColumn id="105" name="Falten / Knicke"/>
    <tableColumn id="106" name="saures /_x000a_brüchiges Papier"/>
    <tableColumn id="107" name="Tinten-/ Farbfraß (akut)"/>
    <tableColumn id="108" name="Register-marken fragil"/>
    <tableColumn id="109" name="Klebe-_x000a_streifen ablösen"/>
    <tableColumn id="110" name="Rest.-Aufwand Buchblock_x000a_(in Std.)"/>
    <tableColumn id="111" name="Anmerkungen für die Restaurierung am Buchblock"/>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G1050"/>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Whitelist</t>
        </is>
      </c>
      <c r="E1" t="inlineStr">
        <is>
          <t>Lfd Nr.</t>
        </is>
      </c>
      <c r="F1" t="inlineStr">
        <is>
          <t>Link zum Portal</t>
        </is>
      </c>
      <c r="G1" t="inlineStr">
        <is>
          <t>bbg</t>
        </is>
      </c>
      <c r="H1" t="inlineStr">
        <is>
          <t>AKZ</t>
        </is>
      </c>
      <c r="I1" t="inlineStr">
        <is>
          <t>IDN</t>
        </is>
      </c>
      <c r="J1" t="inlineStr">
        <is>
          <t>signatur_g</t>
        </is>
      </c>
      <c r="K1" t="inlineStr">
        <is>
          <t>signatur_a</t>
        </is>
      </c>
      <c r="L1" t="inlineStr">
        <is>
          <t>Signatur</t>
        </is>
      </c>
      <c r="M1" t="inlineStr">
        <is>
          <t>steht bei
/ Anm.
zur
Signatur</t>
        </is>
      </c>
      <c r="N1" t="inlineStr">
        <is>
          <t>titel</t>
        </is>
      </c>
      <c r="O1" t="inlineStr">
        <is>
          <t>stuecktitel</t>
        </is>
      </c>
      <c r="P1" t="inlineStr">
        <is>
          <t>Provenienzmerkmal</t>
        </is>
      </c>
      <c r="Q1" t="inlineStr">
        <is>
          <t>wert</t>
        </is>
      </c>
      <c r="R1" t="inlineStr">
        <is>
          <t>Material</t>
        </is>
      </c>
      <c r="S1" t="inlineStr">
        <is>
          <t>Format</t>
        </is>
      </c>
      <c r="T1" t="inlineStr">
        <is>
          <t>Öffnungswinkel</t>
        </is>
      </c>
      <c r="U1" t="inlineStr">
        <is>
          <t>Einschränkungen</t>
        </is>
      </c>
      <c r="V1" t="inlineStr">
        <is>
          <t xml:space="preserve">Glasplatte </t>
        </is>
      </c>
      <c r="W1" t="inlineStr">
        <is>
          <t>Verpackung</t>
        </is>
      </c>
      <c r="X1" t="inlineStr">
        <is>
          <t xml:space="preserve">Verpackung austauschen </t>
        </is>
      </c>
      <c r="Y1" t="inlineStr">
        <is>
          <t>Schadensklasse</t>
        </is>
      </c>
      <c r="Z1" t="inlineStr">
        <is>
          <t>notwendige Reparatur(en) vor der Digitalisierung, notwendige Reparatur(en) vor der Digitalisierung</t>
        </is>
      </c>
      <c r="AA1" t="inlineStr">
        <is>
          <t>Bemerkungen</t>
        </is>
      </c>
      <c r="AB1" t="inlineStr">
        <is>
          <t>Fragen/ Hinweise
an DBSM</t>
        </is>
      </c>
      <c r="AC1" t="inlineStr">
        <is>
          <t>Fragen an M. Steinberg</t>
        </is>
      </c>
      <c r="AD1" t="inlineStr">
        <is>
          <t>nicht
am Stand-ort</t>
        </is>
      </c>
      <c r="AE1" t="inlineStr">
        <is>
          <t>Größe ÜF
(BxH)</t>
        </is>
      </c>
      <c r="AF1" t="inlineStr">
        <is>
          <t>Breite
(nur Ausreißer)</t>
        </is>
      </c>
      <c r="AG1" t="inlineStr">
        <is>
          <t>Dicke
(&gt;12 cm)</t>
        </is>
      </c>
      <c r="AH1" t="inlineStr">
        <is>
          <t>12° Format
(&lt;15 cm)</t>
        </is>
      </c>
      <c r="AI1" t="inlineStr">
        <is>
          <t>Einband-
art</t>
        </is>
      </c>
      <c r="AJ1" t="inlineStr">
        <is>
          <t>Einbandart Kommentar</t>
        </is>
      </c>
      <c r="AK1" t="inlineStr">
        <is>
          <t>Einband über-
formt (ganz od. teilweise)</t>
        </is>
      </c>
      <c r="AL1" t="inlineStr">
        <is>
          <t>Buch bereits restau-riert</t>
        </is>
      </c>
      <c r="AM1" t="inlineStr">
        <is>
          <t>hohler/
fester Rücken (mit Einlage/
Vergoldung?)</t>
        </is>
      </c>
      <c r="AN1" t="inlineStr">
        <is>
          <t>Steh-
kanten
(bei Perg.)</t>
        </is>
      </c>
      <c r="AO1" t="inlineStr">
        <is>
          <t>Leder pudert ab/roter Zerfall (extrem)</t>
        </is>
      </c>
      <c r="AP1" t="inlineStr">
        <is>
          <t>Einband stark defor-miert</t>
        </is>
      </c>
      <c r="AQ1" t="inlineStr">
        <is>
          <t>Be-schläge bes. auftra-gend</t>
        </is>
      </c>
      <c r="AR1" t="inlineStr">
        <is>
          <t>Buch-schließe steif</t>
        </is>
      </c>
      <c r="AS1" t="inlineStr">
        <is>
          <t>Buch-block Pa./Perg.</t>
        </is>
      </c>
      <c r="AT1" t="inlineStr">
        <is>
          <t>saures Füll-material</t>
        </is>
      </c>
      <c r="AU1" t="inlineStr">
        <is>
          <t>Register-marken</t>
        </is>
      </c>
      <c r="AV1" t="inlineStr">
        <is>
          <t>seitliche Heftung</t>
        </is>
      </c>
      <c r="AW1" t="inlineStr">
        <is>
          <t>Buch-block sehr wellig</t>
        </is>
      </c>
      <c r="AX1" t="inlineStr">
        <is>
          <t>Buch-block neigt zum "Bauch"</t>
        </is>
      </c>
      <c r="AY1" t="inlineStr">
        <is>
          <t>ge-schloss-ene Lagen</t>
        </is>
      </c>
      <c r="AZ1" t="inlineStr">
        <is>
          <t>Falttafeln</t>
        </is>
      </c>
      <c r="BA1" t="inlineStr">
        <is>
          <t>Größe Buch+
Falttafeln (BxH)</t>
        </is>
      </c>
      <c r="BB1" t="inlineStr">
        <is>
          <t>Original-grafik</t>
        </is>
      </c>
      <c r="BC1" t="inlineStr">
        <is>
          <t>Kolorier-ung / Buch-malerei / Initialen / Rubri-kation</t>
        </is>
      </c>
      <c r="BD1" t="inlineStr">
        <is>
          <t>berühr-ungsfreie Digit.</t>
        </is>
      </c>
      <c r="BE1" t="inlineStr">
        <is>
          <t>Schrift weit bis in den Falz (Bund-steg in mm) Text-verlust</t>
        </is>
      </c>
      <c r="BF1" t="inlineStr">
        <is>
          <t>nicht digitali-sierbar wegen Bund-steg (vorraus-sichtlich)</t>
        </is>
      </c>
      <c r="BG1" t="inlineStr">
        <is>
          <t>max. Öffnungs-winkel</t>
        </is>
      </c>
      <c r="BH1" t="inlineStr">
        <is>
          <t>max. Öffnungs-winkel Kommentar</t>
        </is>
      </c>
      <c r="BI1" t="inlineStr">
        <is>
          <t>Digit. mit Begleit-ung</t>
        </is>
      </c>
      <c r="BJ1" t="inlineStr">
        <is>
          <t>Digit. mit Begleit-ung Kommentar</t>
        </is>
      </c>
      <c r="BK1" t="inlineStr">
        <is>
          <t>Rest.-Bericht einge-klebt</t>
        </is>
      </c>
      <c r="BL1" t="inlineStr">
        <is>
          <t xml:space="preserve">Blatt mit Notizen zum Buch eingeklebt </t>
        </is>
      </c>
      <c r="BM1" t="inlineStr">
        <is>
          <t>Rest.
not-wendig (ja/nein) (vor/nach der Digit.)</t>
        </is>
      </c>
      <c r="BN1" t="inlineStr">
        <is>
          <t>Rest.-
Aufwand gesamt
(in Std.)</t>
        </is>
      </c>
      <c r="BO1" t="inlineStr">
        <is>
          <t>Rest.
erfolgt</t>
        </is>
      </c>
      <c r="BP1" t="inlineStr">
        <is>
          <t>Kassette</t>
        </is>
      </c>
      <c r="BQ1" t="inlineStr">
        <is>
          <t>Schuber</t>
        </is>
      </c>
      <c r="BR1" t="inlineStr">
        <is>
          <t>Buch-schuh</t>
        </is>
      </c>
      <c r="BS1" t="inlineStr">
        <is>
          <t xml:space="preserve">Mappe </t>
        </is>
      </c>
      <c r="BT1" t="inlineStr">
        <is>
          <t>Um-schlag</t>
        </is>
      </c>
      <c r="BU1" t="inlineStr">
        <is>
          <t>SB neu</t>
        </is>
      </c>
      <c r="BV1" t="inlineStr">
        <is>
          <t>Anmerkungen (allg.)</t>
        </is>
      </c>
      <c r="BW1" t="inlineStr">
        <is>
          <t>für Testphase
vorsehen</t>
        </is>
      </c>
      <c r="BX1" t="inlineStr">
        <is>
          <t>für Testphase
vorsehen Kommentar</t>
        </is>
      </c>
      <c r="BY1" t="inlineStr">
        <is>
          <t>Schutzbehältnis empfohlen</t>
        </is>
      </c>
      <c r="BZ1" t="inlineStr">
        <is>
          <t>Foto für Erheb. Rest. angefertigt (ab August)</t>
        </is>
      </c>
      <c r="CA1" t="inlineStr">
        <is>
          <t>feuchte-empfind-liches Leder</t>
        </is>
      </c>
      <c r="CB1" t="inlineStr">
        <is>
          <t>Material am Rücken/
Einband lose / eingeris-sen (auch Titelschild)</t>
        </is>
      </c>
      <c r="CC1" t="inlineStr">
        <is>
          <t>Narben spaltet sich ab</t>
        </is>
      </c>
      <c r="CD1" t="inlineStr">
        <is>
          <t>Gelenk(e) 
an/durch-gebro-chen</t>
        </is>
      </c>
      <c r="CE1" t="inlineStr">
        <is>
          <t>Bünde gebro-chen (Anzahl)</t>
        </is>
      </c>
      <c r="CF1" t="inlineStr">
        <is>
          <t>Rücken lose/
halb lose</t>
        </is>
      </c>
      <c r="CG1" t="inlineStr">
        <is>
          <t>Be-schläge locker</t>
        </is>
      </c>
      <c r="CH1" t="inlineStr">
        <is>
          <t>Buch
schließe fragil</t>
        </is>
      </c>
      <c r="CI1" t="inlineStr">
        <is>
          <t>Deckel spaltet sich / Fehlstelle im Deckel</t>
        </is>
      </c>
      <c r="CJ1" t="inlineStr">
        <is>
          <t>Deckel gebro-chen</t>
        </is>
      </c>
      <c r="CK1" t="inlineStr">
        <is>
          <t>Deckel lose / halb lose</t>
        </is>
      </c>
      <c r="CL1" t="inlineStr">
        <is>
          <t>Kapital fragil/
lose</t>
        </is>
      </c>
      <c r="CM1" t="inlineStr">
        <is>
          <t>Rest.-Aufwand Einband
(in Std.)</t>
        </is>
      </c>
      <c r="CN1" t="inlineStr">
        <is>
          <t>Anmerkungen für die Restaurierung am Einband</t>
        </is>
      </c>
      <c r="CO1" t="inlineStr">
        <is>
          <t>Ver-schmutz-ung (Vorsatz / Ränder /
ges. BB)</t>
        </is>
      </c>
      <c r="CP1" t="inlineStr">
        <is>
          <t>mikro-bieller Befall</t>
        </is>
      </c>
      <c r="CQ1" t="inlineStr">
        <is>
          <t>Farb-schicht pudert</t>
        </is>
      </c>
      <c r="CR1" t="inlineStr">
        <is>
          <t>Buch-block / Seiten verblockt</t>
        </is>
      </c>
      <c r="CS1" t="inlineStr">
        <is>
          <t>erste / letzte Lage oder Seiten lose</t>
        </is>
      </c>
      <c r="CT1" t="inlineStr">
        <is>
          <t>(halb-) lose Seiten im BB</t>
        </is>
      </c>
      <c r="CU1" t="inlineStr">
        <is>
          <t>Heftung zerstört</t>
        </is>
      </c>
      <c r="CV1" t="inlineStr">
        <is>
          <t>Risse / Fehl-stellen im Vorsatz</t>
        </is>
      </c>
      <c r="CW1" t="inlineStr">
        <is>
          <t>Risse im Text-bereich / an exponier-ter Stelle (z.B. Ecke)</t>
        </is>
      </c>
      <c r="CX1" t="inlineStr">
        <is>
          <t>Risse am Rand</t>
        </is>
      </c>
      <c r="CY1" t="inlineStr">
        <is>
          <t xml:space="preserve">Fehl-stellen im BB
(groß) </t>
        </is>
      </c>
      <c r="CZ1" t="inlineStr">
        <is>
          <t>Insekten-fraß (stark)</t>
        </is>
      </c>
      <c r="DA1" t="inlineStr">
        <is>
          <t>Falten / Knicke</t>
        </is>
      </c>
      <c r="DB1" t="inlineStr">
        <is>
          <t>saures /
brüchiges Papier</t>
        </is>
      </c>
      <c r="DC1" t="inlineStr">
        <is>
          <t>Tinten-/ Farbfraß (akut)</t>
        </is>
      </c>
      <c r="DD1" t="inlineStr">
        <is>
          <t>Register-marken fragil</t>
        </is>
      </c>
      <c r="DE1" t="inlineStr">
        <is>
          <t>Klebe-
streifen ablösen</t>
        </is>
      </c>
      <c r="DF1" t="inlineStr">
        <is>
          <t>Rest.-Aufwand Buchblock
(in Std.)</t>
        </is>
      </c>
      <c r="DG1" t="inlineStr">
        <is>
          <t>Anmerkungen für die Restaurierung am Buchblock</t>
        </is>
      </c>
    </row>
    <row r="2">
      <c r="A2" t="inlineStr">
        <is>
          <t>III</t>
        </is>
      </c>
      <c r="B2" t="b">
        <v>0</v>
      </c>
      <c r="C2" t="inlineStr"/>
      <c r="D2" t="inlineStr"/>
      <c r="E2" t="inlineStr"/>
      <c r="F2">
        <f>HYPERLINK("https://portal.dnb.de/opac.htm?method=simpleSearch&amp;cqlMode=true&amp;query=idn%3D", "Portal")</f>
        <v/>
      </c>
      <c r="G2" t="inlineStr"/>
      <c r="H2" t="inlineStr"/>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row>
    <row r="3">
      <c r="A3" t="inlineStr">
        <is>
          <t>III</t>
        </is>
      </c>
      <c r="B3" t="b">
        <v>0</v>
      </c>
      <c r="C3" t="inlineStr"/>
      <c r="D3" t="inlineStr"/>
      <c r="E3" t="inlineStr"/>
      <c r="F3">
        <f>HYPERLINK("https://portal.dnb.de/opac.htm?method=simpleSearch&amp;cqlMode=true&amp;query=idn%3D", "Portal")</f>
        <v/>
      </c>
      <c r="G3" t="inlineStr"/>
      <c r="H3" t="inlineStr"/>
      <c r="I3" t="inlineStr"/>
      <c r="J3" t="inlineStr"/>
      <c r="K3" t="inlineStr"/>
      <c r="L3" t="inlineStr"/>
      <c r="M3" t="inlineStr"/>
      <c r="N3" t="inlineStr"/>
      <c r="O3" t="inlineStr"/>
      <c r="P3" t="inlineStr"/>
      <c r="Q3" t="inlineStr"/>
      <c r="R3" t="inlineStr"/>
      <c r="S3" t="inlineStr"/>
      <c r="T3" t="inlineStr"/>
      <c r="U3" t="inlineStr"/>
      <c r="V3" t="inlineStr"/>
      <c r="W3" t="inlineStr"/>
      <c r="X3" t="inlineStr"/>
      <c r="Y3" t="inlineStr"/>
      <c r="Z3" t="inlineStr"/>
      <c r="AA3" t="inlineStr"/>
      <c r="AB3" t="inlineStr"/>
      <c r="AC3" t="inlineStr"/>
      <c r="AD3" t="inlineStr"/>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inlineStr"/>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c r="DD3" t="inlineStr"/>
      <c r="DE3" t="inlineStr"/>
      <c r="DF3" t="inlineStr"/>
      <c r="DG3" t="inlineStr"/>
    </row>
    <row r="4">
      <c r="A4" t="inlineStr">
        <is>
          <t>III</t>
        </is>
      </c>
      <c r="B4" t="b">
        <v>0</v>
      </c>
      <c r="C4" t="inlineStr"/>
      <c r="D4" t="inlineStr"/>
      <c r="E4" t="inlineStr"/>
      <c r="F4">
        <f>HYPERLINK("https://portal.dnb.de/opac.htm?method=simpleSearch&amp;cqlMode=true&amp;query=idn%3D", "Portal")</f>
        <v/>
      </c>
      <c r="G4" t="inlineStr"/>
      <c r="H4" t="inlineStr"/>
      <c r="I4" t="inlineStr"/>
      <c r="J4" t="inlineStr"/>
      <c r="K4" t="inlineStr"/>
      <c r="L4" t="inlineStr"/>
      <c r="M4" t="inlineStr"/>
      <c r="N4" t="inlineStr"/>
      <c r="O4" t="inlineStr"/>
      <c r="P4" t="inlineStr"/>
      <c r="Q4" t="inlineStr"/>
      <c r="R4" t="inlineStr"/>
      <c r="S4" t="inlineStr"/>
      <c r="T4" t="inlineStr"/>
      <c r="U4" t="inlineStr"/>
      <c r="V4" t="inlineStr"/>
      <c r="W4" t="inlineStr"/>
      <c r="X4" t="inlineStr"/>
      <c r="Y4" t="inlineStr"/>
      <c r="Z4" t="inlineStr"/>
      <c r="AA4" t="inlineStr"/>
      <c r="AB4" t="inlineStr"/>
      <c r="AC4" t="inlineStr"/>
      <c r="AD4" t="inlineStr"/>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inlineStr"/>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c r="DD4" t="inlineStr"/>
      <c r="DE4" t="inlineStr"/>
      <c r="DF4" t="inlineStr"/>
      <c r="DG4" t="inlineStr"/>
    </row>
    <row r="5">
      <c r="A5" t="inlineStr">
        <is>
          <t>III</t>
        </is>
      </c>
      <c r="B5" t="b">
        <v>0</v>
      </c>
      <c r="C5" t="inlineStr"/>
      <c r="D5" t="inlineStr"/>
      <c r="E5" t="inlineStr"/>
      <c r="F5">
        <f>HYPERLINK("https://portal.dnb.de/opac.htm?method=simpleSearch&amp;cqlMode=true&amp;query=idn%3D", "Portal")</f>
        <v/>
      </c>
      <c r="G5" t="inlineStr"/>
      <c r="H5" t="inlineStr"/>
      <c r="I5" t="inlineStr"/>
      <c r="J5" t="inlineStr"/>
      <c r="K5" t="inlineStr"/>
      <c r="L5" t="inlineStr"/>
      <c r="M5" t="inlineStr"/>
      <c r="N5" t="inlineStr"/>
      <c r="O5" t="inlineStr"/>
      <c r="P5" t="inlineStr"/>
      <c r="Q5" t="inlineStr"/>
      <c r="R5" t="inlineStr"/>
      <c r="S5" t="inlineStr"/>
      <c r="T5" t="inlineStr"/>
      <c r="U5" t="inlineStr"/>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c r="DD5" t="inlineStr"/>
      <c r="DE5" t="inlineStr"/>
      <c r="DF5" t="inlineStr"/>
      <c r="DG5" t="inlineStr"/>
    </row>
    <row r="6">
      <c r="A6" t="inlineStr">
        <is>
          <t>III</t>
        </is>
      </c>
      <c r="B6" t="b">
        <v>0</v>
      </c>
      <c r="C6" t="inlineStr"/>
      <c r="D6" t="inlineStr"/>
      <c r="E6" t="inlineStr"/>
      <c r="F6">
        <f>HYPERLINK("https://portal.dnb.de/opac.htm?method=simpleSearch&amp;cqlMode=true&amp;query=idn%3D", "Portal")</f>
        <v/>
      </c>
      <c r="G6" t="inlineStr"/>
      <c r="H6" t="inlineStr"/>
      <c r="I6" t="inlineStr"/>
      <c r="J6" t="inlineStr"/>
      <c r="K6" t="inlineStr"/>
      <c r="L6" t="inlineStr"/>
      <c r="M6" t="inlineStr"/>
      <c r="N6" t="inlineStr"/>
      <c r="O6" t="inlineStr"/>
      <c r="P6" t="inlineStr"/>
      <c r="Q6" t="inlineStr"/>
      <c r="R6" t="inlineStr"/>
      <c r="S6" t="inlineStr"/>
      <c r="T6" t="inlineStr"/>
      <c r="U6" t="inlineStr"/>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c r="DD6" t="inlineStr"/>
      <c r="DE6" t="inlineStr"/>
      <c r="DF6" t="inlineStr"/>
      <c r="DG6" t="inlineStr"/>
    </row>
    <row r="7">
      <c r="A7" t="inlineStr">
        <is>
          <t>III</t>
        </is>
      </c>
      <c r="B7" t="b">
        <v>0</v>
      </c>
      <c r="C7" t="inlineStr"/>
      <c r="D7" t="inlineStr"/>
      <c r="E7" t="inlineStr"/>
      <c r="F7">
        <f>HYPERLINK("https://portal.dnb.de/opac.htm?method=simpleSearch&amp;cqlMode=true&amp;query=idn%3D", "Portal")</f>
        <v/>
      </c>
      <c r="G7" t="inlineStr"/>
      <c r="H7" t="inlineStr"/>
      <c r="I7" t="inlineStr"/>
      <c r="J7" t="inlineStr"/>
      <c r="K7" t="inlineStr"/>
      <c r="L7" t="inlineStr"/>
      <c r="M7" t="inlineStr"/>
      <c r="N7" t="inlineStr"/>
      <c r="O7" t="inlineStr"/>
      <c r="P7" t="inlineStr"/>
      <c r="Q7" t="inlineStr"/>
      <c r="R7" t="inlineStr"/>
      <c r="S7" t="inlineStr"/>
      <c r="T7" t="inlineStr"/>
      <c r="U7" t="inlineStr"/>
      <c r="V7" t="inlineStr"/>
      <c r="W7" t="inlineStr"/>
      <c r="X7" t="inlineStr"/>
      <c r="Y7" t="inlineStr"/>
      <c r="Z7" t="inlineStr"/>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row>
    <row r="8">
      <c r="A8" t="inlineStr">
        <is>
          <t>III</t>
        </is>
      </c>
      <c r="B8" t="b">
        <v>0</v>
      </c>
      <c r="C8" t="inlineStr"/>
      <c r="D8" t="inlineStr"/>
      <c r="E8" t="inlineStr"/>
      <c r="F8">
        <f>HYPERLINK("https://portal.dnb.de/opac.htm?method=simpleSearch&amp;cqlMode=true&amp;query=idn%3D", "Portal")</f>
        <v/>
      </c>
      <c r="G8" t="inlineStr"/>
      <c r="H8" t="inlineStr"/>
      <c r="I8" t="inlineStr"/>
      <c r="J8" t="inlineStr"/>
      <c r="K8" t="inlineStr"/>
      <c r="L8" t="inlineStr"/>
      <c r="M8" t="inlineStr"/>
      <c r="N8" t="inlineStr"/>
      <c r="O8" t="inlineStr"/>
      <c r="P8" t="inlineStr"/>
      <c r="Q8" t="inlineStr"/>
      <c r="R8" t="inlineStr"/>
      <c r="S8" t="inlineStr"/>
      <c r="T8" t="inlineStr"/>
      <c r="U8" t="inlineStr"/>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inlineStr"/>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c r="DC8" t="inlineStr"/>
      <c r="DD8" t="inlineStr"/>
      <c r="DE8" t="inlineStr"/>
      <c r="DF8" t="inlineStr"/>
      <c r="DG8" t="inlineStr"/>
    </row>
    <row r="9">
      <c r="A9" t="inlineStr">
        <is>
          <t>III</t>
        </is>
      </c>
      <c r="B9" t="b">
        <v>1</v>
      </c>
      <c r="C9" t="inlineStr"/>
      <c r="D9" t="inlineStr"/>
      <c r="E9" t="n">
        <v>1200</v>
      </c>
      <c r="F9">
        <f>HYPERLINK("https://portal.dnb.de/opac.htm?method=simpleSearch&amp;cqlMode=true&amp;query=idn%3D1000933296", "Portal")</f>
        <v/>
      </c>
      <c r="G9" t="inlineStr">
        <is>
          <t>Aal</t>
        </is>
      </c>
      <c r="H9" t="inlineStr">
        <is>
          <t>L-1519-171699971</t>
        </is>
      </c>
      <c r="I9" t="inlineStr">
        <is>
          <t>1000933296</t>
        </is>
      </c>
      <c r="J9" t="inlineStr">
        <is>
          <t>III 2 B, 1</t>
        </is>
      </c>
      <c r="K9" t="inlineStr">
        <is>
          <t>III 2 B, 1</t>
        </is>
      </c>
      <c r="L9" t="inlineStr">
        <is>
          <t>III 2 B, 1</t>
        </is>
      </c>
      <c r="M9" t="inlineStr"/>
      <c r="N9" t="inlineStr">
        <is>
          <t>Montisferrati|| Marchionum et Prin=||cipu[m] Regie propagi=||nis : successionu[m]qz|| series nuper|| elucida=||ta</t>
        </is>
      </c>
      <c r="O9" t="inlineStr">
        <is>
          <t xml:space="preserve"> : </t>
        </is>
      </c>
      <c r="P9" t="inlineStr">
        <is>
          <t>X</t>
        </is>
      </c>
      <c r="Q9" t="inlineStr">
        <is>
          <t>1000,00 EUR</t>
        </is>
      </c>
      <c r="R9" t="inlineStr">
        <is>
          <t>Ledereinband</t>
        </is>
      </c>
      <c r="S9" t="inlineStr">
        <is>
          <t>bis 25 cm</t>
        </is>
      </c>
      <c r="T9" t="inlineStr">
        <is>
          <t>180°</t>
        </is>
      </c>
      <c r="U9" t="inlineStr">
        <is>
          <t>fester Rücken mit Schmuckprägung</t>
        </is>
      </c>
      <c r="V9" t="inlineStr"/>
      <c r="W9" t="inlineStr">
        <is>
          <t>Schuber</t>
        </is>
      </c>
      <c r="X9" t="inlineStr">
        <is>
          <t>Nein</t>
        </is>
      </c>
      <c r="Y9" t="n">
        <v>0</v>
      </c>
      <c r="Z9" t="inlineStr"/>
      <c r="AA9" t="inlineStr"/>
      <c r="AB9" t="inlineStr"/>
      <c r="AC9" t="inlineStr"/>
      <c r="AD9" t="inlineStr"/>
      <c r="AE9" t="inlineStr"/>
      <c r="AF9" t="inlineStr"/>
      <c r="AG9" t="inlineStr"/>
      <c r="AH9" t="inlineStr"/>
      <c r="AI9" t="inlineStr"/>
      <c r="AJ9" t="inlineStr"/>
      <c r="AK9" t="inlineStr"/>
      <c r="AL9" t="inlineStr"/>
      <c r="AM9" t="inlineStr"/>
      <c r="AN9" t="inlineStr"/>
      <c r="AO9" t="inlineStr"/>
      <c r="AP9" t="inlineStr"/>
      <c r="AQ9" t="inlineStr"/>
      <c r="AR9" t="inlineStr"/>
      <c r="AS9" t="inlineStr"/>
      <c r="AT9" t="inlineStr"/>
      <c r="AU9" t="inlineStr"/>
      <c r="AV9" t="inlineStr"/>
      <c r="AW9" t="inlineStr"/>
      <c r="AX9" t="inlineStr"/>
      <c r="AY9" t="inlineStr"/>
      <c r="AZ9" t="inlineStr"/>
      <c r="BA9" t="inlineStr"/>
      <c r="BB9" t="inlineStr"/>
      <c r="BC9" t="inlineStr"/>
      <c r="BD9" t="inlineStr"/>
      <c r="BE9" t="inlineStr"/>
      <c r="BF9" t="inlineStr"/>
      <c r="BG9" t="inlineStr"/>
      <c r="BH9" t="inlineStr"/>
      <c r="BI9" t="inlineStr"/>
      <c r="BJ9" t="inlineStr"/>
      <c r="BK9" t="inlineStr"/>
      <c r="BL9" t="inlineStr"/>
      <c r="BM9" t="inlineStr"/>
      <c r="BN9" t="n">
        <v>0</v>
      </c>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c r="DD9" t="inlineStr"/>
      <c r="DE9" t="inlineStr"/>
      <c r="DF9" t="inlineStr"/>
      <c r="DG9" t="inlineStr"/>
    </row>
    <row r="10">
      <c r="A10" t="inlineStr">
        <is>
          <t>III</t>
        </is>
      </c>
      <c r="B10" t="b">
        <v>1</v>
      </c>
      <c r="C10" t="inlineStr"/>
      <c r="D10" t="inlineStr"/>
      <c r="E10" t="n">
        <v>1</v>
      </c>
      <c r="F10">
        <f>HYPERLINK("https://portal.dnb.de/opac.htm?method=simpleSearch&amp;cqlMode=true&amp;query=idn%3D1066859469", "Portal")</f>
        <v/>
      </c>
      <c r="G10" t="inlineStr">
        <is>
          <t>Aaf</t>
        </is>
      </c>
      <c r="H10" t="inlineStr">
        <is>
          <t>L-1502-315318171</t>
        </is>
      </c>
      <c r="I10" t="inlineStr">
        <is>
          <t>1066859469</t>
        </is>
      </c>
      <c r="J10" t="inlineStr">
        <is>
          <t>III 2, 1</t>
        </is>
      </c>
      <c r="K10" t="inlineStr">
        <is>
          <t>III 2, 1</t>
        </is>
      </c>
      <c r="L10" t="inlineStr">
        <is>
          <t>III 2, 1</t>
        </is>
      </c>
      <c r="M10" t="inlineStr"/>
      <c r="N10" t="inlineStr">
        <is>
          <t>Dit is den duytsche souter. : En op een yeghelycke psalm sinen titel. die verclarede is die crachten en duechden des psalmes</t>
        </is>
      </c>
      <c r="O10" t="inlineStr">
        <is>
          <t xml:space="preserve"> : </t>
        </is>
      </c>
      <c r="P10" t="inlineStr">
        <is>
          <t>X</t>
        </is>
      </c>
      <c r="Q10" t="inlineStr"/>
      <c r="R10" t="inlineStr">
        <is>
          <t>Ledereinband</t>
        </is>
      </c>
      <c r="S10" t="inlineStr">
        <is>
          <t>bis 25 cm</t>
        </is>
      </c>
      <c r="T10" t="inlineStr">
        <is>
          <t>80° bis 110°, einseitig digitalisierbar?</t>
        </is>
      </c>
      <c r="U10" t="inlineStr">
        <is>
          <t>hohler Rücken, welliger Buchblock</t>
        </is>
      </c>
      <c r="V10" t="inlineStr"/>
      <c r="W10" t="inlineStr"/>
      <c r="X10" t="inlineStr"/>
      <c r="Y10" t="n">
        <v>3</v>
      </c>
      <c r="Z10" t="inlineStr"/>
      <c r="AA10" t="inlineStr"/>
      <c r="AB10" t="inlineStr"/>
      <c r="AC10" t="inlineStr"/>
      <c r="AD10" t="inlineStr"/>
      <c r="AE10" t="inlineStr"/>
      <c r="AF10" t="inlineStr"/>
      <c r="AG10" t="inlineStr"/>
      <c r="AH10" t="inlineStr">
        <is>
          <t>x</t>
        </is>
      </c>
      <c r="AI10" t="inlineStr">
        <is>
          <t>L</t>
        </is>
      </c>
      <c r="AJ10" t="inlineStr"/>
      <c r="AK10" t="inlineStr"/>
      <c r="AL10" t="inlineStr">
        <is>
          <t>x</t>
        </is>
      </c>
      <c r="AM10" t="inlineStr">
        <is>
          <t>h/E</t>
        </is>
      </c>
      <c r="AN10" t="inlineStr"/>
      <c r="AO10" t="inlineStr"/>
      <c r="AP10" t="inlineStr"/>
      <c r="AQ10" t="inlineStr"/>
      <c r="AR10" t="inlineStr"/>
      <c r="AS10" t="inlineStr">
        <is>
          <t>Pa</t>
        </is>
      </c>
      <c r="AT10" t="inlineStr"/>
      <c r="AU10" t="inlineStr"/>
      <c r="AV10" t="inlineStr"/>
      <c r="AW10" t="inlineStr"/>
      <c r="AX10" t="inlineStr"/>
      <c r="AY10" t="inlineStr"/>
      <c r="AZ10" t="inlineStr"/>
      <c r="BA10" t="inlineStr"/>
      <c r="BB10" t="inlineStr"/>
      <c r="BC10" t="inlineStr">
        <is>
          <t>R</t>
        </is>
      </c>
      <c r="BD10" t="inlineStr">
        <is>
          <t>x</t>
        </is>
      </c>
      <c r="BE10" t="n">
        <v>4</v>
      </c>
      <c r="BF10" t="inlineStr">
        <is>
          <t>x</t>
        </is>
      </c>
      <c r="BG10" t="n">
        <v>45</v>
      </c>
      <c r="BH10" t="inlineStr"/>
      <c r="BI10" t="inlineStr"/>
      <c r="BJ10" t="inlineStr"/>
      <c r="BK10" t="inlineStr"/>
      <c r="BL10" t="inlineStr"/>
      <c r="BM10" t="inlineStr">
        <is>
          <t>n</t>
        </is>
      </c>
      <c r="BN10" t="n">
        <v>0</v>
      </c>
      <c r="BO10" t="inlineStr"/>
      <c r="BP10" t="inlineStr"/>
      <c r="BQ10" t="inlineStr"/>
      <c r="BR10" t="inlineStr"/>
      <c r="BS10" t="inlineStr"/>
      <c r="BT10" t="inlineStr"/>
      <c r="BU10" t="inlineStr"/>
      <c r="BV10" t="inlineStr">
        <is>
          <t>Schaden ist stabil</t>
        </is>
      </c>
      <c r="BW10" t="inlineStr">
        <is>
          <t>x 45</t>
        </is>
      </c>
      <c r="BX10" t="inlineStr">
        <is>
          <t xml:space="preserve">
beschädigt, aber stabil</t>
        </is>
      </c>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c r="DD10" t="inlineStr"/>
      <c r="DE10" t="inlineStr"/>
      <c r="DF10" t="inlineStr"/>
      <c r="DG10" t="inlineStr"/>
    </row>
    <row r="11">
      <c r="A11" t="inlineStr">
        <is>
          <t>III</t>
        </is>
      </c>
      <c r="B11" t="b">
        <v>1</v>
      </c>
      <c r="C11" t="inlineStr"/>
      <c r="D11" t="inlineStr"/>
      <c r="E11" t="n">
        <v>2</v>
      </c>
      <c r="F11">
        <f>HYPERLINK("https://portal.dnb.de/opac.htm?method=simpleSearch&amp;cqlMode=true&amp;query=idn%3D1066859000", "Portal")</f>
        <v/>
      </c>
      <c r="G11" t="inlineStr">
        <is>
          <t>Aaf</t>
        </is>
      </c>
      <c r="H11" t="inlineStr">
        <is>
          <t>L-1534-315317728</t>
        </is>
      </c>
      <c r="I11" t="inlineStr">
        <is>
          <t>1066859000</t>
        </is>
      </c>
      <c r="J11" t="inlineStr">
        <is>
          <t>III 2, 2</t>
        </is>
      </c>
      <c r="K11" t="inlineStr">
        <is>
          <t>III 2, 2</t>
        </is>
      </c>
      <c r="L11" t="inlineStr">
        <is>
          <t>III 2, 2</t>
        </is>
      </c>
      <c r="M11" t="inlineStr"/>
      <c r="N11" t="inlineStr">
        <is>
          <t>Den @Bibel : met grooter neersticheyt gecorrigeert, en op die canten gheset den ouderdom der werelt, ende hoe lange die gheschiedenissen ende historie</t>
        </is>
      </c>
      <c r="O11" t="inlineStr">
        <is>
          <t xml:space="preserve"> : </t>
        </is>
      </c>
      <c r="P11" t="inlineStr">
        <is>
          <t>X</t>
        </is>
      </c>
      <c r="Q11" t="inlineStr"/>
      <c r="R11" t="inlineStr">
        <is>
          <t>Ledereinband, Schließen, erhabene Buchbeschläge</t>
        </is>
      </c>
      <c r="S11" t="inlineStr">
        <is>
          <t>bis 35 cm</t>
        </is>
      </c>
      <c r="T11" t="inlineStr">
        <is>
          <t>180°</t>
        </is>
      </c>
      <c r="U11" t="inlineStr">
        <is>
          <t>hohler Rücken, welliger Buchblock</t>
        </is>
      </c>
      <c r="V11" t="inlineStr"/>
      <c r="W11" t="inlineStr">
        <is>
          <t>Buchschuh</t>
        </is>
      </c>
      <c r="X11" t="inlineStr">
        <is>
          <t>Nein</t>
        </is>
      </c>
      <c r="Y11" t="n">
        <v>3</v>
      </c>
      <c r="Z11" t="inlineStr"/>
      <c r="AA11" t="inlineStr">
        <is>
          <t>gereinigt</t>
        </is>
      </c>
      <c r="AB11" t="inlineStr"/>
      <c r="AC11" t="inlineStr"/>
      <c r="AD11" t="inlineStr"/>
      <c r="AE11" t="inlineStr"/>
      <c r="AF11" t="inlineStr"/>
      <c r="AG11" t="inlineStr"/>
      <c r="AH11" t="inlineStr"/>
      <c r="AI11" t="inlineStr">
        <is>
          <t>HD</t>
        </is>
      </c>
      <c r="AJ11" t="inlineStr"/>
      <c r="AK11" t="inlineStr"/>
      <c r="AL11" t="inlineStr"/>
      <c r="AM11" t="inlineStr">
        <is>
          <t>h</t>
        </is>
      </c>
      <c r="AN11" t="inlineStr"/>
      <c r="AO11" t="inlineStr"/>
      <c r="AP11" t="inlineStr"/>
      <c r="AQ11" t="inlineStr"/>
      <c r="AR11" t="inlineStr"/>
      <c r="AS11" t="inlineStr">
        <is>
          <t>Pa</t>
        </is>
      </c>
      <c r="AT11" t="inlineStr"/>
      <c r="AU11" t="inlineStr"/>
      <c r="AV11" t="inlineStr"/>
      <c r="AW11" t="inlineStr"/>
      <c r="AX11" t="inlineStr"/>
      <c r="AY11" t="inlineStr"/>
      <c r="AZ11" t="inlineStr"/>
      <c r="BA11" t="inlineStr"/>
      <c r="BB11" t="inlineStr"/>
      <c r="BC11" t="inlineStr"/>
      <c r="BD11" t="inlineStr"/>
      <c r="BE11" t="inlineStr"/>
      <c r="BF11" t="inlineStr"/>
      <c r="BG11" t="n">
        <v>110</v>
      </c>
      <c r="BH11" t="inlineStr"/>
      <c r="BI11" t="inlineStr"/>
      <c r="BJ11" t="inlineStr"/>
      <c r="BK11" t="inlineStr"/>
      <c r="BL11" t="inlineStr"/>
      <c r="BM11" t="inlineStr">
        <is>
          <t>n</t>
        </is>
      </c>
      <c r="BN11" t="n">
        <v>0</v>
      </c>
      <c r="BO11" t="inlineStr"/>
      <c r="BP11" t="inlineStr"/>
      <c r="BQ11" t="inlineStr"/>
      <c r="BR11" t="inlineStr">
        <is>
          <t>x</t>
        </is>
      </c>
      <c r="BS11" t="inlineStr"/>
      <c r="BT11" t="inlineStr"/>
      <c r="BU11" t="inlineStr"/>
      <c r="BV11" t="inlineStr">
        <is>
          <t>Schaden ist stabil, fester Rücken inzwischen hohl</t>
        </is>
      </c>
      <c r="BW11" t="inlineStr">
        <is>
          <t>x 110</t>
        </is>
      </c>
      <c r="BX11" t="inlineStr">
        <is>
          <t xml:space="preserve">
beschädigt, aber stabil</t>
        </is>
      </c>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c r="DC11" t="inlineStr"/>
      <c r="DD11" t="inlineStr"/>
      <c r="DE11" t="inlineStr"/>
      <c r="DF11" t="inlineStr"/>
      <c r="DG11" t="inlineStr"/>
    </row>
    <row r="12">
      <c r="A12" t="inlineStr">
        <is>
          <t>III</t>
        </is>
      </c>
      <c r="B12" t="b">
        <v>1</v>
      </c>
      <c r="C12" t="inlineStr"/>
      <c r="D12" t="inlineStr"/>
      <c r="E12" t="n">
        <v>3</v>
      </c>
      <c r="F12">
        <f>HYPERLINK("https://portal.dnb.de/opac.htm?method=simpleSearch&amp;cqlMode=true&amp;query=idn%3D1003653014", "Portal")</f>
        <v/>
      </c>
      <c r="G12" t="inlineStr">
        <is>
          <t>Aal</t>
        </is>
      </c>
      <c r="H12" t="inlineStr">
        <is>
          <t>L-1540-180391380</t>
        </is>
      </c>
      <c r="I12" t="inlineStr">
        <is>
          <t>1003653014</t>
        </is>
      </c>
      <c r="J12" t="inlineStr">
        <is>
          <t>III 2, 3</t>
        </is>
      </c>
      <c r="K12" t="inlineStr">
        <is>
          <t>III 2, 3</t>
        </is>
      </c>
      <c r="L12" t="inlineStr">
        <is>
          <t>III 2, 3</t>
        </is>
      </c>
      <c r="M12" t="inlineStr"/>
      <c r="N12" t="inlineStr">
        <is>
          <t xml:space="preserve">Rhetoricae ac dialecticae tractatio legalis, nempe: Vdalrici Zasii ... in rhetoricam [M. T. Ciceronis] ad Herennium commentarius : </t>
        </is>
      </c>
      <c r="O12" t="inlineStr">
        <is>
          <t xml:space="preserve"> : </t>
        </is>
      </c>
      <c r="P12" t="inlineStr">
        <is>
          <t>X</t>
        </is>
      </c>
      <c r="Q12" t="inlineStr"/>
      <c r="R12" t="inlineStr">
        <is>
          <t>Pergamentband</t>
        </is>
      </c>
      <c r="S12" t="inlineStr">
        <is>
          <t>bis 25 cm</t>
        </is>
      </c>
      <c r="T12" t="inlineStr">
        <is>
          <t>80° bis 110°, einseitig digitalisierbar?</t>
        </is>
      </c>
      <c r="U12" t="inlineStr">
        <is>
          <t>hohler Rücken, welliger Buchblock, Einband mit Schutz- oder Stoßkanten</t>
        </is>
      </c>
      <c r="V12" t="inlineStr"/>
      <c r="W12" t="inlineStr">
        <is>
          <t>Kassette</t>
        </is>
      </c>
      <c r="X12" t="inlineStr">
        <is>
          <t>Nein</t>
        </is>
      </c>
      <c r="Y12" t="n">
        <v>1</v>
      </c>
      <c r="Z12" t="inlineStr"/>
      <c r="AA12" t="inlineStr"/>
      <c r="AB12" t="inlineStr"/>
      <c r="AC12" t="inlineStr"/>
      <c r="AD12" t="inlineStr"/>
      <c r="AE12" t="inlineStr"/>
      <c r="AF12" t="inlineStr"/>
      <c r="AG12" t="inlineStr"/>
      <c r="AH12" t="inlineStr"/>
      <c r="AI12" t="inlineStr"/>
      <c r="AJ12" t="inlineStr"/>
      <c r="AK12" t="inlineStr"/>
      <c r="AL12" t="inlineStr"/>
      <c r="AM12" t="n">
        <v>3</v>
      </c>
      <c r="AN12" t="inlineStr"/>
      <c r="AO12" t="inlineStr"/>
      <c r="AP12" t="inlineStr"/>
      <c r="AQ12" t="inlineStr"/>
      <c r="AR12" t="inlineStr"/>
      <c r="AS12" t="inlineStr"/>
      <c r="AT12" t="inlineStr"/>
      <c r="AU12" t="inlineStr"/>
      <c r="AV12" t="inlineStr"/>
      <c r="AW12" t="inlineStr"/>
      <c r="AX12" t="inlineStr"/>
      <c r="AY12" t="inlineStr"/>
      <c r="AZ12" t="inlineStr"/>
      <c r="BA12" t="inlineStr"/>
      <c r="BB12" t="inlineStr"/>
      <c r="BC12" t="inlineStr"/>
      <c r="BD12" t="inlineStr"/>
      <c r="BE12" t="inlineStr"/>
      <c r="BF12" t="inlineStr"/>
      <c r="BG12" t="inlineStr"/>
      <c r="BH12" t="inlineStr"/>
      <c r="BI12" t="inlineStr"/>
      <c r="BJ12" t="inlineStr"/>
      <c r="BK12" t="inlineStr"/>
      <c r="BL12" t="inlineStr"/>
      <c r="BM12" t="inlineStr"/>
      <c r="BN12" t="n">
        <v>0</v>
      </c>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row>
    <row r="13">
      <c r="A13" t="inlineStr">
        <is>
          <t>III</t>
        </is>
      </c>
      <c r="B13" t="b">
        <v>1</v>
      </c>
      <c r="C13" t="inlineStr"/>
      <c r="D13" t="inlineStr"/>
      <c r="E13" t="n">
        <v>4</v>
      </c>
      <c r="F13">
        <f>HYPERLINK("https://portal.dnb.de/opac.htm?method=simpleSearch&amp;cqlMode=true&amp;query=idn%3D999397737", "Portal")</f>
        <v/>
      </c>
      <c r="G13" t="inlineStr">
        <is>
          <t>Aal</t>
        </is>
      </c>
      <c r="H13" t="inlineStr">
        <is>
          <t>L-1535-168291959</t>
        </is>
      </c>
      <c r="I13" t="inlineStr">
        <is>
          <t>999397737</t>
        </is>
      </c>
      <c r="J13" t="inlineStr">
        <is>
          <t>III 2, 4</t>
        </is>
      </c>
      <c r="K13" t="inlineStr">
        <is>
          <t>III 2, 4</t>
        </is>
      </c>
      <c r="L13" t="inlineStr">
        <is>
          <t>III 2, 4</t>
        </is>
      </c>
      <c r="M13" t="inlineStr"/>
      <c r="N13" t="inlineStr">
        <is>
          <t xml:space="preserve">ENCHI=||RIDION|| AD VERBORVM CO||Piam haud infrugiferu[m] multo|| quàm antea auctius ema||culatiusq[ue], Theo||dorico M||orello|| Campano au||tore : </t>
        </is>
      </c>
      <c r="O13" t="inlineStr">
        <is>
          <t xml:space="preserve"> : </t>
        </is>
      </c>
      <c r="P13" t="inlineStr"/>
      <c r="Q13" t="inlineStr"/>
      <c r="R13" t="inlineStr">
        <is>
          <t>Halbpergamentband</t>
        </is>
      </c>
      <c r="S13" t="inlineStr">
        <is>
          <t>bis 25 cm</t>
        </is>
      </c>
      <c r="T13" t="inlineStr">
        <is>
          <t>80° bis 110°, einseitig digitalisierbar?</t>
        </is>
      </c>
      <c r="U13" t="inlineStr">
        <is>
          <t>hohler Rücken, welliger Buchblock</t>
        </is>
      </c>
      <c r="V13" t="inlineStr"/>
      <c r="W13" t="inlineStr"/>
      <c r="X13" t="inlineStr"/>
      <c r="Y13" t="n">
        <v>0</v>
      </c>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inlineStr"/>
      <c r="BJ13" t="inlineStr"/>
      <c r="BK13" t="inlineStr"/>
      <c r="BL13" t="inlineStr"/>
      <c r="BM13" t="inlineStr"/>
      <c r="BN13" t="n">
        <v>0</v>
      </c>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c r="DE13" t="inlineStr"/>
      <c r="DF13" t="inlineStr"/>
      <c r="DG13" t="inlineStr"/>
    </row>
    <row r="14">
      <c r="A14" t="inlineStr">
        <is>
          <t>III</t>
        </is>
      </c>
      <c r="B14" t="b">
        <v>1</v>
      </c>
      <c r="C14" t="inlineStr"/>
      <c r="D14" t="inlineStr"/>
      <c r="E14" t="n">
        <v>5</v>
      </c>
      <c r="F14">
        <f>HYPERLINK("https://portal.dnb.de/opac.htm?method=simpleSearch&amp;cqlMode=true&amp;query=idn%3D1001530470", "Portal")</f>
        <v/>
      </c>
      <c r="G14" t="inlineStr">
        <is>
          <t>Aal</t>
        </is>
      </c>
      <c r="H14" t="inlineStr">
        <is>
          <t>L-1555-175067589</t>
        </is>
      </c>
      <c r="I14" t="inlineStr">
        <is>
          <t>1001530470</t>
        </is>
      </c>
      <c r="J14" t="inlineStr">
        <is>
          <t>III 2, 5</t>
        </is>
      </c>
      <c r="K14" t="inlineStr">
        <is>
          <t>III 2, 5</t>
        </is>
      </c>
      <c r="L14" t="inlineStr">
        <is>
          <t>III 2, 5</t>
        </is>
      </c>
      <c r="M14" t="inlineStr"/>
      <c r="N14" t="inlineStr">
        <is>
          <t xml:space="preserve">Flores : </t>
        </is>
      </c>
      <c r="O14" t="inlineStr">
        <is>
          <t xml:space="preserve"> : </t>
        </is>
      </c>
      <c r="P14" t="inlineStr">
        <is>
          <t>X</t>
        </is>
      </c>
      <c r="Q14" t="inlineStr"/>
      <c r="R14" t="inlineStr">
        <is>
          <t>Pergamentband</t>
        </is>
      </c>
      <c r="S14" t="inlineStr">
        <is>
          <t>bis 25 cm</t>
        </is>
      </c>
      <c r="T14" t="inlineStr">
        <is>
          <t>80° bis 110°, einseitig digitalisierbar?</t>
        </is>
      </c>
      <c r="U14" t="inlineStr">
        <is>
          <t>hohler Rücken, welliger Buchblock</t>
        </is>
      </c>
      <c r="V14" t="inlineStr"/>
      <c r="W14" t="inlineStr"/>
      <c r="X14" t="inlineStr">
        <is>
          <t>Signaturfahne austauschen</t>
        </is>
      </c>
      <c r="Y14" t="n">
        <v>0</v>
      </c>
      <c r="Z14" t="inlineStr"/>
      <c r="AA14" t="inlineStr"/>
      <c r="AB14" t="inlineStr"/>
      <c r="AC14" t="inlineStr"/>
      <c r="AD14" t="inlineStr"/>
      <c r="AE14" t="inlineStr"/>
      <c r="AF14" t="inlineStr"/>
      <c r="AG14" t="inlineStr"/>
      <c r="AH14" t="inlineStr"/>
      <c r="AI14" t="inlineStr"/>
      <c r="AJ14" t="inlineStr"/>
      <c r="AK14" t="inlineStr"/>
      <c r="AL14" t="inlineStr"/>
      <c r="AM14" t="inlineStr"/>
      <c r="AN14" t="inlineStr"/>
      <c r="AO14" t="inlineStr"/>
      <c r="AP14" t="inlineStr"/>
      <c r="AQ14" t="inlineStr"/>
      <c r="AR14" t="inlineStr"/>
      <c r="AS14" t="inlineStr"/>
      <c r="AT14" t="inlineStr"/>
      <c r="AU14" t="inlineStr"/>
      <c r="AV14" t="inlineStr"/>
      <c r="AW14" t="inlineStr"/>
      <c r="AX14" t="inlineStr"/>
      <c r="AY14" t="inlineStr"/>
      <c r="AZ14" t="inlineStr"/>
      <c r="BA14" t="inlineStr"/>
      <c r="BB14" t="inlineStr"/>
      <c r="BC14" t="inlineStr"/>
      <c r="BD14" t="inlineStr"/>
      <c r="BE14" t="inlineStr"/>
      <c r="BF14" t="inlineStr"/>
      <c r="BG14" t="inlineStr"/>
      <c r="BH14" t="inlineStr"/>
      <c r="BI14" t="inlineStr"/>
      <c r="BJ14" t="inlineStr"/>
      <c r="BK14" t="inlineStr"/>
      <c r="BL14" t="inlineStr"/>
      <c r="BM14" t="inlineStr"/>
      <c r="BN14" t="n">
        <v>0</v>
      </c>
      <c r="BO14" t="inlineStr"/>
      <c r="BP14" t="inlineStr"/>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c r="DC14" t="inlineStr"/>
      <c r="DD14" t="inlineStr"/>
      <c r="DE14" t="inlineStr"/>
      <c r="DF14" t="inlineStr"/>
      <c r="DG14" t="inlineStr"/>
    </row>
    <row r="15">
      <c r="A15" t="inlineStr">
        <is>
          <t>III</t>
        </is>
      </c>
      <c r="B15" t="b">
        <v>1</v>
      </c>
      <c r="C15" t="inlineStr"/>
      <c r="D15" t="inlineStr"/>
      <c r="E15" t="n">
        <v>6</v>
      </c>
      <c r="F15">
        <f>HYPERLINK("https://portal.dnb.de/opac.htm?method=simpleSearch&amp;cqlMode=true&amp;query=idn%3D999996789", "Portal")</f>
        <v/>
      </c>
      <c r="G15" t="inlineStr">
        <is>
          <t>Aal</t>
        </is>
      </c>
      <c r="H15" t="inlineStr">
        <is>
          <t>L-1558-169832023</t>
        </is>
      </c>
      <c r="I15" t="inlineStr">
        <is>
          <t>999996789</t>
        </is>
      </c>
      <c r="J15" t="inlineStr">
        <is>
          <t>III 2, 6</t>
        </is>
      </c>
      <c r="K15" t="inlineStr">
        <is>
          <t>III 2, 6</t>
        </is>
      </c>
      <c r="L15" t="inlineStr">
        <is>
          <t>III 2, 6</t>
        </is>
      </c>
      <c r="M15" t="inlineStr"/>
      <c r="N15" t="inlineStr">
        <is>
          <t xml:space="preserve">Les @Epistres de Phalaris, et dʹIsocrates : </t>
        </is>
      </c>
      <c r="O15" t="inlineStr">
        <is>
          <t xml:space="preserve"> : </t>
        </is>
      </c>
      <c r="P15" t="inlineStr">
        <is>
          <t>X</t>
        </is>
      </c>
      <c r="Q15" t="inlineStr"/>
      <c r="R15" t="inlineStr">
        <is>
          <t>Pergamentband</t>
        </is>
      </c>
      <c r="S15" t="inlineStr">
        <is>
          <t>bis 25 cm</t>
        </is>
      </c>
      <c r="T15" t="inlineStr">
        <is>
          <t>80° bis 110°, einseitig digitalisierbar?</t>
        </is>
      </c>
      <c r="U15" t="inlineStr">
        <is>
          <t>hohler Rücken, Einband mit Schutz- oder Stoßkanten</t>
        </is>
      </c>
      <c r="V15" t="inlineStr"/>
      <c r="W15" t="inlineStr">
        <is>
          <t>Kassette</t>
        </is>
      </c>
      <c r="X15" t="inlineStr">
        <is>
          <t>Nein</t>
        </is>
      </c>
      <c r="Y15" t="n">
        <v>0</v>
      </c>
      <c r="Z15" t="inlineStr"/>
      <c r="AA15" t="inlineStr"/>
      <c r="AB15" t="inlineStr"/>
      <c r="AC15" t="inlineStr"/>
      <c r="AD15" t="inlineStr"/>
      <c r="AE15" t="inlineStr"/>
      <c r="AF15" t="inlineStr"/>
      <c r="AG15" t="inlineStr"/>
      <c r="AH15" t="inlineStr"/>
      <c r="AI15" t="inlineStr"/>
      <c r="AJ15" t="inlineStr"/>
      <c r="AK15" t="inlineStr"/>
      <c r="AL15" t="inlineStr"/>
      <c r="AM15" t="inlineStr"/>
      <c r="AN15" t="inlineStr"/>
      <c r="AO15" t="inlineStr"/>
      <c r="AP15" t="inlineStr"/>
      <c r="AQ15" t="inlineStr"/>
      <c r="AR15" t="inlineStr"/>
      <c r="AS15" t="inlineStr"/>
      <c r="AT15" t="inlineStr"/>
      <c r="AU15" t="inlineStr"/>
      <c r="AV15" t="inlineStr"/>
      <c r="AW15" t="inlineStr"/>
      <c r="AX15" t="inlineStr"/>
      <c r="AY15" t="inlineStr"/>
      <c r="AZ15" t="inlineStr"/>
      <c r="BA15" t="inlineStr"/>
      <c r="BB15" t="inlineStr"/>
      <c r="BC15" t="inlineStr"/>
      <c r="BD15" t="inlineStr"/>
      <c r="BE15" t="inlineStr"/>
      <c r="BF15" t="inlineStr"/>
      <c r="BG15" t="inlineStr"/>
      <c r="BH15" t="inlineStr"/>
      <c r="BI15" t="inlineStr"/>
      <c r="BJ15" t="inlineStr"/>
      <c r="BK15" t="inlineStr"/>
      <c r="BL15" t="inlineStr"/>
      <c r="BM15" t="inlineStr"/>
      <c r="BN15" t="n">
        <v>0</v>
      </c>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c r="DD15" t="inlineStr"/>
      <c r="DE15" t="inlineStr"/>
      <c r="DF15" t="inlineStr"/>
      <c r="DG15" t="inlineStr"/>
    </row>
    <row r="16">
      <c r="A16" t="inlineStr">
        <is>
          <t>III</t>
        </is>
      </c>
      <c r="B16" t="b">
        <v>1</v>
      </c>
      <c r="C16" t="inlineStr">
        <is>
          <t>x</t>
        </is>
      </c>
      <c r="D16" t="inlineStr"/>
      <c r="E16" t="n">
        <v>7</v>
      </c>
      <c r="F16">
        <f>HYPERLINK("https://portal.dnb.de/opac.htm?method=simpleSearch&amp;cqlMode=true&amp;query=idn%3D998774278", "Portal")</f>
        <v/>
      </c>
      <c r="G16" t="inlineStr">
        <is>
          <t>Aal</t>
        </is>
      </c>
      <c r="H16" t="inlineStr">
        <is>
          <t>L-1560-166917079</t>
        </is>
      </c>
      <c r="I16" t="inlineStr">
        <is>
          <t>998774278</t>
        </is>
      </c>
      <c r="J16" t="inlineStr">
        <is>
          <t>III 2, 7</t>
        </is>
      </c>
      <c r="K16" t="inlineStr">
        <is>
          <t>III 2, 7</t>
        </is>
      </c>
      <c r="L16" t="inlineStr">
        <is>
          <t>III 2, 7</t>
        </is>
      </c>
      <c r="M16" t="inlineStr"/>
      <c r="N16" t="inlineStr">
        <is>
          <t xml:space="preserve">Litvrgiæ, sive missæ sanctorvm patrvm ... interprete Leone Thusco ... : Quibus accessit ad calcem e libris D. Joannis Chrysostomi, locorum annotatio, </t>
        </is>
      </c>
      <c r="O16" t="inlineStr">
        <is>
          <t xml:space="preserve"> : </t>
        </is>
      </c>
      <c r="P16" t="inlineStr">
        <is>
          <t>X</t>
        </is>
      </c>
      <c r="Q16" t="inlineStr"/>
      <c r="R16" t="inlineStr">
        <is>
          <t>Ledereinband</t>
        </is>
      </c>
      <c r="S16" t="inlineStr">
        <is>
          <t>bis 25 cm</t>
        </is>
      </c>
      <c r="T16" t="inlineStr">
        <is>
          <t>80° bis 110°, einseitig digitalisierbar?</t>
        </is>
      </c>
      <c r="U16" t="inlineStr">
        <is>
          <t>fester Rücken mit Schmuckprägung, Schrift bis in den Falz</t>
        </is>
      </c>
      <c r="V16" t="inlineStr"/>
      <c r="W16" t="inlineStr">
        <is>
          <t>Kassette</t>
        </is>
      </c>
      <c r="X16" t="inlineStr">
        <is>
          <t>Nein</t>
        </is>
      </c>
      <c r="Y16" t="n">
        <v>1</v>
      </c>
      <c r="Z16" t="inlineStr"/>
      <c r="AA16" t="inlineStr"/>
      <c r="AB16" t="inlineStr"/>
      <c r="AC16" t="inlineStr"/>
      <c r="AD16" t="inlineStr"/>
      <c r="AE16" t="inlineStr"/>
      <c r="AF16" t="inlineStr"/>
      <c r="AG16" t="inlineStr"/>
      <c r="AH16" t="inlineStr"/>
      <c r="AI16" t="inlineStr">
        <is>
          <t>L</t>
        </is>
      </c>
      <c r="AJ16" t="inlineStr"/>
      <c r="AK16" t="inlineStr"/>
      <c r="AL16" t="inlineStr"/>
      <c r="AM16" t="inlineStr">
        <is>
          <t>f/V</t>
        </is>
      </c>
      <c r="AN16" t="inlineStr"/>
      <c r="AO16" t="inlineStr"/>
      <c r="AP16" t="inlineStr"/>
      <c r="AQ16" t="inlineStr"/>
      <c r="AR16" t="inlineStr"/>
      <c r="AS16" t="inlineStr">
        <is>
          <t>Pa</t>
        </is>
      </c>
      <c r="AT16" t="inlineStr"/>
      <c r="AU16" t="inlineStr"/>
      <c r="AV16" t="inlineStr"/>
      <c r="AW16" t="inlineStr"/>
      <c r="AX16" t="inlineStr"/>
      <c r="AY16" t="inlineStr"/>
      <c r="AZ16" t="inlineStr"/>
      <c r="BA16" t="inlineStr"/>
      <c r="BB16" t="inlineStr"/>
      <c r="BC16" t="inlineStr"/>
      <c r="BD16" t="inlineStr"/>
      <c r="BE16" t="inlineStr"/>
      <c r="BF16" t="inlineStr"/>
      <c r="BG16" t="n">
        <v>45</v>
      </c>
      <c r="BH16" t="inlineStr"/>
      <c r="BI16" t="inlineStr"/>
      <c r="BJ16" t="inlineStr"/>
      <c r="BK16" t="inlineStr"/>
      <c r="BL16" t="inlineStr"/>
      <c r="BM16" t="inlineStr">
        <is>
          <t>ja vor</t>
        </is>
      </c>
      <c r="BN16" t="n">
        <v>1</v>
      </c>
      <c r="BO16" t="inlineStr"/>
      <c r="BP16" t="inlineStr">
        <is>
          <t>Gewebe</t>
        </is>
      </c>
      <c r="BQ16" t="inlineStr"/>
      <c r="BR16" t="inlineStr"/>
      <c r="BS16" t="inlineStr"/>
      <c r="BT16" t="inlineStr"/>
      <c r="BU16" t="inlineStr"/>
      <c r="BV16" t="inlineStr">
        <is>
          <t>Kapital stabilisieren, sonst stabil genug</t>
        </is>
      </c>
      <c r="BW16" t="inlineStr">
        <is>
          <t>x 45</t>
        </is>
      </c>
      <c r="BX16" t="inlineStr">
        <is>
          <t xml:space="preserve">
beschädigt aber stabil genug</t>
        </is>
      </c>
      <c r="BY16" t="inlineStr"/>
      <c r="BZ16" t="inlineStr">
        <is>
          <t>x</t>
        </is>
      </c>
      <c r="CA16" t="inlineStr">
        <is>
          <t>x</t>
        </is>
      </c>
      <c r="CB16" t="inlineStr">
        <is>
          <t>x</t>
        </is>
      </c>
      <c r="CC16" t="inlineStr"/>
      <c r="CD16" t="inlineStr">
        <is>
          <t>v/h</t>
        </is>
      </c>
      <c r="CE16" t="inlineStr"/>
      <c r="CF16" t="inlineStr"/>
      <c r="CG16" t="inlineStr"/>
      <c r="CH16" t="inlineStr"/>
      <c r="CI16" t="inlineStr"/>
      <c r="CJ16" t="inlineStr"/>
      <c r="CK16" t="inlineStr"/>
      <c r="CL16" t="inlineStr">
        <is>
          <t>x</t>
        </is>
      </c>
      <c r="CM16" t="n">
        <v>1</v>
      </c>
      <c r="CN16" t="inlineStr">
        <is>
          <t>nur Kapital stabilisieren, der Reste sollte stabil genug sein (ggf.! Gelenke mit JP überfangen)</t>
        </is>
      </c>
      <c r="CO16" t="inlineStr"/>
      <c r="CP16" t="inlineStr"/>
      <c r="CQ16" t="inlineStr"/>
      <c r="CR16" t="inlineStr"/>
      <c r="CS16" t="inlineStr"/>
      <c r="CT16" t="inlineStr"/>
      <c r="CU16" t="inlineStr"/>
      <c r="CV16" t="inlineStr"/>
      <c r="CW16" t="inlineStr"/>
      <c r="CX16" t="inlineStr"/>
      <c r="CY16" t="inlineStr"/>
      <c r="CZ16" t="inlineStr"/>
      <c r="DA16" t="inlineStr"/>
      <c r="DB16" t="inlineStr"/>
      <c r="DC16" t="inlineStr"/>
      <c r="DD16" t="inlineStr"/>
      <c r="DE16" t="inlineStr"/>
      <c r="DF16" t="inlineStr"/>
      <c r="DG16" t="inlineStr"/>
    </row>
    <row r="17">
      <c r="A17" t="inlineStr">
        <is>
          <t>III</t>
        </is>
      </c>
      <c r="B17" t="b">
        <v>1</v>
      </c>
      <c r="C17" t="inlineStr"/>
      <c r="D17" t="inlineStr"/>
      <c r="E17" t="n">
        <v>8</v>
      </c>
      <c r="F17">
        <f>HYPERLINK("https://portal.dnb.de/opac.htm?method=simpleSearch&amp;cqlMode=true&amp;query=idn%3D994470045", "Portal")</f>
        <v/>
      </c>
      <c r="G17" t="inlineStr">
        <is>
          <t>Aal</t>
        </is>
      </c>
      <c r="H17" t="inlineStr">
        <is>
          <t>L-1560-156009854</t>
        </is>
      </c>
      <c r="I17" t="inlineStr">
        <is>
          <t>994470045</t>
        </is>
      </c>
      <c r="J17" t="inlineStr">
        <is>
          <t>III 2, 8</t>
        </is>
      </c>
      <c r="K17" t="inlineStr">
        <is>
          <t>III 2, 8</t>
        </is>
      </c>
      <c r="L17" t="inlineStr">
        <is>
          <t>III 2, 8</t>
        </is>
      </c>
      <c r="M17" t="inlineStr"/>
      <c r="N17" t="inlineStr">
        <is>
          <t>Catullus, Tibullus, Propertius, Cor. Galli fragmenta : Omnia ex vetust. exempl. multò, quàm anteà emendatiora, additis annot.</t>
        </is>
      </c>
      <c r="O17" t="inlineStr">
        <is>
          <t xml:space="preserve"> : </t>
        </is>
      </c>
      <c r="P17" t="inlineStr">
        <is>
          <t>X</t>
        </is>
      </c>
      <c r="Q17" t="inlineStr"/>
      <c r="R17" t="inlineStr">
        <is>
          <t>Halbledereinband</t>
        </is>
      </c>
      <c r="S17" t="inlineStr">
        <is>
          <t>bis 25 cm</t>
        </is>
      </c>
      <c r="T17" t="inlineStr">
        <is>
          <t>80° bis 110°, einseitig digitalisierbar?</t>
        </is>
      </c>
      <c r="U17" t="inlineStr">
        <is>
          <t>fester Rücken mit Schmuckprägung</t>
        </is>
      </c>
      <c r="V17" t="inlineStr"/>
      <c r="W17" t="inlineStr">
        <is>
          <t>Kassette</t>
        </is>
      </c>
      <c r="X17" t="inlineStr">
        <is>
          <t>Nein</t>
        </is>
      </c>
      <c r="Y17" t="n">
        <v>0</v>
      </c>
      <c r="Z17" t="inlineStr"/>
      <c r="AA17" t="inlineStr"/>
      <c r="AB17" t="inlineStr"/>
      <c r="AC17" t="inlineStr"/>
      <c r="AD17" t="inlineStr"/>
      <c r="AE17" t="inlineStr"/>
      <c r="AF17" t="inlineStr"/>
      <c r="AG17" t="inlineStr"/>
      <c r="AH17" t="inlineStr"/>
      <c r="AI17" t="inlineStr"/>
      <c r="AJ17" t="inlineStr"/>
      <c r="AK17" t="inlineStr"/>
      <c r="AL17" t="inlineStr"/>
      <c r="AM17" t="inlineStr"/>
      <c r="AN17" t="inlineStr"/>
      <c r="AO17" t="inlineStr"/>
      <c r="AP17" t="inlineStr"/>
      <c r="AQ17" t="inlineStr"/>
      <c r="AR17" t="inlineStr"/>
      <c r="AS17" t="inlineStr"/>
      <c r="AT17" t="inlineStr"/>
      <c r="AU17" t="inlineStr"/>
      <c r="AV17" t="inlineStr"/>
      <c r="AW17" t="inlineStr"/>
      <c r="AX17" t="inlineStr"/>
      <c r="AY17" t="inlineStr"/>
      <c r="AZ17" t="inlineStr"/>
      <c r="BA17" t="inlineStr"/>
      <c r="BB17" t="inlineStr"/>
      <c r="BC17" t="inlineStr"/>
      <c r="BD17" t="inlineStr"/>
      <c r="BE17" t="inlineStr"/>
      <c r="BF17" t="inlineStr"/>
      <c r="BG17" t="inlineStr"/>
      <c r="BH17" t="inlineStr"/>
      <c r="BI17" t="inlineStr"/>
      <c r="BJ17" t="inlineStr"/>
      <c r="BK17" t="inlineStr"/>
      <c r="BL17" t="inlineStr"/>
      <c r="BM17" t="inlineStr"/>
      <c r="BN17" t="n">
        <v>0</v>
      </c>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c r="DC17" t="inlineStr"/>
      <c r="DD17" t="inlineStr"/>
      <c r="DE17" t="inlineStr"/>
      <c r="DF17" t="inlineStr"/>
      <c r="DG17" t="inlineStr"/>
    </row>
    <row r="18">
      <c r="A18" t="inlineStr">
        <is>
          <t>III</t>
        </is>
      </c>
      <c r="B18" t="b">
        <v>1</v>
      </c>
      <c r="C18" t="inlineStr">
        <is>
          <t>x</t>
        </is>
      </c>
      <c r="D18" t="inlineStr"/>
      <c r="E18" t="n">
        <v>9</v>
      </c>
      <c r="F18">
        <f>HYPERLINK("https://portal.dnb.de/opac.htm?method=simpleSearch&amp;cqlMode=true&amp;query=idn%3D1066835527", "Portal")</f>
        <v/>
      </c>
      <c r="G18" t="inlineStr">
        <is>
          <t>Aaf</t>
        </is>
      </c>
      <c r="H18" t="inlineStr">
        <is>
          <t>L-1501-315295473</t>
        </is>
      </c>
      <c r="I18" t="inlineStr">
        <is>
          <t>1066835527</t>
        </is>
      </c>
      <c r="J18" t="inlineStr">
        <is>
          <t>III 3, 1</t>
        </is>
      </c>
      <c r="K18" t="inlineStr">
        <is>
          <t>III 3, 1</t>
        </is>
      </c>
      <c r="L18" t="inlineStr">
        <is>
          <t>III 3, 1</t>
        </is>
      </c>
      <c r="M18" t="inlineStr"/>
      <c r="N18" t="inlineStr">
        <is>
          <t xml:space="preserve">Das @buch jst genant|| Die Hymelstraß.|| : </t>
        </is>
      </c>
      <c r="O18" t="inlineStr">
        <is>
          <t xml:space="preserve"> : </t>
        </is>
      </c>
      <c r="P18" t="inlineStr">
        <is>
          <t>X</t>
        </is>
      </c>
      <c r="Q18" t="inlineStr"/>
      <c r="R18" t="inlineStr">
        <is>
          <t>Ledereinband, Schließen, erhabene Buchbeschläge</t>
        </is>
      </c>
      <c r="S18" t="inlineStr">
        <is>
          <t>bis 35 cm</t>
        </is>
      </c>
      <c r="T18" t="inlineStr">
        <is>
          <t>80° bis 110°, einseitig digitalisierbar?</t>
        </is>
      </c>
      <c r="U18" t="inlineStr">
        <is>
          <t>stark brüchiges Einbandmaterial, fester Rücken mit Schmuckprägung</t>
        </is>
      </c>
      <c r="V18" t="inlineStr"/>
      <c r="W18" t="inlineStr">
        <is>
          <t>Kassette</t>
        </is>
      </c>
      <c r="X18" t="inlineStr">
        <is>
          <t>Nein</t>
        </is>
      </c>
      <c r="Y18" t="n">
        <v>2</v>
      </c>
      <c r="Z18" t="inlineStr"/>
      <c r="AA18" t="inlineStr"/>
      <c r="AB18" t="inlineStr"/>
      <c r="AC18" t="inlineStr"/>
      <c r="AD18" t="inlineStr"/>
      <c r="AE18" t="inlineStr"/>
      <c r="AF18" t="inlineStr"/>
      <c r="AG18" t="inlineStr"/>
      <c r="AH18" t="inlineStr"/>
      <c r="AI18" t="inlineStr">
        <is>
          <t>HD</t>
        </is>
      </c>
      <c r="AJ18" t="inlineStr"/>
      <c r="AK18" t="inlineStr">
        <is>
          <t>x</t>
        </is>
      </c>
      <c r="AL18" t="inlineStr"/>
      <c r="AM18" t="inlineStr">
        <is>
          <t>f</t>
        </is>
      </c>
      <c r="AN18" t="inlineStr"/>
      <c r="AO18" t="inlineStr">
        <is>
          <t>x</t>
        </is>
      </c>
      <c r="AP18" t="inlineStr"/>
      <c r="AQ18" t="inlineStr"/>
      <c r="AR18" t="inlineStr"/>
      <c r="AS18" t="inlineStr">
        <is>
          <t>Pa</t>
        </is>
      </c>
      <c r="AT18" t="inlineStr"/>
      <c r="AU18" t="inlineStr"/>
      <c r="AV18" t="inlineStr"/>
      <c r="AW18" t="inlineStr"/>
      <c r="AX18" t="inlineStr"/>
      <c r="AY18" t="inlineStr"/>
      <c r="AZ18" t="inlineStr"/>
      <c r="BA18" t="inlineStr"/>
      <c r="BB18" t="inlineStr"/>
      <c r="BC18" t="inlineStr"/>
      <c r="BD18" t="inlineStr"/>
      <c r="BE18" t="inlineStr"/>
      <c r="BF18" t="inlineStr"/>
      <c r="BG18" t="n">
        <v>110</v>
      </c>
      <c r="BH18" t="inlineStr"/>
      <c r="BI18" t="inlineStr"/>
      <c r="BJ18" t="inlineStr"/>
      <c r="BK18" t="inlineStr"/>
      <c r="BL18" t="inlineStr"/>
      <c r="BM18" t="inlineStr">
        <is>
          <t>ja vor</t>
        </is>
      </c>
      <c r="BN18" t="n">
        <v>2</v>
      </c>
      <c r="BO18" t="inlineStr"/>
      <c r="BP18" t="inlineStr">
        <is>
          <t>Gewebe</t>
        </is>
      </c>
      <c r="BQ18" t="inlineStr"/>
      <c r="BR18" t="inlineStr"/>
      <c r="BS18" t="inlineStr"/>
      <c r="BT18" t="inlineStr"/>
      <c r="BU18" t="inlineStr"/>
      <c r="BV18" t="inlineStr"/>
      <c r="BW18" t="inlineStr">
        <is>
          <t>x 110</t>
        </is>
      </c>
      <c r="BX18" t="inlineStr">
        <is>
          <t xml:space="preserve">
mit Schutzumschlag</t>
        </is>
      </c>
      <c r="BY18" t="inlineStr">
        <is>
          <t>Umschlag (Leder pudert)</t>
        </is>
      </c>
      <c r="BZ18" t="inlineStr">
        <is>
          <t>x</t>
        </is>
      </c>
      <c r="CA18" t="inlineStr">
        <is>
          <t>x</t>
        </is>
      </c>
      <c r="CB18" t="inlineStr">
        <is>
          <t>x</t>
        </is>
      </c>
      <c r="CC18" t="inlineStr"/>
      <c r="CD18" t="inlineStr"/>
      <c r="CE18" t="inlineStr"/>
      <c r="CF18" t="inlineStr"/>
      <c r="CG18" t="inlineStr"/>
      <c r="CH18" t="inlineStr"/>
      <c r="CI18" t="inlineStr"/>
      <c r="CJ18" t="inlineStr"/>
      <c r="CK18" t="inlineStr"/>
      <c r="CL18" t="inlineStr"/>
      <c r="CM18" t="n">
        <v>2</v>
      </c>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c r="DC18" t="inlineStr"/>
      <c r="DD18" t="inlineStr"/>
      <c r="DE18" t="inlineStr"/>
      <c r="DF18" t="inlineStr"/>
      <c r="DG18" t="inlineStr"/>
    </row>
    <row r="19">
      <c r="A19" t="inlineStr">
        <is>
          <t>III</t>
        </is>
      </c>
      <c r="B19" t="b">
        <v>1</v>
      </c>
      <c r="C19" t="inlineStr">
        <is>
          <t>x</t>
        </is>
      </c>
      <c r="D19" t="inlineStr"/>
      <c r="E19" t="n">
        <v>10</v>
      </c>
      <c r="F19">
        <f>HYPERLINK("https://portal.dnb.de/opac.htm?method=simpleSearch&amp;cqlMode=true&amp;query=idn%3D1066964440", "Portal")</f>
        <v/>
      </c>
      <c r="G19" t="inlineStr">
        <is>
          <t>Aaf</t>
        </is>
      </c>
      <c r="H19" t="inlineStr">
        <is>
          <t>L-1508-315494670</t>
        </is>
      </c>
      <c r="I19" t="inlineStr">
        <is>
          <t>1066964440</t>
        </is>
      </c>
      <c r="J19" t="inlineStr">
        <is>
          <t>III 3, 2</t>
        </is>
      </c>
      <c r="K19" t="inlineStr">
        <is>
          <t>III 3, 2</t>
        </is>
      </c>
      <c r="L19" t="inlineStr">
        <is>
          <t>III 3, 2</t>
        </is>
      </c>
      <c r="M19" t="inlineStr"/>
      <c r="N19" t="inlineStr">
        <is>
          <t>Jch heyss ain b#[ue]chlein der iu||den peicht.|| Jn allen orten vindt man mich leicht|| Vil newer meren seind mir wol bekant|| Jch will mich prayten i</t>
        </is>
      </c>
      <c r="O19" t="inlineStr">
        <is>
          <t xml:space="preserve"> : </t>
        </is>
      </c>
      <c r="P19" t="inlineStr"/>
      <c r="Q19" t="inlineStr"/>
      <c r="R19" t="inlineStr">
        <is>
          <t>Ledereinband, Schließen, erhabene Buchbeschläge</t>
        </is>
      </c>
      <c r="S19" t="inlineStr">
        <is>
          <t>bis 25 cm</t>
        </is>
      </c>
      <c r="T19" t="inlineStr">
        <is>
          <t>180°</t>
        </is>
      </c>
      <c r="U19" t="inlineStr">
        <is>
          <t>hohler Rücken</t>
        </is>
      </c>
      <c r="V19" t="inlineStr"/>
      <c r="W19" t="inlineStr">
        <is>
          <t>Buchschuh</t>
        </is>
      </c>
      <c r="X19" t="inlineStr">
        <is>
          <t>Nein</t>
        </is>
      </c>
      <c r="Y19" t="n">
        <v>0</v>
      </c>
      <c r="Z19" t="inlineStr"/>
      <c r="AA19" t="inlineStr"/>
      <c r="AB19" t="inlineStr"/>
      <c r="AC19" t="inlineStr"/>
      <c r="AD19" t="inlineStr"/>
      <c r="AE19" t="inlineStr"/>
      <c r="AF19" t="inlineStr"/>
      <c r="AG19" t="inlineStr"/>
      <c r="AH19" t="inlineStr"/>
      <c r="AI19" t="inlineStr">
        <is>
          <t>L</t>
        </is>
      </c>
      <c r="AJ19" t="inlineStr"/>
      <c r="AK19" t="inlineStr">
        <is>
          <t>x</t>
        </is>
      </c>
      <c r="AL19" t="inlineStr">
        <is>
          <t>x</t>
        </is>
      </c>
      <c r="AM19" t="inlineStr">
        <is>
          <t>h/E</t>
        </is>
      </c>
      <c r="AN19" t="inlineStr"/>
      <c r="AO19" t="inlineStr"/>
      <c r="AP19" t="inlineStr"/>
      <c r="AQ19" t="inlineStr"/>
      <c r="AR19" t="inlineStr"/>
      <c r="AS19" t="inlineStr">
        <is>
          <t>Pa</t>
        </is>
      </c>
      <c r="AT19" t="inlineStr">
        <is>
          <t>x</t>
        </is>
      </c>
      <c r="AU19" t="inlineStr"/>
      <c r="AV19" t="inlineStr"/>
      <c r="AW19" t="inlineStr"/>
      <c r="AX19" t="inlineStr"/>
      <c r="AY19" t="inlineStr"/>
      <c r="AZ19" t="inlineStr"/>
      <c r="BA19" t="inlineStr"/>
      <c r="BB19" t="inlineStr"/>
      <c r="BC19" t="inlineStr"/>
      <c r="BD19" t="inlineStr"/>
      <c r="BE19" t="inlineStr"/>
      <c r="BF19" t="inlineStr"/>
      <c r="BG19" t="n">
        <v>80</v>
      </c>
      <c r="BH19" t="inlineStr"/>
      <c r="BI19" t="inlineStr"/>
      <c r="BJ19" t="inlineStr"/>
      <c r="BK19" t="inlineStr"/>
      <c r="BL19" t="inlineStr"/>
      <c r="BM19" t="inlineStr">
        <is>
          <t>ja vor</t>
        </is>
      </c>
      <c r="BN19" t="n">
        <v>0.5</v>
      </c>
      <c r="BO19" t="inlineStr"/>
      <c r="BP19" t="inlineStr"/>
      <c r="BQ19" t="inlineStr"/>
      <c r="BR19" t="inlineStr">
        <is>
          <t>x</t>
        </is>
      </c>
      <c r="BS19" t="inlineStr"/>
      <c r="BT19" t="inlineStr"/>
      <c r="BU19" t="inlineStr"/>
      <c r="BV19" t="inlineStr"/>
      <c r="BW19" t="inlineStr"/>
      <c r="BX19" t="inlineStr"/>
      <c r="BY19" t="inlineStr"/>
      <c r="BZ19" t="inlineStr">
        <is>
          <t>x</t>
        </is>
      </c>
      <c r="CA19" t="inlineStr"/>
      <c r="CB19" t="inlineStr"/>
      <c r="CC19" t="inlineStr"/>
      <c r="CD19" t="inlineStr">
        <is>
          <t>v</t>
        </is>
      </c>
      <c r="CE19" t="inlineStr"/>
      <c r="CF19" t="inlineStr"/>
      <c r="CG19" t="inlineStr"/>
      <c r="CH19" t="inlineStr"/>
      <c r="CI19" t="inlineStr"/>
      <c r="CJ19" t="inlineStr"/>
      <c r="CK19" t="inlineStr"/>
      <c r="CL19" t="inlineStr"/>
      <c r="CM19" t="n">
        <v>0.5</v>
      </c>
      <c r="CN19" t="inlineStr">
        <is>
          <t>Gelenk überfangen mit JP</t>
        </is>
      </c>
      <c r="CO19" t="inlineStr"/>
      <c r="CP19" t="inlineStr"/>
      <c r="CQ19" t="inlineStr"/>
      <c r="CR19" t="inlineStr"/>
      <c r="CS19" t="inlineStr"/>
      <c r="CT19" t="inlineStr"/>
      <c r="CU19" t="inlineStr"/>
      <c r="CV19" t="inlineStr"/>
      <c r="CW19" t="inlineStr"/>
      <c r="CX19" t="inlineStr"/>
      <c r="CY19" t="inlineStr"/>
      <c r="CZ19" t="inlineStr"/>
      <c r="DA19" t="inlineStr"/>
      <c r="DB19" t="inlineStr"/>
      <c r="DC19" t="inlineStr"/>
      <c r="DD19" t="inlineStr"/>
      <c r="DE19" t="inlineStr"/>
      <c r="DF19" t="inlineStr"/>
      <c r="DG19" t="inlineStr"/>
    </row>
    <row r="20">
      <c r="A20" t="inlineStr">
        <is>
          <t>III</t>
        </is>
      </c>
      <c r="B20" t="b">
        <v>1</v>
      </c>
      <c r="C20" t="inlineStr"/>
      <c r="D20" t="inlineStr"/>
      <c r="E20" t="n">
        <v>66</v>
      </c>
      <c r="F20">
        <f>HYPERLINK("https://portal.dnb.de/opac.htm?method=simpleSearch&amp;cqlMode=true&amp;query=idn%3D106680012X", "Portal")</f>
        <v/>
      </c>
      <c r="G20" t="inlineStr">
        <is>
          <t>Aaf</t>
        </is>
      </c>
      <c r="H20" t="inlineStr">
        <is>
          <t>L-1520-315220031</t>
        </is>
      </c>
      <c r="I20" t="inlineStr">
        <is>
          <t>106680012X</t>
        </is>
      </c>
      <c r="J20" t="inlineStr">
        <is>
          <t>III 3, 2 a</t>
        </is>
      </c>
      <c r="K20" t="inlineStr">
        <is>
          <t>III 3, 2 a</t>
        </is>
      </c>
      <c r="L20" t="inlineStr">
        <is>
          <t>III 3, 2 a</t>
        </is>
      </c>
      <c r="M20" t="inlineStr"/>
      <c r="N20" t="inlineStr">
        <is>
          <t xml:space="preserve">Die @siben Buszpsalm mitt deütscher auszlegung nach dem schrifftlichen synne ... gründtlich gerichtet Doc Martini Luther ... : </t>
        </is>
      </c>
      <c r="O20" t="inlineStr">
        <is>
          <t xml:space="preserve"> : </t>
        </is>
      </c>
      <c r="P20" t="inlineStr">
        <is>
          <t>X</t>
        </is>
      </c>
      <c r="Q20" t="inlineStr"/>
      <c r="R20" t="inlineStr">
        <is>
          <t>Pergamentband</t>
        </is>
      </c>
      <c r="S20" t="inlineStr">
        <is>
          <t>bis 25 cm</t>
        </is>
      </c>
      <c r="T20" t="inlineStr">
        <is>
          <t>80° bis 110°, einseitig digitalisierbar?</t>
        </is>
      </c>
      <c r="U20" t="inlineStr">
        <is>
          <t>hohler Rücken, Schrift bis in den Falz</t>
        </is>
      </c>
      <c r="V20" t="inlineStr"/>
      <c r="W20" t="inlineStr"/>
      <c r="X20" t="inlineStr"/>
      <c r="Y20" t="n">
        <v>0</v>
      </c>
      <c r="Z20" t="inlineStr"/>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c r="BA20" t="inlineStr"/>
      <c r="BB20" t="inlineStr"/>
      <c r="BC20" t="inlineStr"/>
      <c r="BD20" t="inlineStr"/>
      <c r="BE20" t="inlineStr"/>
      <c r="BF20" t="inlineStr"/>
      <c r="BG20" t="inlineStr"/>
      <c r="BH20" t="inlineStr"/>
      <c r="BI20" t="inlineStr"/>
      <c r="BJ20" t="inlineStr"/>
      <c r="BK20" t="inlineStr"/>
      <c r="BL20" t="inlineStr"/>
      <c r="BM20" t="inlineStr"/>
      <c r="BN20" t="n">
        <v>0</v>
      </c>
      <c r="BO20" t="inlineStr"/>
      <c r="BP20" t="inlineStr"/>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c r="DC20" t="inlineStr"/>
      <c r="DD20" t="inlineStr"/>
      <c r="DE20" t="inlineStr"/>
      <c r="DF20" t="inlineStr"/>
      <c r="DG20" t="inlineStr"/>
    </row>
    <row r="21">
      <c r="A21" t="inlineStr">
        <is>
          <t>III</t>
        </is>
      </c>
      <c r="B21" t="b">
        <v>1</v>
      </c>
      <c r="C21" t="inlineStr"/>
      <c r="D21" t="inlineStr"/>
      <c r="E21" t="n">
        <v>11</v>
      </c>
      <c r="F21">
        <f>HYPERLINK("https://portal.dnb.de/opac.htm?method=simpleSearch&amp;cqlMode=true&amp;query=idn%3D1066941645", "Portal")</f>
        <v/>
      </c>
      <c r="G21" t="inlineStr">
        <is>
          <t>Aaf</t>
        </is>
      </c>
      <c r="H21" t="inlineStr">
        <is>
          <t>L-1508-315469293</t>
        </is>
      </c>
      <c r="I21" t="inlineStr">
        <is>
          <t>1066941645</t>
        </is>
      </c>
      <c r="J21" t="inlineStr">
        <is>
          <t>III 3, 3</t>
        </is>
      </c>
      <c r="K21" t="inlineStr">
        <is>
          <t>III 3, 3</t>
        </is>
      </c>
      <c r="L21" t="inlineStr">
        <is>
          <t>III 3, 3</t>
        </is>
      </c>
      <c r="M21" t="inlineStr"/>
      <c r="N21" t="inlineStr">
        <is>
          <t xml:space="preserve">Predigen Teütsch:|| vnd vil gutter leeren Des hoch||geleerten herrn Johañ von Kai||sersperg.in #/||d götliche geschrifft|| doctor vnd prediger zu dem </t>
        </is>
      </c>
      <c r="O21" t="inlineStr">
        <is>
          <t xml:space="preserve"> : </t>
        </is>
      </c>
      <c r="P21" t="inlineStr">
        <is>
          <t>X</t>
        </is>
      </c>
      <c r="Q21" t="inlineStr"/>
      <c r="R21" t="inlineStr">
        <is>
          <t>Ledereinband</t>
        </is>
      </c>
      <c r="S21" t="inlineStr">
        <is>
          <t>bis 35 cm</t>
        </is>
      </c>
      <c r="T21" t="inlineStr">
        <is>
          <t>180°</t>
        </is>
      </c>
      <c r="U21" t="inlineStr">
        <is>
          <t>hohler Rücken</t>
        </is>
      </c>
      <c r="V21" t="inlineStr"/>
      <c r="W21" t="inlineStr"/>
      <c r="X21" t="inlineStr"/>
      <c r="Y21" t="n">
        <v>0</v>
      </c>
      <c r="Z21" t="inlineStr"/>
      <c r="AA21" t="inlineStr"/>
      <c r="AB21" t="inlineStr"/>
      <c r="AC21" t="inlineStr"/>
      <c r="AD21" t="inlineStr"/>
      <c r="AE21" t="inlineStr"/>
      <c r="AF21" t="inlineStr"/>
      <c r="AG21" t="inlineStr"/>
      <c r="AH21" t="inlineStr"/>
      <c r="AI21" t="inlineStr"/>
      <c r="AJ21" t="inlineStr"/>
      <c r="AK21" t="inlineStr"/>
      <c r="AL21" t="inlineStr"/>
      <c r="AM21" t="inlineStr"/>
      <c r="AN21" t="inlineStr"/>
      <c r="AO21" t="inlineStr"/>
      <c r="AP21" t="inlineStr"/>
      <c r="AQ21" t="inlineStr"/>
      <c r="AR21" t="inlineStr"/>
      <c r="AS21" t="inlineStr"/>
      <c r="AT21" t="inlineStr"/>
      <c r="AU21" t="inlineStr"/>
      <c r="AV21" t="inlineStr"/>
      <c r="AW21" t="inlineStr"/>
      <c r="AX21" t="inlineStr"/>
      <c r="AY21" t="inlineStr"/>
      <c r="AZ21" t="inlineStr"/>
      <c r="BA21" t="inlineStr"/>
      <c r="BB21" t="inlineStr"/>
      <c r="BC21" t="inlineStr"/>
      <c r="BD21" t="inlineStr"/>
      <c r="BE21" t="inlineStr"/>
      <c r="BF21" t="inlineStr"/>
      <c r="BG21" t="inlineStr"/>
      <c r="BH21" t="inlineStr"/>
      <c r="BI21" t="inlineStr"/>
      <c r="BJ21" t="inlineStr"/>
      <c r="BK21" t="inlineStr"/>
      <c r="BL21" t="inlineStr"/>
      <c r="BM21" t="inlineStr"/>
      <c r="BN21" t="n">
        <v>0</v>
      </c>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c r="DC21" t="inlineStr"/>
      <c r="DD21" t="inlineStr"/>
      <c r="DE21" t="inlineStr"/>
      <c r="DF21" t="inlineStr"/>
      <c r="DG21" t="inlineStr"/>
    </row>
    <row r="22">
      <c r="A22" t="inlineStr">
        <is>
          <t>III</t>
        </is>
      </c>
      <c r="B22" t="b">
        <v>1</v>
      </c>
      <c r="C22" t="inlineStr"/>
      <c r="D22" t="inlineStr"/>
      <c r="E22" t="n">
        <v>12</v>
      </c>
      <c r="F22">
        <f>HYPERLINK("https://portal.dnb.de/opac.htm?method=simpleSearch&amp;cqlMode=true&amp;query=idn%3D1066961646", "Portal")</f>
        <v/>
      </c>
      <c r="G22" t="inlineStr">
        <is>
          <t>Aaf</t>
        </is>
      </c>
      <c r="H22" t="inlineStr">
        <is>
          <t>L-1508-31549204X</t>
        </is>
      </c>
      <c r="I22" t="inlineStr">
        <is>
          <t>1066961646</t>
        </is>
      </c>
      <c r="J22" t="inlineStr">
        <is>
          <t>III 3, 4</t>
        </is>
      </c>
      <c r="K22" t="inlineStr">
        <is>
          <t>III 3, 4</t>
        </is>
      </c>
      <c r="L22" t="inlineStr">
        <is>
          <t>III 3, 4</t>
        </is>
      </c>
      <c r="M22" t="inlineStr"/>
      <c r="N22" t="inlineStr">
        <is>
          <t>Sermones: des hoch||geleerten in gnaden erleüchten do||ctoris Johannis Thaulerii sannt|| dominici ordens die da weißend|| auff den n#[ae]chesten waren</t>
        </is>
      </c>
      <c r="O22" t="inlineStr">
        <is>
          <t xml:space="preserve"> : </t>
        </is>
      </c>
      <c r="P22" t="inlineStr">
        <is>
          <t>X</t>
        </is>
      </c>
      <c r="Q22" t="inlineStr"/>
      <c r="R22" t="inlineStr">
        <is>
          <t>Ledereinband, Schließen, erhabene Buchbeschläge</t>
        </is>
      </c>
      <c r="S22" t="inlineStr">
        <is>
          <t>bis 35 cm</t>
        </is>
      </c>
      <c r="T22" t="inlineStr">
        <is>
          <t>80° bis 110°, einseitig digitalisierbar?</t>
        </is>
      </c>
      <c r="U22" t="inlineStr"/>
      <c r="V22" t="inlineStr"/>
      <c r="W22" t="inlineStr">
        <is>
          <t>Buchschuh</t>
        </is>
      </c>
      <c r="X22" t="inlineStr">
        <is>
          <t>Nein</t>
        </is>
      </c>
      <c r="Y22" t="n">
        <v>0</v>
      </c>
      <c r="Z22" t="inlineStr"/>
      <c r="AA22" t="inlineStr"/>
      <c r="AB22" t="inlineStr"/>
      <c r="AC22" t="inlineStr"/>
      <c r="AD22" t="inlineStr"/>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c r="BD22" t="inlineStr"/>
      <c r="BE22" t="inlineStr"/>
      <c r="BF22" t="inlineStr"/>
      <c r="BG22" t="inlineStr"/>
      <c r="BH22" t="inlineStr"/>
      <c r="BI22" t="inlineStr"/>
      <c r="BJ22" t="inlineStr"/>
      <c r="BK22" t="inlineStr"/>
      <c r="BL22" t="inlineStr"/>
      <c r="BM22" t="inlineStr"/>
      <c r="BN22" t="n">
        <v>0</v>
      </c>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c r="DB22" t="inlineStr"/>
      <c r="DC22" t="inlineStr"/>
      <c r="DD22" t="inlineStr"/>
      <c r="DE22" t="inlineStr"/>
      <c r="DF22" t="inlineStr"/>
      <c r="DG22" t="inlineStr"/>
    </row>
    <row r="23">
      <c r="A23" t="inlineStr">
        <is>
          <t>III</t>
        </is>
      </c>
      <c r="B23" t="b">
        <v>1</v>
      </c>
      <c r="C23" t="inlineStr"/>
      <c r="D23" t="inlineStr"/>
      <c r="E23" t="n">
        <v>13</v>
      </c>
      <c r="F23">
        <f>HYPERLINK("https://portal.dnb.de/opac.htm?method=simpleSearch&amp;cqlMode=true&amp;query=idn%3D1066961859", "Portal")</f>
        <v/>
      </c>
      <c r="G23" t="inlineStr">
        <is>
          <t>Aaf</t>
        </is>
      </c>
      <c r="H23" t="inlineStr">
        <is>
          <t>L-1512-315492252</t>
        </is>
      </c>
      <c r="I23" t="inlineStr">
        <is>
          <t>1066961859</t>
        </is>
      </c>
      <c r="J23" t="inlineStr">
        <is>
          <t>III 3, 5</t>
        </is>
      </c>
      <c r="K23" t="inlineStr">
        <is>
          <t>III 3, 5</t>
        </is>
      </c>
      <c r="L23" t="inlineStr">
        <is>
          <t>III 3, 5</t>
        </is>
      </c>
      <c r="M23" t="inlineStr"/>
      <c r="N23" t="inlineStr">
        <is>
          <t>Diss buch das da|| gedicht hat der erleücht vater Amandus/ genañt|| Seüß. begreift in jm vil guter gaistlicher leeren|| wie der mensch/ so er sich gew</t>
        </is>
      </c>
      <c r="O23" t="inlineStr">
        <is>
          <t xml:space="preserve"> : </t>
        </is>
      </c>
      <c r="P23" t="inlineStr">
        <is>
          <t>X</t>
        </is>
      </c>
      <c r="Q23" t="inlineStr"/>
      <c r="R23" t="inlineStr">
        <is>
          <t>Halbledereinband, Schließen, erhabene Buchbeschläge</t>
        </is>
      </c>
      <c r="S23" t="inlineStr">
        <is>
          <t>bis 35 cm</t>
        </is>
      </c>
      <c r="T23" t="inlineStr">
        <is>
          <t>80° bis 110°, einseitig digitalisierbar?</t>
        </is>
      </c>
      <c r="U23" t="inlineStr">
        <is>
          <t>welliger Buchblock, hohler Rücken</t>
        </is>
      </c>
      <c r="V23" t="inlineStr"/>
      <c r="W23" t="inlineStr">
        <is>
          <t>Buchschuh</t>
        </is>
      </c>
      <c r="X23" t="inlineStr">
        <is>
          <t>Nein</t>
        </is>
      </c>
      <c r="Y23" t="n">
        <v>0</v>
      </c>
      <c r="Z23" t="inlineStr"/>
      <c r="AA23" t="inlineStr"/>
      <c r="AB23" t="inlineStr"/>
      <c r="AC23" t="inlineStr"/>
      <c r="AD23" t="inlineStr"/>
      <c r="AE23" t="inlineStr"/>
      <c r="AF23" t="inlineStr"/>
      <c r="AG23" t="inlineStr"/>
      <c r="AH23" t="inlineStr"/>
      <c r="AI23" t="inlineStr"/>
      <c r="AJ23" t="inlineStr"/>
      <c r="AK23" t="inlineStr"/>
      <c r="AL23" t="inlineStr"/>
      <c r="AM23" t="inlineStr"/>
      <c r="AN23" t="inlineStr"/>
      <c r="AO23" t="inlineStr"/>
      <c r="AP23" t="inlineStr"/>
      <c r="AQ23" t="inlineStr"/>
      <c r="AR23" t="inlineStr"/>
      <c r="AS23" t="inlineStr"/>
      <c r="AT23" t="inlineStr"/>
      <c r="AU23" t="inlineStr"/>
      <c r="AV23" t="inlineStr"/>
      <c r="AW23" t="inlineStr"/>
      <c r="AX23" t="inlineStr"/>
      <c r="AY23" t="inlineStr"/>
      <c r="AZ23" t="inlineStr"/>
      <c r="BA23" t="inlineStr"/>
      <c r="BB23" t="inlineStr"/>
      <c r="BC23" t="inlineStr"/>
      <c r="BD23" t="inlineStr"/>
      <c r="BE23" t="inlineStr"/>
      <c r="BF23" t="inlineStr"/>
      <c r="BG23" t="inlineStr"/>
      <c r="BH23" t="inlineStr"/>
      <c r="BI23" t="inlineStr"/>
      <c r="BJ23" t="inlineStr"/>
      <c r="BK23" t="inlineStr"/>
      <c r="BL23" t="inlineStr"/>
      <c r="BM23" t="inlineStr"/>
      <c r="BN23" t="n">
        <v>0</v>
      </c>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c r="DC23" t="inlineStr"/>
      <c r="DD23" t="inlineStr"/>
      <c r="DE23" t="inlineStr"/>
      <c r="DF23" t="inlineStr"/>
      <c r="DG23" t="inlineStr"/>
    </row>
    <row r="24">
      <c r="A24" t="inlineStr">
        <is>
          <t>III</t>
        </is>
      </c>
      <c r="B24" t="b">
        <v>1</v>
      </c>
      <c r="C24" t="inlineStr"/>
      <c r="D24" t="inlineStr"/>
      <c r="E24" t="n">
        <v>14</v>
      </c>
      <c r="F24">
        <f>HYPERLINK("https://portal.dnb.de/opac.htm?method=simpleSearch&amp;cqlMode=true&amp;query=idn%3D1066964009", "Portal")</f>
        <v/>
      </c>
      <c r="G24" t="inlineStr">
        <is>
          <t>Aaf</t>
        </is>
      </c>
      <c r="H24" t="inlineStr">
        <is>
          <t>L-1510-315494212</t>
        </is>
      </c>
      <c r="I24" t="inlineStr">
        <is>
          <t>1066964009</t>
        </is>
      </c>
      <c r="J24" t="inlineStr">
        <is>
          <t>III 3, 6</t>
        </is>
      </c>
      <c r="K24" t="inlineStr">
        <is>
          <t>III 3, 6</t>
        </is>
      </c>
      <c r="L24" t="inlineStr">
        <is>
          <t>III 3, 6</t>
        </is>
      </c>
      <c r="M24" t="inlineStr"/>
      <c r="N24" t="inlineStr">
        <is>
          <t xml:space="preserve">Obsequiale siue benedi||ctionale scdm ecclesi-||am Constantieñ.||[Hrsg. v. (Hugone de Landenberg ...||)] : </t>
        </is>
      </c>
      <c r="O24" t="inlineStr">
        <is>
          <t xml:space="preserve"> : </t>
        </is>
      </c>
      <c r="P24" t="inlineStr">
        <is>
          <t>X</t>
        </is>
      </c>
      <c r="Q24" t="inlineStr"/>
      <c r="R24" t="inlineStr">
        <is>
          <t>Pergamentband</t>
        </is>
      </c>
      <c r="S24" t="inlineStr">
        <is>
          <t>bis 25 cm</t>
        </is>
      </c>
      <c r="T24" t="inlineStr">
        <is>
          <t>180°</t>
        </is>
      </c>
      <c r="U24" t="inlineStr">
        <is>
          <t>hohler Rücken</t>
        </is>
      </c>
      <c r="V24" t="inlineStr"/>
      <c r="W24" t="inlineStr">
        <is>
          <t xml:space="preserve">Papierumschlag </t>
        </is>
      </c>
      <c r="X24" t="inlineStr">
        <is>
          <t>Unklar</t>
        </is>
      </c>
      <c r="Y24" t="n">
        <v>0</v>
      </c>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inlineStr"/>
      <c r="BI24" t="inlineStr"/>
      <c r="BJ24" t="inlineStr"/>
      <c r="BK24" t="inlineStr"/>
      <c r="BL24" t="inlineStr"/>
      <c r="BM24" t="inlineStr"/>
      <c r="BN24" t="n">
        <v>0</v>
      </c>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c r="DC24" t="inlineStr"/>
      <c r="DD24" t="inlineStr"/>
      <c r="DE24" t="inlineStr"/>
      <c r="DF24" t="inlineStr"/>
      <c r="DG24" t="inlineStr"/>
    </row>
    <row r="25">
      <c r="A25" t="inlineStr">
        <is>
          <t>III</t>
        </is>
      </c>
      <c r="B25" t="b">
        <v>0</v>
      </c>
      <c r="C25" t="inlineStr"/>
      <c r="D25" t="inlineStr"/>
      <c r="E25" t="n">
        <v>15</v>
      </c>
      <c r="F25">
        <f>HYPERLINK("https://portal.dnb.de/opac.htm?method=simpleSearch&amp;cqlMode=true&amp;query=idn%3D1066963568", "Portal")</f>
        <v/>
      </c>
      <c r="G25" t="inlineStr"/>
      <c r="H25" t="inlineStr">
        <is>
          <t>L-1513-315493801</t>
        </is>
      </c>
      <c r="I25" t="inlineStr">
        <is>
          <t>1066963568</t>
        </is>
      </c>
      <c r="J25" t="inlineStr"/>
      <c r="K25" t="inlineStr"/>
      <c r="L25" t="inlineStr">
        <is>
          <t>III 3, 7</t>
        </is>
      </c>
      <c r="M25" t="inlineStr"/>
      <c r="N25" t="inlineStr"/>
      <c r="O25" t="inlineStr"/>
      <c r="P25" t="inlineStr"/>
      <c r="Q25" t="inlineStr"/>
      <c r="R25" t="inlineStr"/>
      <c r="S25" t="inlineStr"/>
      <c r="T25" t="inlineStr"/>
      <c r="U25" t="inlineStr"/>
      <c r="V25" t="inlineStr"/>
      <c r="W25" t="inlineStr"/>
      <c r="X25" t="inlineStr"/>
      <c r="Y25" t="inlineStr"/>
      <c r="Z25" t="inlineStr"/>
      <c r="AA25" t="inlineStr"/>
      <c r="AB25" t="inlineStr"/>
      <c r="AC25" t="inlineStr"/>
      <c r="AD25" t="inlineStr"/>
      <c r="AE25" t="inlineStr"/>
      <c r="AF25" t="inlineStr"/>
      <c r="AG25" t="inlineStr"/>
      <c r="AH25" t="inlineStr"/>
      <c r="AI25" t="inlineStr"/>
      <c r="AJ25" t="inlineStr"/>
      <c r="AK25" t="inlineStr"/>
      <c r="AL25" t="inlineStr"/>
      <c r="AM25" t="inlineStr"/>
      <c r="AN25" t="inlineStr"/>
      <c r="AO25" t="inlineStr"/>
      <c r="AP25" t="inlineStr"/>
      <c r="AQ25" t="inlineStr"/>
      <c r="AR25" t="inlineStr"/>
      <c r="AS25" t="inlineStr"/>
      <c r="AT25" t="inlineStr"/>
      <c r="AU25" t="inlineStr"/>
      <c r="AV25" t="inlineStr"/>
      <c r="AW25" t="inlineStr"/>
      <c r="AX25" t="inlineStr"/>
      <c r="AY25" t="inlineStr"/>
      <c r="AZ25" t="inlineStr"/>
      <c r="BA25" t="inlineStr"/>
      <c r="BB25" t="inlineStr"/>
      <c r="BC25" t="inlineStr"/>
      <c r="BD25" t="inlineStr"/>
      <c r="BE25" t="inlineStr"/>
      <c r="BF25" t="inlineStr"/>
      <c r="BG25" t="inlineStr"/>
      <c r="BH25" t="inlineStr"/>
      <c r="BI25" t="inlineStr"/>
      <c r="BJ25" t="inlineStr"/>
      <c r="BK25" t="inlineStr"/>
      <c r="BL25" t="inlineStr"/>
      <c r="BM25" t="inlineStr"/>
      <c r="BN25" t="n">
        <v>0</v>
      </c>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c r="DC25" t="inlineStr"/>
      <c r="DD25" t="inlineStr"/>
      <c r="DE25" t="inlineStr"/>
      <c r="DF25" t="inlineStr"/>
      <c r="DG25" t="inlineStr"/>
    </row>
    <row r="26">
      <c r="A26" t="inlineStr">
        <is>
          <t>III</t>
        </is>
      </c>
      <c r="B26" t="b">
        <v>1</v>
      </c>
      <c r="C26" t="inlineStr"/>
      <c r="D26" t="inlineStr"/>
      <c r="E26" t="n">
        <v>16</v>
      </c>
      <c r="F26">
        <f>HYPERLINK("https://portal.dnb.de/opac.htm?method=simpleSearch&amp;cqlMode=true&amp;query=idn%3D106695674X", "Portal")</f>
        <v/>
      </c>
      <c r="G26" t="inlineStr">
        <is>
          <t>Aaf</t>
        </is>
      </c>
      <c r="H26" t="inlineStr">
        <is>
          <t>L-1515-315487372</t>
        </is>
      </c>
      <c r="I26" t="inlineStr">
        <is>
          <t>106695674X</t>
        </is>
      </c>
      <c r="J26" t="inlineStr">
        <is>
          <t>III 3, 8</t>
        </is>
      </c>
      <c r="K26" t="inlineStr">
        <is>
          <t>III 3, 8</t>
        </is>
      </c>
      <c r="L26" t="inlineStr">
        <is>
          <t>III 3, 8</t>
        </is>
      </c>
      <c r="M26" t="inlineStr"/>
      <c r="N26" t="inlineStr">
        <is>
          <t>IORNAN||DES DE REBVS|| GOTHORVM. PAV||LVS DIACONVS|| FOROIVLIEN=||SIS DE GESTIS|| LANGOBARDO=||RVM|| [Hrsg.v.(CHVONRADI PEVTINGER ...|| &amp; Ioannis Stab</t>
        </is>
      </c>
      <c r="O26" t="inlineStr">
        <is>
          <t xml:space="preserve"> : </t>
        </is>
      </c>
      <c r="P26" t="inlineStr">
        <is>
          <t>X</t>
        </is>
      </c>
      <c r="Q26" t="inlineStr"/>
      <c r="R26" t="inlineStr">
        <is>
          <t>Gewebeeinband, Schließen, erhabene Buchbeschläge</t>
        </is>
      </c>
      <c r="S26" t="inlineStr">
        <is>
          <t>bis 35 cm</t>
        </is>
      </c>
      <c r="T26" t="inlineStr">
        <is>
          <t>180°</t>
        </is>
      </c>
      <c r="U26" t="inlineStr">
        <is>
          <t>hohler Rücken</t>
        </is>
      </c>
      <c r="V26" t="inlineStr"/>
      <c r="W26" t="inlineStr">
        <is>
          <t>Buchschuh</t>
        </is>
      </c>
      <c r="X26" t="inlineStr">
        <is>
          <t>Nein</t>
        </is>
      </c>
      <c r="Y26" t="n">
        <v>0</v>
      </c>
      <c r="Z26" t="inlineStr"/>
      <c r="AA26" t="inlineStr"/>
      <c r="AB26" t="inlineStr"/>
      <c r="AC26" t="inlineStr"/>
      <c r="AD26" t="inlineStr"/>
      <c r="AE26" t="inlineStr"/>
      <c r="AF26" t="inlineStr"/>
      <c r="AG26" t="inlineStr"/>
      <c r="AH26" t="inlineStr"/>
      <c r="AI26" t="inlineStr"/>
      <c r="AJ26" t="inlineStr"/>
      <c r="AK26" t="inlineStr"/>
      <c r="AL26" t="inlineStr"/>
      <c r="AM26" t="inlineStr"/>
      <c r="AN26" t="inlineStr"/>
      <c r="AO26" t="inlineStr"/>
      <c r="AP26" t="inlineStr"/>
      <c r="AQ26" t="inlineStr"/>
      <c r="AR26" t="inlineStr"/>
      <c r="AS26" t="inlineStr"/>
      <c r="AT26" t="inlineStr"/>
      <c r="AU26" t="inlineStr"/>
      <c r="AV26" t="inlineStr"/>
      <c r="AW26" t="inlineStr"/>
      <c r="AX26" t="inlineStr"/>
      <c r="AY26" t="inlineStr"/>
      <c r="AZ26" t="inlineStr"/>
      <c r="BA26" t="inlineStr"/>
      <c r="BB26" t="inlineStr"/>
      <c r="BC26" t="inlineStr"/>
      <c r="BD26" t="inlineStr"/>
      <c r="BE26" t="inlineStr"/>
      <c r="BF26" t="inlineStr"/>
      <c r="BG26" t="inlineStr"/>
      <c r="BH26" t="inlineStr"/>
      <c r="BI26" t="inlineStr"/>
      <c r="BJ26" t="inlineStr"/>
      <c r="BK26" t="inlineStr"/>
      <c r="BL26" t="inlineStr"/>
      <c r="BM26" t="inlineStr"/>
      <c r="BN26" t="n">
        <v>0</v>
      </c>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c r="DC26" t="inlineStr"/>
      <c r="DD26" t="inlineStr"/>
      <c r="DE26" t="inlineStr"/>
      <c r="DF26" t="inlineStr"/>
      <c r="DG26" t="inlineStr"/>
    </row>
    <row r="27">
      <c r="A27" t="inlineStr">
        <is>
          <t>III</t>
        </is>
      </c>
      <c r="B27" t="b">
        <v>1</v>
      </c>
      <c r="C27" t="inlineStr"/>
      <c r="D27" t="inlineStr"/>
      <c r="E27" t="n">
        <v>74</v>
      </c>
      <c r="F27">
        <f>HYPERLINK("https://portal.dnb.de/opac.htm?method=simpleSearch&amp;cqlMode=true&amp;query=idn%3D1000480518", "Portal")</f>
        <v/>
      </c>
      <c r="G27" t="inlineStr">
        <is>
          <t>Aal</t>
        </is>
      </c>
      <c r="H27" t="inlineStr">
        <is>
          <t>L-1519-170697215</t>
        </is>
      </c>
      <c r="I27" t="inlineStr">
        <is>
          <t>1000480518</t>
        </is>
      </c>
      <c r="J27" t="inlineStr">
        <is>
          <t>III 3, 8 a</t>
        </is>
      </c>
      <c r="K27" t="inlineStr">
        <is>
          <t>III 3, 8 a</t>
        </is>
      </c>
      <c r="L27" t="inlineStr">
        <is>
          <t>III 3, 8 a</t>
        </is>
      </c>
      <c r="M27" t="inlineStr"/>
      <c r="N27" t="inlineStr">
        <is>
          <t>Opusculum|| DE DIGNITATE|| SACERDOTVM IN||COMPARABILI, AD AMPLIS-||SIMVM ANTISTITEM. D. HV||GONEM DE LANDENBERG|| CONSTANTIEN. ECCLE||SIE EPISCOPVM VR</t>
        </is>
      </c>
      <c r="O27" t="inlineStr">
        <is>
          <t xml:space="preserve"> : </t>
        </is>
      </c>
      <c r="P27" t="inlineStr"/>
      <c r="Q27" t="inlineStr"/>
      <c r="R27" t="inlineStr">
        <is>
          <t>Halbpergamentband</t>
        </is>
      </c>
      <c r="S27" t="inlineStr">
        <is>
          <t>bis 25 cm</t>
        </is>
      </c>
      <c r="T27" t="inlineStr">
        <is>
          <t>180°</t>
        </is>
      </c>
      <c r="U27" t="inlineStr">
        <is>
          <t>hohler Rücken</t>
        </is>
      </c>
      <c r="V27" t="inlineStr"/>
      <c r="W27" t="inlineStr"/>
      <c r="X27" t="inlineStr"/>
      <c r="Y27" t="n">
        <v>0</v>
      </c>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inlineStr"/>
      <c r="BI27" t="inlineStr"/>
      <c r="BJ27" t="inlineStr"/>
      <c r="BK27" t="inlineStr"/>
      <c r="BL27" t="inlineStr"/>
      <c r="BM27" t="inlineStr"/>
      <c r="BN27" t="n">
        <v>0</v>
      </c>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c r="DC27" t="inlineStr"/>
      <c r="DD27" t="inlineStr"/>
      <c r="DE27" t="inlineStr"/>
      <c r="DF27" t="inlineStr"/>
      <c r="DG27" t="inlineStr"/>
    </row>
    <row r="28">
      <c r="A28" t="inlineStr">
        <is>
          <t>III</t>
        </is>
      </c>
      <c r="B28" t="b">
        <v>1</v>
      </c>
      <c r="C28" t="inlineStr"/>
      <c r="D28" t="inlineStr"/>
      <c r="E28" t="n">
        <v>17</v>
      </c>
      <c r="F28">
        <f>HYPERLINK("https://portal.dnb.de/opac.htm?method=simpleSearch&amp;cqlMode=true&amp;query=idn%3D1066871930", "Portal")</f>
        <v/>
      </c>
      <c r="G28" t="inlineStr">
        <is>
          <t>Aaf</t>
        </is>
      </c>
      <c r="H28" t="inlineStr">
        <is>
          <t>L-1517-315329688</t>
        </is>
      </c>
      <c r="I28" t="inlineStr">
        <is>
          <t>1066871930</t>
        </is>
      </c>
      <c r="J28" t="inlineStr">
        <is>
          <t>III 3, 9</t>
        </is>
      </c>
      <c r="K28" t="inlineStr">
        <is>
          <t>III 3, 9</t>
        </is>
      </c>
      <c r="L28" t="inlineStr">
        <is>
          <t>III 3, 9</t>
        </is>
      </c>
      <c r="M28" t="inlineStr"/>
      <c r="N28" t="inlineStr">
        <is>
          <t xml:space="preserve">Ob ainem sey zu ne=||men ain Eelich weib.|| ALBRECHT VON EYBE DOCTOR|| : </t>
        </is>
      </c>
      <c r="O28" t="inlineStr">
        <is>
          <t xml:space="preserve"> : </t>
        </is>
      </c>
      <c r="P28" t="inlineStr">
        <is>
          <t>X</t>
        </is>
      </c>
      <c r="Q28" t="inlineStr"/>
      <c r="R28" t="inlineStr">
        <is>
          <t>Halbledereinband</t>
        </is>
      </c>
      <c r="S28" t="inlineStr">
        <is>
          <t>bis 25 cm</t>
        </is>
      </c>
      <c r="T28" t="inlineStr">
        <is>
          <t>180°</t>
        </is>
      </c>
      <c r="U28" t="inlineStr">
        <is>
          <t>hohler Rücken, stark brüchiges Einbandmaterial</t>
        </is>
      </c>
      <c r="V28" t="inlineStr"/>
      <c r="W28" t="inlineStr"/>
      <c r="X28" t="inlineStr"/>
      <c r="Y28" t="n">
        <v>1</v>
      </c>
      <c r="Z28" t="inlineStr"/>
      <c r="AA28" t="inlineStr">
        <is>
          <t>gereinigt</t>
        </is>
      </c>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c r="BD28" t="inlineStr"/>
      <c r="BE28" t="inlineStr"/>
      <c r="BF28" t="inlineStr"/>
      <c r="BG28" t="inlineStr"/>
      <c r="BH28" t="inlineStr"/>
      <c r="BI28" t="inlineStr"/>
      <c r="BJ28" t="inlineStr"/>
      <c r="BK28" t="inlineStr"/>
      <c r="BL28" t="inlineStr"/>
      <c r="BM28" t="inlineStr"/>
      <c r="BN28" t="n">
        <v>0</v>
      </c>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c r="DC28" t="inlineStr"/>
      <c r="DD28" t="inlineStr"/>
      <c r="DE28" t="inlineStr"/>
      <c r="DF28" t="inlineStr"/>
      <c r="DG28" t="inlineStr"/>
    </row>
    <row r="29">
      <c r="A29" t="inlineStr">
        <is>
          <t>III</t>
        </is>
      </c>
      <c r="B29" t="b">
        <v>1</v>
      </c>
      <c r="C29" t="inlineStr"/>
      <c r="D29" t="inlineStr"/>
      <c r="E29" t="n">
        <v>18</v>
      </c>
      <c r="F29">
        <f>HYPERLINK("https://portal.dnb.de/opac.htm?method=simpleSearch&amp;cqlMode=true&amp;query=idn%3D106695691X", "Portal")</f>
        <v/>
      </c>
      <c r="G29" t="inlineStr">
        <is>
          <t>Aaf</t>
        </is>
      </c>
      <c r="H29" t="inlineStr">
        <is>
          <t>L-1518-315487518</t>
        </is>
      </c>
      <c r="I29" t="inlineStr">
        <is>
          <t>106695691X</t>
        </is>
      </c>
      <c r="J29" t="inlineStr">
        <is>
          <t>III 3, 10</t>
        </is>
      </c>
      <c r="K29" t="inlineStr">
        <is>
          <t>III 3, 10</t>
        </is>
      </c>
      <c r="L29" t="inlineStr">
        <is>
          <t>III 3, 10</t>
        </is>
      </c>
      <c r="M29" t="inlineStr"/>
      <c r="N29" t="inlineStr">
        <is>
          <t>Ausslegung|| des hundert vnd neünd//ten psalmen. Dixit do||minus domino meo/|| Doctor Martini lu||ther Augustiner zu|| Wittenberg/ zu|| herr Hierony=|</t>
        </is>
      </c>
      <c r="O29" t="inlineStr">
        <is>
          <t xml:space="preserve"> : </t>
        </is>
      </c>
      <c r="P29" t="inlineStr">
        <is>
          <t>X</t>
        </is>
      </c>
      <c r="Q29" t="inlineStr"/>
      <c r="R29" t="inlineStr">
        <is>
          <t>Halbledereinband, Schließen, erhabene Buchbeschläge</t>
        </is>
      </c>
      <c r="S29" t="inlineStr">
        <is>
          <t>bis 25 cm</t>
        </is>
      </c>
      <c r="T29" t="inlineStr">
        <is>
          <t>180°</t>
        </is>
      </c>
      <c r="U29" t="inlineStr">
        <is>
          <t>fester Rücken mit Schmuckprägung</t>
        </is>
      </c>
      <c r="V29" t="inlineStr"/>
      <c r="W29" t="inlineStr">
        <is>
          <t>Archivkarton</t>
        </is>
      </c>
      <c r="X29" t="inlineStr">
        <is>
          <t>Nein</t>
        </is>
      </c>
      <c r="Y29" t="n">
        <v>0</v>
      </c>
      <c r="Z29" t="inlineStr"/>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c r="BD29" t="inlineStr"/>
      <c r="BE29" t="inlineStr"/>
      <c r="BF29" t="inlineStr"/>
      <c r="BG29" t="inlineStr"/>
      <c r="BH29" t="inlineStr"/>
      <c r="BI29" t="inlineStr"/>
      <c r="BJ29" t="inlineStr"/>
      <c r="BK29" t="inlineStr"/>
      <c r="BL29" t="inlineStr"/>
      <c r="BM29" t="inlineStr"/>
      <c r="BN29" t="n">
        <v>0</v>
      </c>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c r="DC29" t="inlineStr"/>
      <c r="DD29" t="inlineStr"/>
      <c r="DE29" t="inlineStr"/>
      <c r="DF29" t="inlineStr"/>
      <c r="DG29" t="inlineStr"/>
    </row>
    <row r="30">
      <c r="A30" t="inlineStr">
        <is>
          <t>III</t>
        </is>
      </c>
      <c r="B30" t="b">
        <v>1</v>
      </c>
      <c r="C30" t="inlineStr"/>
      <c r="D30" t="inlineStr"/>
      <c r="E30" t="n">
        <v>44</v>
      </c>
      <c r="F30">
        <f>HYPERLINK("https://portal.dnb.de/opac.htm?method=simpleSearch&amp;cqlMode=true&amp;query=idn%3D106695822X", "Portal")</f>
        <v/>
      </c>
      <c r="G30" t="inlineStr">
        <is>
          <t>Aaf</t>
        </is>
      </c>
      <c r="H30" t="inlineStr">
        <is>
          <t>L-1522-315488867</t>
        </is>
      </c>
      <c r="I30" t="inlineStr">
        <is>
          <t>106695822X</t>
        </is>
      </c>
      <c r="J30" t="inlineStr">
        <is>
          <t>III 3, 10 a</t>
        </is>
      </c>
      <c r="K30" t="inlineStr">
        <is>
          <t>III 3, 10 a</t>
        </is>
      </c>
      <c r="L30" t="inlineStr">
        <is>
          <t>III 3, 10 a</t>
        </is>
      </c>
      <c r="M30" t="inlineStr"/>
      <c r="N30" t="inlineStr">
        <is>
          <t>Von dem touben vnd|| Stu~men Marci. vij. am zwelff||ten Sontag nach dem ach=||ten der Pfingsten/ durch|| D. Martinu Luther|| zu Wittenberg ge=||predig</t>
        </is>
      </c>
      <c r="O30" t="inlineStr">
        <is>
          <t xml:space="preserve"> : </t>
        </is>
      </c>
      <c r="P30" t="inlineStr">
        <is>
          <t>X</t>
        </is>
      </c>
      <c r="Q30" t="inlineStr"/>
      <c r="R30" t="inlineStr">
        <is>
          <t>Papier- oder Pappeinband</t>
        </is>
      </c>
      <c r="S30" t="inlineStr">
        <is>
          <t>bis 25 cm</t>
        </is>
      </c>
      <c r="T30" t="inlineStr">
        <is>
          <t>180°</t>
        </is>
      </c>
      <c r="U30" t="inlineStr"/>
      <c r="V30" t="inlineStr"/>
      <c r="W30" t="inlineStr">
        <is>
          <t>Archivkarton</t>
        </is>
      </c>
      <c r="X30" t="inlineStr">
        <is>
          <t>Nein</t>
        </is>
      </c>
      <c r="Y30" t="n">
        <v>0</v>
      </c>
      <c r="Z30" t="inlineStr"/>
      <c r="AA30" t="inlineStr"/>
      <c r="AB30" t="inlineStr"/>
      <c r="AC30" t="inlineStr"/>
      <c r="AD30" t="inlineStr"/>
      <c r="AE30" t="inlineStr"/>
      <c r="AF30" t="inlineStr"/>
      <c r="AG30" t="inlineStr"/>
      <c r="AH30" t="inlineStr"/>
      <c r="AI30" t="inlineStr"/>
      <c r="AJ30" t="inlineStr"/>
      <c r="AK30" t="inlineStr"/>
      <c r="AL30" t="inlineStr"/>
      <c r="AM30" t="inlineStr"/>
      <c r="AN30" t="inlineStr"/>
      <c r="AO30" t="inlineStr"/>
      <c r="AP30" t="inlineStr"/>
      <c r="AQ30" t="inlineStr"/>
      <c r="AR30" t="inlineStr"/>
      <c r="AS30" t="inlineStr"/>
      <c r="AT30" t="inlineStr"/>
      <c r="AU30" t="inlineStr"/>
      <c r="AV30" t="inlineStr"/>
      <c r="AW30" t="inlineStr"/>
      <c r="AX30" t="inlineStr"/>
      <c r="AY30" t="inlineStr"/>
      <c r="AZ30" t="inlineStr"/>
      <c r="BA30" t="inlineStr"/>
      <c r="BB30" t="inlineStr"/>
      <c r="BC30" t="inlineStr"/>
      <c r="BD30" t="inlineStr"/>
      <c r="BE30" t="inlineStr"/>
      <c r="BF30" t="inlineStr"/>
      <c r="BG30" t="inlineStr"/>
      <c r="BH30" t="inlineStr"/>
      <c r="BI30" t="inlineStr"/>
      <c r="BJ30" t="inlineStr"/>
      <c r="BK30" t="inlineStr"/>
      <c r="BL30" t="inlineStr"/>
      <c r="BM30" t="inlineStr"/>
      <c r="BN30" t="n">
        <v>0</v>
      </c>
      <c r="BO30" t="inlineStr"/>
      <c r="BP30" t="inlineStr"/>
      <c r="BQ30" t="inlineStr"/>
      <c r="BR30" t="inlineStr"/>
      <c r="BS30" t="inlineStr"/>
      <c r="BT30" t="inlineStr"/>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c r="DB30" t="inlineStr"/>
      <c r="DC30" t="inlineStr"/>
      <c r="DD30" t="inlineStr"/>
      <c r="DE30" t="inlineStr"/>
      <c r="DF30" t="inlineStr"/>
      <c r="DG30" t="inlineStr"/>
    </row>
    <row r="31">
      <c r="A31" t="inlineStr">
        <is>
          <t>III</t>
        </is>
      </c>
      <c r="B31" t="b">
        <v>1</v>
      </c>
      <c r="C31" t="inlineStr"/>
      <c r="D31" t="inlineStr"/>
      <c r="E31" t="n">
        <v>45</v>
      </c>
      <c r="F31">
        <f>HYPERLINK("https://portal.dnb.de/opac.htm?method=simpleSearch&amp;cqlMode=true&amp;query=idn%3D1066958416", "Portal")</f>
        <v/>
      </c>
      <c r="G31" t="inlineStr">
        <is>
          <t>Aaf</t>
        </is>
      </c>
      <c r="H31" t="inlineStr">
        <is>
          <t>L-1519-315489030</t>
        </is>
      </c>
      <c r="I31" t="inlineStr">
        <is>
          <t>1066958416</t>
        </is>
      </c>
      <c r="J31" t="inlineStr">
        <is>
          <t>III 3, 10 b</t>
        </is>
      </c>
      <c r="K31" t="inlineStr">
        <is>
          <t>III 3, 10 b</t>
        </is>
      </c>
      <c r="L31" t="inlineStr">
        <is>
          <t>III 3, 10 b</t>
        </is>
      </c>
      <c r="M31" t="inlineStr"/>
      <c r="N31" t="inlineStr">
        <is>
          <t xml:space="preserve">Ain @Sermon von|| der Beraytung zum sterben|| Doctor Martini Luthers|| Augustiner #[et]c.|| : </t>
        </is>
      </c>
      <c r="O31" t="inlineStr">
        <is>
          <t xml:space="preserve"> : </t>
        </is>
      </c>
      <c r="P31" t="inlineStr">
        <is>
          <t>X</t>
        </is>
      </c>
      <c r="Q31" t="inlineStr"/>
      <c r="R31" t="inlineStr">
        <is>
          <t>Halbgewebeband</t>
        </is>
      </c>
      <c r="S31" t="inlineStr">
        <is>
          <t>bis 25 cm</t>
        </is>
      </c>
      <c r="T31" t="inlineStr">
        <is>
          <t>180°</t>
        </is>
      </c>
      <c r="U31" t="inlineStr">
        <is>
          <t>fester Rücken mit Schmuckprägung</t>
        </is>
      </c>
      <c r="V31" t="inlineStr"/>
      <c r="W31" t="inlineStr"/>
      <c r="X31" t="inlineStr"/>
      <c r="Y31" t="n">
        <v>1</v>
      </c>
      <c r="Z31" t="inlineStr"/>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c r="BD31" t="inlineStr"/>
      <c r="BE31" t="inlineStr"/>
      <c r="BF31" t="inlineStr"/>
      <c r="BG31" t="inlineStr"/>
      <c r="BH31" t="inlineStr"/>
      <c r="BI31" t="inlineStr"/>
      <c r="BJ31" t="inlineStr"/>
      <c r="BK31" t="inlineStr"/>
      <c r="BL31" t="inlineStr"/>
      <c r="BM31" t="inlineStr"/>
      <c r="BN31" t="n">
        <v>0</v>
      </c>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c r="DC31" t="inlineStr"/>
      <c r="DD31" t="inlineStr"/>
      <c r="DE31" t="inlineStr"/>
      <c r="DF31" t="inlineStr"/>
      <c r="DG31" t="inlineStr"/>
    </row>
    <row r="32">
      <c r="A32" t="inlineStr">
        <is>
          <t>III</t>
        </is>
      </c>
      <c r="B32" t="b">
        <v>1</v>
      </c>
      <c r="C32" t="inlineStr"/>
      <c r="D32" t="inlineStr"/>
      <c r="E32" t="n">
        <v>46</v>
      </c>
      <c r="F32">
        <f>HYPERLINK("https://portal.dnb.de/opac.htm?method=simpleSearch&amp;cqlMode=true&amp;query=idn%3D1066962499", "Portal")</f>
        <v/>
      </c>
      <c r="G32" t="inlineStr">
        <is>
          <t>Aaf</t>
        </is>
      </c>
      <c r="H32" t="inlineStr">
        <is>
          <t>L-1522-315492856</t>
        </is>
      </c>
      <c r="I32" t="inlineStr">
        <is>
          <t>1066962499</t>
        </is>
      </c>
      <c r="J32" t="inlineStr">
        <is>
          <t>III 3, 10 c</t>
        </is>
      </c>
      <c r="K32" t="inlineStr">
        <is>
          <t>III 3, 10 c</t>
        </is>
      </c>
      <c r="L32" t="inlineStr">
        <is>
          <t>III 3, 10 c</t>
        </is>
      </c>
      <c r="M32" t="inlineStr"/>
      <c r="N32" t="inlineStr">
        <is>
          <t>Ain @trostliche versten||dige leer über das wort sancti|| Pauli. Der mensch soll|| sich selbs probieren/|| vñ also von dem|| brot essen/ vñ|| von dem|</t>
        </is>
      </c>
      <c r="O32" t="inlineStr">
        <is>
          <t xml:space="preserve"> : </t>
        </is>
      </c>
      <c r="P32" t="inlineStr">
        <is>
          <t>X</t>
        </is>
      </c>
      <c r="Q32" t="inlineStr"/>
      <c r="R32" t="inlineStr">
        <is>
          <t>Halbledereinband</t>
        </is>
      </c>
      <c r="S32" t="inlineStr">
        <is>
          <t>bis 25 cm</t>
        </is>
      </c>
      <c r="T32" t="inlineStr">
        <is>
          <t>180°</t>
        </is>
      </c>
      <c r="U32" t="inlineStr">
        <is>
          <t>fester Rücken mit Schmuckprägung</t>
        </is>
      </c>
      <c r="V32" t="inlineStr"/>
      <c r="W32" t="inlineStr"/>
      <c r="X32" t="inlineStr"/>
      <c r="Y32" t="n">
        <v>0</v>
      </c>
      <c r="Z32" t="inlineStr"/>
      <c r="AA32" t="inlineStr"/>
      <c r="AB32" t="inlineStr"/>
      <c r="AC32" t="inlineStr"/>
      <c r="AD32" t="inlineStr"/>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c r="AT32" t="inlineStr"/>
      <c r="AU32" t="inlineStr"/>
      <c r="AV32" t="inlineStr"/>
      <c r="AW32" t="inlineStr"/>
      <c r="AX32" t="inlineStr"/>
      <c r="AY32" t="inlineStr"/>
      <c r="AZ32" t="inlineStr"/>
      <c r="BA32" t="inlineStr"/>
      <c r="BB32" t="inlineStr"/>
      <c r="BC32" t="inlineStr"/>
      <c r="BD32" t="inlineStr"/>
      <c r="BE32" t="inlineStr"/>
      <c r="BF32" t="inlineStr"/>
      <c r="BG32" t="inlineStr"/>
      <c r="BH32" t="inlineStr"/>
      <c r="BI32" t="inlineStr"/>
      <c r="BJ32" t="inlineStr"/>
      <c r="BK32" t="inlineStr"/>
      <c r="BL32" t="inlineStr"/>
      <c r="BM32" t="inlineStr"/>
      <c r="BN32" t="n">
        <v>0</v>
      </c>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c r="DC32" t="inlineStr"/>
      <c r="DD32" t="inlineStr"/>
      <c r="DE32" t="inlineStr"/>
      <c r="DF32" t="inlineStr"/>
      <c r="DG32" t="inlineStr"/>
    </row>
    <row r="33">
      <c r="A33" t="inlineStr">
        <is>
          <t>III</t>
        </is>
      </c>
      <c r="B33" t="b">
        <v>1</v>
      </c>
      <c r="C33" t="inlineStr"/>
      <c r="D33" t="inlineStr"/>
      <c r="E33" t="n">
        <v>47</v>
      </c>
      <c r="F33">
        <f>HYPERLINK("https://portal.dnb.de/opac.htm?method=simpleSearch&amp;cqlMode=true&amp;query=idn%3D997626313", "Portal")</f>
        <v/>
      </c>
      <c r="G33" t="inlineStr">
        <is>
          <t>Aal</t>
        </is>
      </c>
      <c r="H33" t="inlineStr">
        <is>
          <t>L-1525-164450874</t>
        </is>
      </c>
      <c r="I33" t="inlineStr">
        <is>
          <t>997626313</t>
        </is>
      </c>
      <c r="J33" t="inlineStr">
        <is>
          <t>III 3, 10 d</t>
        </is>
      </c>
      <c r="K33" t="inlineStr">
        <is>
          <t>III 3, 10 d</t>
        </is>
      </c>
      <c r="L33" t="inlineStr">
        <is>
          <t>III 3, 10 d</t>
        </is>
      </c>
      <c r="M33" t="inlineStr"/>
      <c r="N33" t="inlineStr">
        <is>
          <t>Annotations||[in acta apostolorum, dt.] oder Anzaygungen, ||Justi Jone zu Wittemberg, vber das||Buch der Aposteln Geschicht|| newlich verteütscht||M.D</t>
        </is>
      </c>
      <c r="O33" t="inlineStr">
        <is>
          <t xml:space="preserve"> : </t>
        </is>
      </c>
      <c r="P33" t="inlineStr"/>
      <c r="Q33" t="inlineStr"/>
      <c r="R33" t="inlineStr">
        <is>
          <t>Halbledereinband</t>
        </is>
      </c>
      <c r="S33" t="inlineStr">
        <is>
          <t>bis 25 cm</t>
        </is>
      </c>
      <c r="T33" t="inlineStr">
        <is>
          <t>180°</t>
        </is>
      </c>
      <c r="U33" t="inlineStr">
        <is>
          <t>hohler Rücken</t>
        </is>
      </c>
      <c r="V33" t="inlineStr"/>
      <c r="W33" t="inlineStr"/>
      <c r="X33" t="inlineStr"/>
      <c r="Y33" t="n">
        <v>0</v>
      </c>
      <c r="Z33" t="inlineStr"/>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c r="BH33" t="inlineStr"/>
      <c r="BI33" t="inlineStr"/>
      <c r="BJ33" t="inlineStr"/>
      <c r="BK33" t="inlineStr"/>
      <c r="BL33" t="inlineStr"/>
      <c r="BM33" t="inlineStr"/>
      <c r="BN33" t="n">
        <v>0</v>
      </c>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c r="DC33" t="inlineStr"/>
      <c r="DD33" t="inlineStr"/>
      <c r="DE33" t="inlineStr"/>
      <c r="DF33" t="inlineStr"/>
      <c r="DG33" t="inlineStr"/>
    </row>
    <row r="34">
      <c r="A34" t="inlineStr">
        <is>
          <t>III</t>
        </is>
      </c>
      <c r="B34" t="b">
        <v>1</v>
      </c>
      <c r="C34" t="inlineStr"/>
      <c r="D34" t="inlineStr"/>
      <c r="E34" t="n">
        <v>19</v>
      </c>
      <c r="F34">
        <f>HYPERLINK("https://portal.dnb.de/opac.htm?method=simpleSearch&amp;cqlMode=true&amp;query=idn%3D99400026X", "Portal")</f>
        <v/>
      </c>
      <c r="G34" t="inlineStr">
        <is>
          <t>Aal</t>
        </is>
      </c>
      <c r="H34" t="inlineStr">
        <is>
          <t>L-1522-154280380</t>
        </is>
      </c>
      <c r="I34" t="inlineStr">
        <is>
          <t>99400026X</t>
        </is>
      </c>
      <c r="J34" t="inlineStr">
        <is>
          <t>III 3, 12</t>
        </is>
      </c>
      <c r="K34" t="inlineStr">
        <is>
          <t>III 3, 12</t>
        </is>
      </c>
      <c r="L34" t="inlineStr">
        <is>
          <t>III 3, 12</t>
        </is>
      </c>
      <c r="M34" t="inlineStr"/>
      <c r="N34" t="inlineStr">
        <is>
          <t>Ain @andechtiger vn̄ zu besse||rung súndiges lebens|| nützlicher|| Tractat|| des hayligen vnd Christli||chen lerers Aurelij Augustini|| von der üppigk</t>
        </is>
      </c>
      <c r="O34" t="inlineStr">
        <is>
          <t xml:space="preserve"> : </t>
        </is>
      </c>
      <c r="P34" t="inlineStr">
        <is>
          <t>X</t>
        </is>
      </c>
      <c r="Q34" t="inlineStr"/>
      <c r="R34" t="inlineStr">
        <is>
          <t>Pergamentband</t>
        </is>
      </c>
      <c r="S34" t="inlineStr">
        <is>
          <t>bis 25 cm</t>
        </is>
      </c>
      <c r="T34" t="inlineStr">
        <is>
          <t>180°</t>
        </is>
      </c>
      <c r="U34" t="inlineStr">
        <is>
          <t>stark deformiertes Objekt</t>
        </is>
      </c>
      <c r="V34" t="inlineStr"/>
      <c r="W34" t="inlineStr"/>
      <c r="X34" t="inlineStr"/>
      <c r="Y34" t="n">
        <v>1</v>
      </c>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inlineStr"/>
      <c r="BI34" t="inlineStr"/>
      <c r="BJ34" t="inlineStr"/>
      <c r="BK34" t="inlineStr"/>
      <c r="BL34" t="inlineStr"/>
      <c r="BM34" t="inlineStr"/>
      <c r="BN34" t="n">
        <v>0</v>
      </c>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c r="DC34" t="inlineStr"/>
      <c r="DD34" t="inlineStr"/>
      <c r="DE34" t="inlineStr"/>
      <c r="DF34" t="inlineStr"/>
      <c r="DG34" t="inlineStr"/>
    </row>
    <row r="35">
      <c r="A35" t="inlineStr">
        <is>
          <t>III</t>
        </is>
      </c>
      <c r="B35" t="b">
        <v>1</v>
      </c>
      <c r="C35" t="inlineStr"/>
      <c r="D35" t="inlineStr"/>
      <c r="E35" t="n">
        <v>48</v>
      </c>
      <c r="F35">
        <f>HYPERLINK("https://portal.dnb.de/opac.htm?method=simpleSearch&amp;cqlMode=true&amp;query=idn%3D1000478475", "Portal")</f>
        <v/>
      </c>
      <c r="G35" t="inlineStr">
        <is>
          <t>Aal</t>
        </is>
      </c>
      <c r="H35" t="inlineStr">
        <is>
          <t>L-1521-170695743</t>
        </is>
      </c>
      <c r="I35" t="inlineStr">
        <is>
          <t>1000478475</t>
        </is>
      </c>
      <c r="J35" t="inlineStr">
        <is>
          <t>III 3, 12 a</t>
        </is>
      </c>
      <c r="K35" t="inlineStr">
        <is>
          <t>III 3, 12 a</t>
        </is>
      </c>
      <c r="L35" t="inlineStr">
        <is>
          <t>III 3, 12 a</t>
        </is>
      </c>
      <c r="M35" t="inlineStr"/>
      <c r="N35" t="inlineStr">
        <is>
          <t>Argvmentvm libelli.|| Symon Hessvs [d.i. Urbanus Rhegius] Lvthero osten||dit cavssas, qvare Lvterana|| oposcvla a Coloniensibvs|| et Lovaniensib. sint</t>
        </is>
      </c>
      <c r="O35" t="inlineStr">
        <is>
          <t xml:space="preserve"> : </t>
        </is>
      </c>
      <c r="P35" t="inlineStr"/>
      <c r="Q35" t="inlineStr"/>
      <c r="R35" t="inlineStr">
        <is>
          <t>Halbpergamentband</t>
        </is>
      </c>
      <c r="S35" t="inlineStr">
        <is>
          <t>bis 25 cm</t>
        </is>
      </c>
      <c r="T35" t="inlineStr">
        <is>
          <t>180°</t>
        </is>
      </c>
      <c r="U35" t="inlineStr">
        <is>
          <t>hohler Rücken</t>
        </is>
      </c>
      <c r="V35" t="inlineStr"/>
      <c r="W35" t="inlineStr"/>
      <c r="X35" t="inlineStr"/>
      <c r="Y35" t="n">
        <v>0</v>
      </c>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inlineStr"/>
      <c r="BI35" t="inlineStr"/>
      <c r="BJ35" t="inlineStr"/>
      <c r="BK35" t="inlineStr"/>
      <c r="BL35" t="inlineStr"/>
      <c r="BM35" t="inlineStr"/>
      <c r="BN35" t="n">
        <v>0</v>
      </c>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c r="DC35" t="inlineStr"/>
      <c r="DD35" t="inlineStr"/>
      <c r="DE35" t="inlineStr"/>
      <c r="DF35" t="inlineStr"/>
      <c r="DG35" t="inlineStr"/>
    </row>
    <row r="36">
      <c r="A36" t="inlineStr">
        <is>
          <t>III</t>
        </is>
      </c>
      <c r="B36" t="b">
        <v>1</v>
      </c>
      <c r="C36" t="inlineStr"/>
      <c r="D36" t="inlineStr"/>
      <c r="E36" t="n">
        <v>49</v>
      </c>
      <c r="F36">
        <f>HYPERLINK("https://portal.dnb.de/opac.htm?method=simpleSearch&amp;cqlMode=true&amp;query=idn%3D1000478475", "Portal")</f>
        <v/>
      </c>
      <c r="G36" t="inlineStr">
        <is>
          <t>Aal</t>
        </is>
      </c>
      <c r="H36" t="inlineStr">
        <is>
          <t>L-1521-170695743</t>
        </is>
      </c>
      <c r="I36" t="inlineStr">
        <is>
          <t>1000478475</t>
        </is>
      </c>
      <c r="J36" t="inlineStr">
        <is>
          <t>III 3, 12 a</t>
        </is>
      </c>
      <c r="K36" t="inlineStr">
        <is>
          <t>III 3, 12 a</t>
        </is>
      </c>
      <c r="L36" t="inlineStr">
        <is>
          <t>III 3, 12 a</t>
        </is>
      </c>
      <c r="M36" t="inlineStr"/>
      <c r="N36" t="inlineStr">
        <is>
          <t>Argvmentvm libelli.|| Symon Hessvs [d.i. Urbanus Rhegius] Lvthero osten||dit cavssas, qvare Lvterana|| oposcvla a Coloniensibvs|| et Lovaniensib. sint</t>
        </is>
      </c>
      <c r="O36" t="inlineStr">
        <is>
          <t xml:space="preserve"> : </t>
        </is>
      </c>
      <c r="P36" t="inlineStr"/>
      <c r="Q36" t="inlineStr"/>
      <c r="R36" t="inlineStr"/>
      <c r="S36" t="inlineStr"/>
      <c r="T36" t="inlineStr"/>
      <c r="U36" t="inlineStr"/>
      <c r="V36" t="inlineStr"/>
      <c r="W36" t="inlineStr"/>
      <c r="X36" t="inlineStr"/>
      <c r="Y36" t="inlineStr"/>
      <c r="Z36" t="inlineStr"/>
      <c r="AA36" t="inlineStr"/>
      <c r="AB36" t="inlineStr"/>
      <c r="AC36" t="inlineStr"/>
      <c r="AD36" t="inlineStr"/>
      <c r="AE36" t="inlineStr"/>
      <c r="AF36" t="inlineStr"/>
      <c r="AG36" t="inlineStr"/>
      <c r="AH36" t="inlineStr"/>
      <c r="AI36" t="inlineStr"/>
      <c r="AJ36" t="inlineStr"/>
      <c r="AK36" t="inlineStr"/>
      <c r="AL36" t="inlineStr"/>
      <c r="AM36" t="inlineStr"/>
      <c r="AN36" t="inlineStr"/>
      <c r="AO36" t="inlineStr"/>
      <c r="AP36" t="inlineStr"/>
      <c r="AQ36" t="inlineStr"/>
      <c r="AR36" t="inlineStr"/>
      <c r="AS36" t="inlineStr"/>
      <c r="AT36" t="inlineStr"/>
      <c r="AU36" t="inlineStr"/>
      <c r="AV36" t="inlineStr"/>
      <c r="AW36" t="inlineStr"/>
      <c r="AX36" t="inlineStr"/>
      <c r="AY36" t="inlineStr"/>
      <c r="AZ36" t="inlineStr"/>
      <c r="BA36" t="inlineStr"/>
      <c r="BB36" t="inlineStr"/>
      <c r="BC36" t="inlineStr"/>
      <c r="BD36" t="inlineStr"/>
      <c r="BE36" t="inlineStr"/>
      <c r="BF36" t="inlineStr"/>
      <c r="BG36" t="inlineStr"/>
      <c r="BH36" t="inlineStr"/>
      <c r="BI36" t="inlineStr"/>
      <c r="BJ36" t="inlineStr"/>
      <c r="BK36" t="inlineStr"/>
      <c r="BL36" t="inlineStr"/>
      <c r="BM36" t="inlineStr"/>
      <c r="BN36" t="n">
        <v>0</v>
      </c>
      <c r="BO36" t="inlineStr"/>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c r="DC36" t="inlineStr"/>
      <c r="DD36" t="inlineStr"/>
      <c r="DE36" t="inlineStr"/>
      <c r="DF36" t="inlineStr"/>
      <c r="DG36" t="inlineStr"/>
    </row>
    <row r="37">
      <c r="A37" t="inlineStr">
        <is>
          <t>III</t>
        </is>
      </c>
      <c r="B37" t="b">
        <v>1</v>
      </c>
      <c r="C37" t="inlineStr"/>
      <c r="D37" t="inlineStr"/>
      <c r="E37" t="n">
        <v>50</v>
      </c>
      <c r="F37">
        <f>HYPERLINK("https://portal.dnb.de/opac.htm?method=simpleSearch&amp;cqlMode=true&amp;query=idn%3D106696002X", "Portal")</f>
        <v/>
      </c>
      <c r="G37" t="inlineStr">
        <is>
          <t>Aaf</t>
        </is>
      </c>
      <c r="H37" t="inlineStr">
        <is>
          <t>L-1524-315490551</t>
        </is>
      </c>
      <c r="I37" t="inlineStr">
        <is>
          <t>106696002X</t>
        </is>
      </c>
      <c r="J37" t="inlineStr">
        <is>
          <t>III 3, 12 b</t>
        </is>
      </c>
      <c r="K37" t="inlineStr">
        <is>
          <t>III 3, 12 b</t>
        </is>
      </c>
      <c r="L37" t="inlineStr">
        <is>
          <t>III 3, 12 b</t>
        </is>
      </c>
      <c r="M37" t="inlineStr"/>
      <c r="N37" t="inlineStr">
        <is>
          <t xml:space="preserve">Verzaichnug vnd|| kurtzliche antzaigung|| in d#[m] Euangeliu|| Joan. Philippi|| Melanch=||thons.|| : </t>
        </is>
      </c>
      <c r="O37" t="inlineStr">
        <is>
          <t xml:space="preserve"> : </t>
        </is>
      </c>
      <c r="P37" t="inlineStr">
        <is>
          <t>X</t>
        </is>
      </c>
      <c r="Q37" t="inlineStr"/>
      <c r="R37" t="inlineStr">
        <is>
          <t>Pergamentband, Schließen, erhabene Buchbeschläge</t>
        </is>
      </c>
      <c r="S37" t="inlineStr">
        <is>
          <t>bis 25 cm</t>
        </is>
      </c>
      <c r="T37" t="inlineStr">
        <is>
          <t>180°</t>
        </is>
      </c>
      <c r="U37" t="inlineStr">
        <is>
          <t>hohler Rücken, welliger Buchblock</t>
        </is>
      </c>
      <c r="V37" t="inlineStr"/>
      <c r="W37" t="inlineStr">
        <is>
          <t>Buchschuh</t>
        </is>
      </c>
      <c r="X37" t="inlineStr">
        <is>
          <t>Nein</t>
        </is>
      </c>
      <c r="Y37" t="n">
        <v>0</v>
      </c>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inlineStr"/>
      <c r="BI37" t="inlineStr"/>
      <c r="BJ37" t="inlineStr"/>
      <c r="BK37" t="inlineStr"/>
      <c r="BL37" t="inlineStr"/>
      <c r="BM37" t="inlineStr"/>
      <c r="BN37" t="n">
        <v>0</v>
      </c>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c r="DC37" t="inlineStr"/>
      <c r="DD37" t="inlineStr"/>
      <c r="DE37" t="inlineStr"/>
      <c r="DF37" t="inlineStr"/>
      <c r="DG37" t="inlineStr"/>
    </row>
    <row r="38">
      <c r="A38" t="inlineStr">
        <is>
          <t>III</t>
        </is>
      </c>
      <c r="B38" t="b">
        <v>1</v>
      </c>
      <c r="C38" t="inlineStr"/>
      <c r="D38" t="inlineStr"/>
      <c r="E38" t="n">
        <v>20</v>
      </c>
      <c r="F38">
        <f>HYPERLINK("https://portal.dnb.de/opac.htm?method=simpleSearch&amp;cqlMode=true&amp;query=idn%3D1066871574", "Portal")</f>
        <v/>
      </c>
      <c r="G38" t="inlineStr">
        <is>
          <t>Aaf</t>
        </is>
      </c>
      <c r="H38" t="inlineStr">
        <is>
          <t>L-1522-31532936X</t>
        </is>
      </c>
      <c r="I38" t="inlineStr">
        <is>
          <t>1066871574</t>
        </is>
      </c>
      <c r="J38" t="inlineStr">
        <is>
          <t>III 3, 13</t>
        </is>
      </c>
      <c r="K38" t="inlineStr">
        <is>
          <t>III 3, 13</t>
        </is>
      </c>
      <c r="L38" t="inlineStr">
        <is>
          <t>III 3, 13</t>
        </is>
      </c>
      <c r="M38" t="inlineStr"/>
      <c r="N38" t="inlineStr">
        <is>
          <t>Des @hochgelerten|| herñ Doctor Erasmi von|| Roterdam schöne vñ|| clare außlegung|| über die Epi=||stel Pauli|| zů Tito.|| Durch Vrbanum Regiū der|| h</t>
        </is>
      </c>
      <c r="O38" t="inlineStr">
        <is>
          <t xml:space="preserve"> : </t>
        </is>
      </c>
      <c r="P38" t="inlineStr"/>
      <c r="Q38" t="inlineStr"/>
      <c r="R38" t="inlineStr">
        <is>
          <t>Pergamentband, Schließen, erhabene Buchbeschläge</t>
        </is>
      </c>
      <c r="S38" t="inlineStr">
        <is>
          <t>bis 25 cm</t>
        </is>
      </c>
      <c r="T38" t="inlineStr">
        <is>
          <t>180°</t>
        </is>
      </c>
      <c r="U38" t="inlineStr">
        <is>
          <t>hohler Rücken</t>
        </is>
      </c>
      <c r="V38" t="inlineStr"/>
      <c r="W38" t="inlineStr">
        <is>
          <t>Archivkarton</t>
        </is>
      </c>
      <c r="X38" t="inlineStr">
        <is>
          <t>Nein</t>
        </is>
      </c>
      <c r="Y38" t="n">
        <v>0</v>
      </c>
      <c r="Z38" t="inlineStr"/>
      <c r="AA38" t="inlineStr"/>
      <c r="AB38" t="inlineStr"/>
      <c r="AC38" t="inlineStr"/>
      <c r="AD38" t="inlineStr"/>
      <c r="AE38" t="inlineStr"/>
      <c r="AF38" t="inlineStr"/>
      <c r="AG38" t="inlineStr"/>
      <c r="AH38" t="inlineStr"/>
      <c r="AI38" t="inlineStr"/>
      <c r="AJ38" t="inlineStr"/>
      <c r="AK38" t="inlineStr"/>
      <c r="AL38" t="inlineStr"/>
      <c r="AM38" t="inlineStr"/>
      <c r="AN38" t="inlineStr"/>
      <c r="AO38" t="inlineStr"/>
      <c r="AP38" t="inlineStr"/>
      <c r="AQ38" t="inlineStr"/>
      <c r="AR38" t="inlineStr"/>
      <c r="AS38" t="inlineStr"/>
      <c r="AT38" t="inlineStr"/>
      <c r="AU38" t="inlineStr"/>
      <c r="AV38" t="inlineStr"/>
      <c r="AW38" t="inlineStr"/>
      <c r="AX38" t="inlineStr"/>
      <c r="AY38" t="inlineStr"/>
      <c r="AZ38" t="inlineStr"/>
      <c r="BA38" t="inlineStr"/>
      <c r="BB38" t="inlineStr"/>
      <c r="BC38" t="inlineStr"/>
      <c r="BD38" t="inlineStr"/>
      <c r="BE38" t="inlineStr"/>
      <c r="BF38" t="inlineStr"/>
      <c r="BG38" t="inlineStr"/>
      <c r="BH38" t="inlineStr"/>
      <c r="BI38" t="inlineStr"/>
      <c r="BJ38" t="inlineStr"/>
      <c r="BK38" t="inlineStr"/>
      <c r="BL38" t="inlineStr"/>
      <c r="BM38" t="inlineStr"/>
      <c r="BN38" t="n">
        <v>0</v>
      </c>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row>
    <row r="39">
      <c r="A39" t="inlineStr">
        <is>
          <t>III</t>
        </is>
      </c>
      <c r="B39" t="b">
        <v>1</v>
      </c>
      <c r="C39" t="inlineStr"/>
      <c r="D39" t="inlineStr"/>
      <c r="E39" t="n">
        <v>51</v>
      </c>
      <c r="F39">
        <f>HYPERLINK("https://portal.dnb.de/opac.htm?method=simpleSearch&amp;cqlMode=true&amp;query=idn%3D993849784", "Portal")</f>
        <v/>
      </c>
      <c r="G39" t="inlineStr">
        <is>
          <t>Aal</t>
        </is>
      </c>
      <c r="H39" t="inlineStr">
        <is>
          <t>L-1523-153700335</t>
        </is>
      </c>
      <c r="I39" t="inlineStr">
        <is>
          <t>993849784</t>
        </is>
      </c>
      <c r="J39" t="inlineStr">
        <is>
          <t>III 3, 13 a</t>
        </is>
      </c>
      <c r="K39" t="inlineStr">
        <is>
          <t>III 3, 13 a</t>
        </is>
      </c>
      <c r="L39" t="inlineStr">
        <is>
          <t>III 3, 13 a</t>
        </is>
      </c>
      <c r="M39" t="inlineStr"/>
      <c r="N39" t="inlineStr">
        <is>
          <t xml:space="preserve">Ain @Sermon von d'schul Christi,|| darinn ain yetlicher leeriunnger lernet wa|| es jm faelet an dem weg der saeligkait, vnd|| wie wir noch so gar nit </t>
        </is>
      </c>
      <c r="O39" t="inlineStr">
        <is>
          <t xml:space="preserve"> : </t>
        </is>
      </c>
      <c r="P39" t="inlineStr"/>
      <c r="Q39" t="inlineStr"/>
      <c r="R39" t="inlineStr">
        <is>
          <t>Halbpergamentband</t>
        </is>
      </c>
      <c r="S39" t="inlineStr">
        <is>
          <t>bis 25 cm</t>
        </is>
      </c>
      <c r="T39" t="inlineStr">
        <is>
          <t>180°</t>
        </is>
      </c>
      <c r="U39" t="inlineStr">
        <is>
          <t>hohler Rücken</t>
        </is>
      </c>
      <c r="V39" t="inlineStr"/>
      <c r="W39" t="inlineStr"/>
      <c r="X39" t="inlineStr"/>
      <c r="Y39" t="n">
        <v>0</v>
      </c>
      <c r="Z39" t="inlineStr"/>
      <c r="AA39" t="inlineStr"/>
      <c r="AB39" t="inlineStr"/>
      <c r="AC39" t="inlineStr"/>
      <c r="AD39" t="inlineStr"/>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c r="AT39" t="inlineStr"/>
      <c r="AU39" t="inlineStr"/>
      <c r="AV39" t="inlineStr"/>
      <c r="AW39" t="inlineStr"/>
      <c r="AX39" t="inlineStr"/>
      <c r="AY39" t="inlineStr"/>
      <c r="AZ39" t="inlineStr"/>
      <c r="BA39" t="inlineStr"/>
      <c r="BB39" t="inlineStr"/>
      <c r="BC39" t="inlineStr"/>
      <c r="BD39" t="inlineStr"/>
      <c r="BE39" t="inlineStr"/>
      <c r="BF39" t="inlineStr"/>
      <c r="BG39" t="inlineStr"/>
      <c r="BH39" t="inlineStr"/>
      <c r="BI39" t="inlineStr"/>
      <c r="BJ39" t="inlineStr"/>
      <c r="BK39" t="inlineStr"/>
      <c r="BL39" t="inlineStr"/>
      <c r="BM39" t="inlineStr"/>
      <c r="BN39" t="n">
        <v>0</v>
      </c>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c r="DC39" t="inlineStr"/>
      <c r="DD39" t="inlineStr"/>
      <c r="DE39" t="inlineStr"/>
      <c r="DF39" t="inlineStr"/>
      <c r="DG39" t="inlineStr"/>
    </row>
    <row r="40">
      <c r="A40" t="inlineStr">
        <is>
          <t>III</t>
        </is>
      </c>
      <c r="B40" t="b">
        <v>1</v>
      </c>
      <c r="C40" t="inlineStr"/>
      <c r="D40" t="inlineStr"/>
      <c r="E40" t="n">
        <v>21</v>
      </c>
      <c r="F40">
        <f>HYPERLINK("https://portal.dnb.de/opac.htm?method=simpleSearch&amp;cqlMode=true&amp;query=idn%3D1066839182", "Portal")</f>
        <v/>
      </c>
      <c r="G40" t="inlineStr">
        <is>
          <t>Aaf</t>
        </is>
      </c>
      <c r="H40" t="inlineStr">
        <is>
          <t>L-1523-315299215</t>
        </is>
      </c>
      <c r="I40" t="inlineStr">
        <is>
          <t>1066839182</t>
        </is>
      </c>
      <c r="J40" t="inlineStr">
        <is>
          <t>III 3, 14</t>
        </is>
      </c>
      <c r="K40" t="inlineStr">
        <is>
          <t>III 3, 14</t>
        </is>
      </c>
      <c r="L40" t="inlineStr">
        <is>
          <t>III 3, 14</t>
        </is>
      </c>
      <c r="M40" t="inlineStr"/>
      <c r="N40" t="inlineStr">
        <is>
          <t xml:space="preserve">Psalter des küniglichen prophetten dauids geteutscht nach warhafftigem text der hebraischen zungen. : </t>
        </is>
      </c>
      <c r="O40" t="inlineStr">
        <is>
          <t xml:space="preserve"> : </t>
        </is>
      </c>
      <c r="P40" t="inlineStr">
        <is>
          <t>X</t>
        </is>
      </c>
      <c r="Q40" t="inlineStr"/>
      <c r="R40" t="inlineStr">
        <is>
          <t>Halbpergamentband, Schließen, erhabene Buchbeschläge</t>
        </is>
      </c>
      <c r="S40" t="inlineStr">
        <is>
          <t>bis 25 cm</t>
        </is>
      </c>
      <c r="T40" t="inlineStr">
        <is>
          <t>80° bis 110°, einseitig digitalisierbar?</t>
        </is>
      </c>
      <c r="U40" t="inlineStr">
        <is>
          <t>hohler Rücken</t>
        </is>
      </c>
      <c r="V40" t="inlineStr"/>
      <c r="W40" t="inlineStr"/>
      <c r="X40" t="inlineStr"/>
      <c r="Y40" t="n">
        <v>0</v>
      </c>
      <c r="Z40" t="inlineStr"/>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c r="BD40" t="inlineStr"/>
      <c r="BE40" t="inlineStr"/>
      <c r="BF40" t="inlineStr"/>
      <c r="BG40" t="inlineStr"/>
      <c r="BH40" t="inlineStr"/>
      <c r="BI40" t="inlineStr"/>
      <c r="BJ40" t="inlineStr"/>
      <c r="BK40" t="inlineStr"/>
      <c r="BL40" t="inlineStr"/>
      <c r="BM40" t="inlineStr"/>
      <c r="BN40" t="n">
        <v>0</v>
      </c>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c r="DC40" t="inlineStr"/>
      <c r="DD40" t="inlineStr"/>
      <c r="DE40" t="inlineStr"/>
      <c r="DF40" t="inlineStr"/>
      <c r="DG40" t="inlineStr"/>
    </row>
    <row r="41">
      <c r="A41" t="inlineStr">
        <is>
          <t>III</t>
        </is>
      </c>
      <c r="B41" t="b">
        <v>1</v>
      </c>
      <c r="C41" t="inlineStr"/>
      <c r="D41" t="inlineStr"/>
      <c r="E41" t="n">
        <v>52</v>
      </c>
      <c r="F41">
        <f>HYPERLINK("https://portal.dnb.de/opac.htm?method=simpleSearch&amp;cqlMode=true&amp;query=idn%3D998888257", "Portal")</f>
        <v/>
      </c>
      <c r="G41" t="inlineStr">
        <is>
          <t>Aal</t>
        </is>
      </c>
      <c r="H41" t="inlineStr">
        <is>
          <t>L-1522-167111574</t>
        </is>
      </c>
      <c r="I41" t="inlineStr">
        <is>
          <t>998888257</t>
        </is>
      </c>
      <c r="J41" t="inlineStr">
        <is>
          <t>III 3, 14 b</t>
        </is>
      </c>
      <c r="K41" t="inlineStr">
        <is>
          <t>III 3, 14 b</t>
        </is>
      </c>
      <c r="L41" t="inlineStr">
        <is>
          <t>III 3, 14 b</t>
        </is>
      </c>
      <c r="M41" t="inlineStr"/>
      <c r="N41" t="inlineStr">
        <is>
          <t>Von bayder gestalt des Sacra=||ments zunemen : vnd an=||der neüeru[n]g</t>
        </is>
      </c>
      <c r="O41" t="inlineStr">
        <is>
          <t xml:space="preserve"> : </t>
        </is>
      </c>
      <c r="P41" t="inlineStr">
        <is>
          <t>X</t>
        </is>
      </c>
      <c r="Q41" t="inlineStr"/>
      <c r="R41" t="inlineStr">
        <is>
          <t>Papier- oder Pappeinband</t>
        </is>
      </c>
      <c r="S41" t="inlineStr">
        <is>
          <t>bis 25 cm</t>
        </is>
      </c>
      <c r="T41" t="inlineStr">
        <is>
          <t>180°</t>
        </is>
      </c>
      <c r="U41" t="inlineStr">
        <is>
          <t>hohler Rücken</t>
        </is>
      </c>
      <c r="V41" t="inlineStr"/>
      <c r="W41" t="inlineStr">
        <is>
          <t xml:space="preserve">Papierumschlag </t>
        </is>
      </c>
      <c r="X41" t="inlineStr">
        <is>
          <t>Ja</t>
        </is>
      </c>
      <c r="Y41" t="n">
        <v>0</v>
      </c>
      <c r="Z41" t="inlineStr"/>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c r="BD41" t="inlineStr"/>
      <c r="BE41" t="inlineStr"/>
      <c r="BF41" t="inlineStr"/>
      <c r="BG41" t="inlineStr"/>
      <c r="BH41" t="inlineStr"/>
      <c r="BI41" t="inlineStr"/>
      <c r="BJ41" t="inlineStr"/>
      <c r="BK41" t="inlineStr"/>
      <c r="BL41" t="inlineStr"/>
      <c r="BM41" t="inlineStr"/>
      <c r="BN41" t="n">
        <v>0</v>
      </c>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c r="DC41" t="inlineStr"/>
      <c r="DD41" t="inlineStr"/>
      <c r="DE41" t="inlineStr"/>
      <c r="DF41" t="inlineStr"/>
      <c r="DG41" t="inlineStr"/>
    </row>
    <row r="42">
      <c r="A42" t="inlineStr">
        <is>
          <t>III</t>
        </is>
      </c>
      <c r="B42" t="b">
        <v>1</v>
      </c>
      <c r="C42" t="inlineStr"/>
      <c r="D42" t="inlineStr"/>
      <c r="E42" t="n">
        <v>22</v>
      </c>
      <c r="F42">
        <f>HYPERLINK("https://portal.dnb.de/opac.htm?method=simpleSearch&amp;cqlMode=true&amp;query=idn%3D1066937621", "Portal")</f>
        <v/>
      </c>
      <c r="G42" t="inlineStr">
        <is>
          <t>Aaf</t>
        </is>
      </c>
      <c r="H42" t="inlineStr">
        <is>
          <t>L-1514-315465468</t>
        </is>
      </c>
      <c r="I42" t="inlineStr">
        <is>
          <t>1066937621</t>
        </is>
      </c>
      <c r="J42" t="inlineStr">
        <is>
          <t>III 3, 15</t>
        </is>
      </c>
      <c r="K42" t="inlineStr">
        <is>
          <t>III 3, 15</t>
        </is>
      </c>
      <c r="L42" t="inlineStr">
        <is>
          <t>III 3, 15</t>
        </is>
      </c>
      <c r="M42" t="inlineStr"/>
      <c r="N42" t="inlineStr">
        <is>
          <t xml:space="preserve">KAlendarius teütsch Mai=||ster Joannis küngspergers|| ... : </t>
        </is>
      </c>
      <c r="O42" t="inlineStr">
        <is>
          <t xml:space="preserve"> : </t>
        </is>
      </c>
      <c r="P42" t="inlineStr">
        <is>
          <t>X</t>
        </is>
      </c>
      <c r="Q42" t="inlineStr"/>
      <c r="R42" t="inlineStr">
        <is>
          <t>Papier- oder Pappeinband</t>
        </is>
      </c>
      <c r="S42" t="inlineStr">
        <is>
          <t>bis 25 cm</t>
        </is>
      </c>
      <c r="T42" t="inlineStr">
        <is>
          <t>180°</t>
        </is>
      </c>
      <c r="U42" t="inlineStr">
        <is>
          <t>hohler Rücken</t>
        </is>
      </c>
      <c r="V42" t="inlineStr"/>
      <c r="W42" t="inlineStr">
        <is>
          <t>Archivkarton</t>
        </is>
      </c>
      <c r="X42" t="inlineStr">
        <is>
          <t>Nein</t>
        </is>
      </c>
      <c r="Y42" t="n">
        <v>2</v>
      </c>
      <c r="Z42" t="inlineStr"/>
      <c r="AA42" t="inlineStr"/>
      <c r="AB42" t="inlineStr"/>
      <c r="AC42" t="inlineStr"/>
      <c r="AD42" t="inlineStr"/>
      <c r="AE42" t="inlineStr"/>
      <c r="AF42" t="inlineStr"/>
      <c r="AG42" t="inlineStr"/>
      <c r="AH42" t="inlineStr"/>
      <c r="AI42" t="inlineStr"/>
      <c r="AJ42" t="inlineStr"/>
      <c r="AK42" t="inlineStr"/>
      <c r="AL42" t="inlineStr"/>
      <c r="AM42" t="inlineStr"/>
      <c r="AN42" t="inlineStr"/>
      <c r="AO42" t="inlineStr"/>
      <c r="AP42" t="inlineStr"/>
      <c r="AQ42" t="inlineStr"/>
      <c r="AR42" t="inlineStr"/>
      <c r="AS42" t="inlineStr"/>
      <c r="AT42" t="inlineStr"/>
      <c r="AU42" t="inlineStr"/>
      <c r="AV42" t="inlineStr"/>
      <c r="AW42" t="inlineStr"/>
      <c r="AX42" t="inlineStr"/>
      <c r="AY42" t="inlineStr"/>
      <c r="AZ42" t="inlineStr"/>
      <c r="BA42" t="inlineStr"/>
      <c r="BB42" t="inlineStr"/>
      <c r="BC42" t="inlineStr"/>
      <c r="BD42" t="inlineStr"/>
      <c r="BE42" t="inlineStr"/>
      <c r="BF42" t="inlineStr"/>
      <c r="BG42" t="inlineStr"/>
      <c r="BH42" t="inlineStr"/>
      <c r="BI42" t="inlineStr"/>
      <c r="BJ42" t="inlineStr"/>
      <c r="BK42" t="inlineStr"/>
      <c r="BL42" t="inlineStr"/>
      <c r="BM42" t="inlineStr"/>
      <c r="BN42" t="n">
        <v>0</v>
      </c>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c r="DC42" t="inlineStr"/>
      <c r="DD42" t="inlineStr"/>
      <c r="DE42" t="inlineStr"/>
      <c r="DF42" t="inlineStr"/>
      <c r="DG42" t="inlineStr"/>
    </row>
    <row r="43">
      <c r="A43" t="inlineStr">
        <is>
          <t>III</t>
        </is>
      </c>
      <c r="B43" t="b">
        <v>1</v>
      </c>
      <c r="C43" t="inlineStr"/>
      <c r="D43" t="inlineStr"/>
      <c r="E43" t="n">
        <v>23</v>
      </c>
      <c r="F43">
        <f>HYPERLINK("https://portal.dnb.de/opac.htm?method=simpleSearch&amp;cqlMode=true&amp;query=idn%3D1066963312", "Portal")</f>
        <v/>
      </c>
      <c r="G43" t="inlineStr">
        <is>
          <t>Aaf</t>
        </is>
      </c>
      <c r="H43" t="inlineStr">
        <is>
          <t>L-1524-315493577</t>
        </is>
      </c>
      <c r="I43" t="inlineStr">
        <is>
          <t>1066963312</t>
        </is>
      </c>
      <c r="J43" t="inlineStr">
        <is>
          <t>III 3, 16</t>
        </is>
      </c>
      <c r="K43" t="inlineStr">
        <is>
          <t>III 3, 16</t>
        </is>
      </c>
      <c r="L43" t="inlineStr">
        <is>
          <t>III 3, 16</t>
        </is>
      </c>
      <c r="M43" t="inlineStr"/>
      <c r="N43" t="inlineStr">
        <is>
          <t xml:space="preserve">Dye @Euangelisch hystori : </t>
        </is>
      </c>
      <c r="O43" t="inlineStr">
        <is>
          <t xml:space="preserve"> : </t>
        </is>
      </c>
      <c r="P43" t="inlineStr">
        <is>
          <t>X</t>
        </is>
      </c>
      <c r="Q43" t="inlineStr"/>
      <c r="R43" t="inlineStr">
        <is>
          <t>Pergamentband</t>
        </is>
      </c>
      <c r="S43" t="inlineStr">
        <is>
          <t>bis 25 cm</t>
        </is>
      </c>
      <c r="T43" t="inlineStr">
        <is>
          <t>80° bis 110°, einseitig digitalisierbar?</t>
        </is>
      </c>
      <c r="U43" t="inlineStr">
        <is>
          <t>hohler Rücken</t>
        </is>
      </c>
      <c r="V43" t="inlineStr"/>
      <c r="W43" t="inlineStr">
        <is>
          <t xml:space="preserve">Papierumschlag </t>
        </is>
      </c>
      <c r="X43" t="inlineStr">
        <is>
          <t>Ja</t>
        </is>
      </c>
      <c r="Y43" t="n">
        <v>0</v>
      </c>
      <c r="Z43" t="inlineStr"/>
      <c r="AA43" t="inlineStr"/>
      <c r="AB43" t="inlineStr"/>
      <c r="AC43" t="inlineStr"/>
      <c r="AD43" t="inlineStr"/>
      <c r="AE43" t="inlineStr"/>
      <c r="AF43" t="inlineStr"/>
      <c r="AG43" t="inlineStr"/>
      <c r="AH43" t="inlineStr"/>
      <c r="AI43" t="inlineStr"/>
      <c r="AJ43" t="inlineStr"/>
      <c r="AK43" t="inlineStr"/>
      <c r="AL43" t="inlineStr"/>
      <c r="AM43" t="inlineStr"/>
      <c r="AN43" t="inlineStr"/>
      <c r="AO43" t="inlineStr"/>
      <c r="AP43" t="inlineStr"/>
      <c r="AQ43" t="inlineStr"/>
      <c r="AR43" t="inlineStr"/>
      <c r="AS43" t="inlineStr"/>
      <c r="AT43" t="inlineStr"/>
      <c r="AU43" t="inlineStr"/>
      <c r="AV43" t="inlineStr"/>
      <c r="AW43" t="inlineStr"/>
      <c r="AX43" t="inlineStr"/>
      <c r="AY43" t="inlineStr"/>
      <c r="AZ43" t="inlineStr"/>
      <c r="BA43" t="inlineStr"/>
      <c r="BB43" t="inlineStr"/>
      <c r="BC43" t="inlineStr"/>
      <c r="BD43" t="inlineStr"/>
      <c r="BE43" t="inlineStr"/>
      <c r="BF43" t="inlineStr"/>
      <c r="BG43" t="inlineStr"/>
      <c r="BH43" t="inlineStr"/>
      <c r="BI43" t="inlineStr"/>
      <c r="BJ43" t="inlineStr"/>
      <c r="BK43" t="inlineStr"/>
      <c r="BL43" t="inlineStr"/>
      <c r="BM43" t="inlineStr"/>
      <c r="BN43" t="n">
        <v>0</v>
      </c>
      <c r="BO43" t="inlineStr"/>
      <c r="BP43" t="inlineStr"/>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c r="DC43" t="inlineStr"/>
      <c r="DD43" t="inlineStr"/>
      <c r="DE43" t="inlineStr"/>
      <c r="DF43" t="inlineStr"/>
      <c r="DG43" t="inlineStr"/>
    </row>
    <row r="44">
      <c r="A44" t="inlineStr">
        <is>
          <t>III</t>
        </is>
      </c>
      <c r="B44" t="b">
        <v>1</v>
      </c>
      <c r="C44" t="inlineStr"/>
      <c r="D44" t="inlineStr"/>
      <c r="E44" t="n">
        <v>53</v>
      </c>
      <c r="F44">
        <f>HYPERLINK("https://portal.dnb.de/opac.htm?method=simpleSearch&amp;cqlMode=true&amp;query=idn%3D1000482995", "Portal")</f>
        <v/>
      </c>
      <c r="G44" t="inlineStr">
        <is>
          <t>Aal</t>
        </is>
      </c>
      <c r="H44" t="inlineStr">
        <is>
          <t>L-1525-170699919</t>
        </is>
      </c>
      <c r="I44" t="inlineStr">
        <is>
          <t>1000482995</t>
        </is>
      </c>
      <c r="J44" t="inlineStr">
        <is>
          <t>III 3, 16 a</t>
        </is>
      </c>
      <c r="K44" t="inlineStr">
        <is>
          <t>III 3, 16 a</t>
        </is>
      </c>
      <c r="L44" t="inlineStr">
        <is>
          <t>III 3, 16 a</t>
        </is>
      </c>
      <c r="M44" t="inlineStr"/>
      <c r="N44" t="inlineStr">
        <is>
          <t xml:space="preserve">Ain @Sermon vom eelichen|| stand, wienutz, not, gut|| vnd frey er jederman|| sey : </t>
        </is>
      </c>
      <c r="O44" t="inlineStr">
        <is>
          <t xml:space="preserve"> : </t>
        </is>
      </c>
      <c r="P44" t="inlineStr"/>
      <c r="Q44" t="inlineStr"/>
      <c r="R44" t="inlineStr">
        <is>
          <t>Halbpergamentband</t>
        </is>
      </c>
      <c r="S44" t="inlineStr">
        <is>
          <t>bis 25 cm</t>
        </is>
      </c>
      <c r="T44" t="inlineStr">
        <is>
          <t>80° bis 110°, einseitig digitalisierbar?</t>
        </is>
      </c>
      <c r="U44" t="inlineStr">
        <is>
          <t>hohler Rücken</t>
        </is>
      </c>
      <c r="V44" t="inlineStr"/>
      <c r="W44" t="inlineStr"/>
      <c r="X44" t="inlineStr"/>
      <c r="Y44" t="n">
        <v>0</v>
      </c>
      <c r="Z44" t="inlineStr"/>
      <c r="AA44" t="inlineStr"/>
      <c r="AB44" t="inlineStr"/>
      <c r="AC44" t="inlineStr"/>
      <c r="AD44" t="inlineStr"/>
      <c r="AE44" t="inlineStr"/>
      <c r="AF44" t="inlineStr"/>
      <c r="AG44" t="inlineStr"/>
      <c r="AH44" t="inlineStr"/>
      <c r="AI44" t="inlineStr"/>
      <c r="AJ44" t="inlineStr"/>
      <c r="AK44" t="inlineStr"/>
      <c r="AL44" t="inlineStr"/>
      <c r="AM44" t="inlineStr"/>
      <c r="AN44" t="inlineStr"/>
      <c r="AO44" t="inlineStr"/>
      <c r="AP44" t="inlineStr"/>
      <c r="AQ44" t="inlineStr"/>
      <c r="AR44" t="inlineStr"/>
      <c r="AS44" t="inlineStr"/>
      <c r="AT44" t="inlineStr"/>
      <c r="AU44" t="inlineStr"/>
      <c r="AV44" t="inlineStr"/>
      <c r="AW44" t="inlineStr"/>
      <c r="AX44" t="inlineStr"/>
      <c r="AY44" t="inlineStr"/>
      <c r="AZ44" t="inlineStr"/>
      <c r="BA44" t="inlineStr"/>
      <c r="BB44" t="inlineStr"/>
      <c r="BC44" t="inlineStr"/>
      <c r="BD44" t="inlineStr"/>
      <c r="BE44" t="inlineStr"/>
      <c r="BF44" t="inlineStr"/>
      <c r="BG44" t="inlineStr"/>
      <c r="BH44" t="inlineStr"/>
      <c r="BI44" t="inlineStr"/>
      <c r="BJ44" t="inlineStr"/>
      <c r="BK44" t="inlineStr"/>
      <c r="BL44" t="inlineStr"/>
      <c r="BM44" t="inlineStr"/>
      <c r="BN44" t="n">
        <v>0</v>
      </c>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c r="DC44" t="inlineStr"/>
      <c r="DD44" t="inlineStr"/>
      <c r="DE44" t="inlineStr"/>
      <c r="DF44" t="inlineStr"/>
      <c r="DG44" t="inlineStr"/>
    </row>
    <row r="45">
      <c r="A45" t="inlineStr">
        <is>
          <t>III</t>
        </is>
      </c>
      <c r="B45" t="b">
        <v>1</v>
      </c>
      <c r="C45" t="inlineStr"/>
      <c r="D45" t="inlineStr"/>
      <c r="E45" t="n">
        <v>54</v>
      </c>
      <c r="F45">
        <f>HYPERLINK("https://portal.dnb.de/opac.htm?method=simpleSearch&amp;cqlMode=true&amp;query=idn%3D99388654X", "Portal")</f>
        <v/>
      </c>
      <c r="G45" t="inlineStr">
        <is>
          <t>Aal</t>
        </is>
      </c>
      <c r="H45" t="inlineStr">
        <is>
          <t>L-1526-153949872</t>
        </is>
      </c>
      <c r="I45" t="inlineStr">
        <is>
          <t>99388654X</t>
        </is>
      </c>
      <c r="J45" t="inlineStr">
        <is>
          <t>III 3, 16 b</t>
        </is>
      </c>
      <c r="K45" t="inlineStr">
        <is>
          <t>III 3, 16 b</t>
        </is>
      </c>
      <c r="L45" t="inlineStr">
        <is>
          <t>III 3, 16 b</t>
        </is>
      </c>
      <c r="M45" t="inlineStr"/>
      <c r="N45" t="inlineStr">
        <is>
          <t>Der @Neüntzigeste||Psalmus|| Wie ain|| trost|| hilff|| oder sterck|| sey|| dem teüffel vn̄ aller får|| gaist||lich vn̄ leyplich|| z°u wider||st°on|| d</t>
        </is>
      </c>
      <c r="O45" t="inlineStr">
        <is>
          <t xml:space="preserve"> : </t>
        </is>
      </c>
      <c r="P45" t="inlineStr">
        <is>
          <t>X</t>
        </is>
      </c>
      <c r="Q45" t="inlineStr"/>
      <c r="R45" t="inlineStr">
        <is>
          <t>Ledereinband, Schließen, erhabene Buchbeschläge</t>
        </is>
      </c>
      <c r="S45" t="inlineStr">
        <is>
          <t>bis 25 cm</t>
        </is>
      </c>
      <c r="T45" t="inlineStr">
        <is>
          <t>80° bis 110°, einseitig digitalisierbar?</t>
        </is>
      </c>
      <c r="U45" t="inlineStr">
        <is>
          <t>fester Rücken mit Schmuckprägung, Schrift bis in den Falz</t>
        </is>
      </c>
      <c r="V45" t="inlineStr"/>
      <c r="W45" t="inlineStr">
        <is>
          <t>Buchschuh</t>
        </is>
      </c>
      <c r="X45" t="inlineStr">
        <is>
          <t>Nein</t>
        </is>
      </c>
      <c r="Y45" t="n">
        <v>0</v>
      </c>
      <c r="Z45" t="inlineStr"/>
      <c r="AA45" t="inlineStr"/>
      <c r="AB45" t="inlineStr"/>
      <c r="AC45" t="inlineStr"/>
      <c r="AD45" t="inlineStr"/>
      <c r="AE45" t="inlineStr"/>
      <c r="AF45" t="inlineStr"/>
      <c r="AG45" t="inlineStr"/>
      <c r="AH45" t="inlineStr"/>
      <c r="AI45" t="inlineStr"/>
      <c r="AJ45" t="inlineStr"/>
      <c r="AK45" t="inlineStr"/>
      <c r="AL45" t="inlineStr"/>
      <c r="AM45" t="inlineStr"/>
      <c r="AN45" t="inlineStr"/>
      <c r="AO45" t="inlineStr"/>
      <c r="AP45" t="inlineStr"/>
      <c r="AQ45" t="inlineStr"/>
      <c r="AR45" t="inlineStr"/>
      <c r="AS45" t="inlineStr"/>
      <c r="AT45" t="inlineStr"/>
      <c r="AU45" t="inlineStr"/>
      <c r="AV45" t="inlineStr"/>
      <c r="AW45" t="inlineStr"/>
      <c r="AX45" t="inlineStr"/>
      <c r="AY45" t="inlineStr"/>
      <c r="AZ45" t="inlineStr"/>
      <c r="BA45" t="inlineStr"/>
      <c r="BB45" t="inlineStr"/>
      <c r="BC45" t="inlineStr"/>
      <c r="BD45" t="inlineStr"/>
      <c r="BE45" t="inlineStr"/>
      <c r="BF45" t="inlineStr"/>
      <c r="BG45" t="inlineStr"/>
      <c r="BH45" t="inlineStr"/>
      <c r="BI45" t="inlineStr"/>
      <c r="BJ45" t="inlineStr"/>
      <c r="BK45" t="inlineStr"/>
      <c r="BL45" t="inlineStr"/>
      <c r="BM45" t="inlineStr"/>
      <c r="BN45" t="n">
        <v>0</v>
      </c>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c r="DC45" t="inlineStr"/>
      <c r="DD45" t="inlineStr"/>
      <c r="DE45" t="inlineStr"/>
      <c r="DF45" t="inlineStr"/>
      <c r="DG45" t="inlineStr"/>
    </row>
    <row r="46">
      <c r="A46" t="inlineStr">
        <is>
          <t>III</t>
        </is>
      </c>
      <c r="B46" t="b">
        <v>1</v>
      </c>
      <c r="C46" t="inlineStr">
        <is>
          <t>x</t>
        </is>
      </c>
      <c r="D46" t="inlineStr"/>
      <c r="E46" t="inlineStr"/>
      <c r="F46">
        <f>HYPERLINK("https://portal.dnb.de/opac.htm?method=simpleSearch&amp;cqlMode=true&amp;query=idn%3D1137896108", "Portal")</f>
        <v/>
      </c>
      <c r="G46" t="inlineStr">
        <is>
          <t>Qd</t>
        </is>
      </c>
      <c r="H46" t="inlineStr">
        <is>
          <t>L-9999-414174909</t>
        </is>
      </c>
      <c r="I46" t="inlineStr">
        <is>
          <t>1137896108</t>
        </is>
      </c>
      <c r="J46" t="inlineStr">
        <is>
          <t>III 3, 17</t>
        </is>
      </c>
      <c r="K46" t="inlineStr">
        <is>
          <t>III 3, 17</t>
        </is>
      </c>
      <c r="L46" t="inlineStr">
        <is>
          <t>III 3, 17</t>
        </is>
      </c>
      <c r="M46" t="inlineStr"/>
      <c r="N46" t="inlineStr">
        <is>
          <t xml:space="preserve">Sammelband mit "Füllmaterial" : </t>
        </is>
      </c>
      <c r="O46" t="inlineStr">
        <is>
          <t xml:space="preserve"> : </t>
        </is>
      </c>
      <c r="P46" t="inlineStr">
        <is>
          <t>X</t>
        </is>
      </c>
      <c r="Q46" t="inlineStr">
        <is>
          <t>500,00 EUR</t>
        </is>
      </c>
      <c r="R46" t="inlineStr">
        <is>
          <t>Ledereinband, Schließen, erhabene Buchbeschläge</t>
        </is>
      </c>
      <c r="S46" t="inlineStr">
        <is>
          <t>bis 25 cm</t>
        </is>
      </c>
      <c r="T46" t="inlineStr">
        <is>
          <t>80° bis 110°, einseitig digitalisierbar?</t>
        </is>
      </c>
      <c r="U46" t="inlineStr">
        <is>
          <t>hohler Rücken, stark brüchiges Einbandmaterial</t>
        </is>
      </c>
      <c r="V46" t="inlineStr"/>
      <c r="W46" t="inlineStr">
        <is>
          <t>Buchschuh</t>
        </is>
      </c>
      <c r="X46" t="inlineStr">
        <is>
          <t>Nein</t>
        </is>
      </c>
      <c r="Y46" t="n">
        <v>1</v>
      </c>
      <c r="Z46" t="inlineStr"/>
      <c r="AA46" t="inlineStr"/>
      <c r="AB46" t="inlineStr"/>
      <c r="AC46" t="inlineStr"/>
      <c r="AD46" t="inlineStr"/>
      <c r="AE46" t="inlineStr"/>
      <c r="AF46" t="inlineStr"/>
      <c r="AG46" t="inlineStr"/>
      <c r="AH46" t="inlineStr"/>
      <c r="AI46" t="inlineStr">
        <is>
          <t>G</t>
        </is>
      </c>
      <c r="AJ46" t="inlineStr"/>
      <c r="AK46" t="inlineStr">
        <is>
          <t>x</t>
        </is>
      </c>
      <c r="AL46" t="inlineStr"/>
      <c r="AM46" t="inlineStr">
        <is>
          <t>h/E</t>
        </is>
      </c>
      <c r="AN46" t="inlineStr"/>
      <c r="AO46" t="inlineStr"/>
      <c r="AP46" t="inlineStr"/>
      <c r="AQ46" t="inlineStr"/>
      <c r="AR46" t="inlineStr"/>
      <c r="AS46" t="inlineStr">
        <is>
          <t>Pa</t>
        </is>
      </c>
      <c r="AT46" t="inlineStr"/>
      <c r="AU46" t="inlineStr"/>
      <c r="AV46" t="inlineStr"/>
      <c r="AW46" t="inlineStr"/>
      <c r="AX46" t="inlineStr"/>
      <c r="AY46" t="inlineStr"/>
      <c r="AZ46" t="inlineStr"/>
      <c r="BA46" t="inlineStr"/>
      <c r="BB46" t="inlineStr"/>
      <c r="BC46" t="inlineStr"/>
      <c r="BD46" t="inlineStr"/>
      <c r="BE46" t="inlineStr"/>
      <c r="BF46" t="inlineStr"/>
      <c r="BG46" t="n">
        <v>110</v>
      </c>
      <c r="BH46" t="inlineStr"/>
      <c r="BI46" t="inlineStr"/>
      <c r="BJ46" t="inlineStr"/>
      <c r="BK46" t="inlineStr"/>
      <c r="BL46" t="inlineStr"/>
      <c r="BM46" t="inlineStr">
        <is>
          <t>ja vor</t>
        </is>
      </c>
      <c r="BN46" t="n">
        <v>0.5</v>
      </c>
      <c r="BO46" t="inlineStr"/>
      <c r="BP46" t="inlineStr"/>
      <c r="BQ46" t="inlineStr"/>
      <c r="BR46" t="inlineStr">
        <is>
          <t>x</t>
        </is>
      </c>
      <c r="BS46" t="inlineStr"/>
      <c r="BT46" t="inlineStr"/>
      <c r="BU46" t="inlineStr"/>
      <c r="BV46" t="inlineStr"/>
      <c r="BW46" t="inlineStr"/>
      <c r="BX46" t="inlineStr"/>
      <c r="BY46" t="inlineStr"/>
      <c r="BZ46" t="inlineStr">
        <is>
          <t>x</t>
        </is>
      </c>
      <c r="CA46" t="inlineStr"/>
      <c r="CB46" t="inlineStr"/>
      <c r="CC46" t="inlineStr"/>
      <c r="CD46" t="inlineStr">
        <is>
          <t>v</t>
        </is>
      </c>
      <c r="CE46" t="inlineStr"/>
      <c r="CF46" t="inlineStr"/>
      <c r="CG46" t="inlineStr"/>
      <c r="CH46" t="inlineStr"/>
      <c r="CI46" t="inlineStr"/>
      <c r="CJ46" t="inlineStr"/>
      <c r="CK46" t="inlineStr"/>
      <c r="CL46" t="inlineStr"/>
      <c r="CM46" t="n">
        <v>0.5</v>
      </c>
      <c r="CN46" t="inlineStr">
        <is>
          <t>Hülse, ggf.! Gelenk mit JP überfangen</t>
        </is>
      </c>
      <c r="CO46" t="inlineStr"/>
      <c r="CP46" t="inlineStr"/>
      <c r="CQ46" t="inlineStr"/>
      <c r="CR46" t="inlineStr"/>
      <c r="CS46" t="inlineStr"/>
      <c r="CT46" t="inlineStr"/>
      <c r="CU46" t="inlineStr"/>
      <c r="CV46" t="inlineStr"/>
      <c r="CW46" t="inlineStr"/>
      <c r="CX46" t="inlineStr"/>
      <c r="CY46" t="inlineStr"/>
      <c r="CZ46" t="inlineStr"/>
      <c r="DA46" t="inlineStr"/>
      <c r="DB46" t="inlineStr"/>
      <c r="DC46" t="inlineStr"/>
      <c r="DD46" t="inlineStr"/>
      <c r="DE46" t="inlineStr"/>
      <c r="DF46" t="inlineStr"/>
      <c r="DG46" t="inlineStr"/>
    </row>
    <row r="47">
      <c r="A47" t="inlineStr">
        <is>
          <t>III</t>
        </is>
      </c>
      <c r="B47" t="b">
        <v>1</v>
      </c>
      <c r="C47" t="inlineStr"/>
      <c r="D47" t="inlineStr"/>
      <c r="E47" t="inlineStr"/>
      <c r="F47">
        <f>HYPERLINK("https://portal.dnb.de/opac.htm?method=simpleSearch&amp;cqlMode=true&amp;query=idn%3D1138380563", "Portal")</f>
        <v/>
      </c>
      <c r="G47" t="inlineStr">
        <is>
          <t>Qd</t>
        </is>
      </c>
      <c r="H47" t="inlineStr">
        <is>
          <t>L-9999-414987020</t>
        </is>
      </c>
      <c r="I47" t="inlineStr">
        <is>
          <t>1138380563</t>
        </is>
      </c>
      <c r="J47" t="inlineStr">
        <is>
          <t>III 3, 17 a</t>
        </is>
      </c>
      <c r="K47" t="inlineStr">
        <is>
          <t>III 3, 17 a</t>
        </is>
      </c>
      <c r="L47" t="inlineStr">
        <is>
          <t>III 3, 17 a</t>
        </is>
      </c>
      <c r="M47" t="inlineStr"/>
      <c r="N47" t="inlineStr">
        <is>
          <t xml:space="preserve">Sammelband mit "Füllmaterial" : </t>
        </is>
      </c>
      <c r="O47" t="inlineStr">
        <is>
          <t xml:space="preserve"> : </t>
        </is>
      </c>
      <c r="P47" t="inlineStr"/>
      <c r="Q47" t="inlineStr"/>
      <c r="R47" t="inlineStr"/>
      <c r="S47" t="inlineStr"/>
      <c r="T47" t="inlineStr"/>
      <c r="U47" t="inlineStr"/>
      <c r="V47" t="inlineStr"/>
      <c r="W47" t="inlineStr"/>
      <c r="X47" t="inlineStr"/>
      <c r="Y47" t="inlineStr"/>
      <c r="Z47" t="inlineStr"/>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c r="AT47" t="inlineStr"/>
      <c r="AU47" t="inlineStr"/>
      <c r="AV47" t="inlineStr"/>
      <c r="AW47" t="inlineStr"/>
      <c r="AX47" t="inlineStr"/>
      <c r="AY47" t="inlineStr"/>
      <c r="AZ47" t="inlineStr"/>
      <c r="BA47" t="inlineStr"/>
      <c r="BB47" t="inlineStr"/>
      <c r="BC47" t="inlineStr"/>
      <c r="BD47" t="inlineStr"/>
      <c r="BE47" t="inlineStr"/>
      <c r="BF47" t="inlineStr"/>
      <c r="BG47" t="inlineStr"/>
      <c r="BH47" t="inlineStr"/>
      <c r="BI47" t="inlineStr"/>
      <c r="BJ47" t="inlineStr"/>
      <c r="BK47" t="inlineStr"/>
      <c r="BL47" t="inlineStr"/>
      <c r="BM47" t="inlineStr"/>
      <c r="BN47" t="n">
        <v>0</v>
      </c>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c r="DC47" t="inlineStr"/>
      <c r="DD47" t="inlineStr"/>
      <c r="DE47" t="inlineStr"/>
      <c r="DF47" t="inlineStr"/>
      <c r="DG47" t="inlineStr"/>
    </row>
    <row r="48">
      <c r="A48" t="inlineStr">
        <is>
          <t>III</t>
        </is>
      </c>
      <c r="B48" t="b">
        <v>1</v>
      </c>
      <c r="C48" t="inlineStr"/>
      <c r="D48" t="inlineStr"/>
      <c r="E48" t="n">
        <v>63</v>
      </c>
      <c r="F48">
        <f>HYPERLINK("https://portal.dnb.de/opac.htm?method=simpleSearch&amp;cqlMode=true&amp;query=idn%3D998923478", "Portal")</f>
        <v/>
      </c>
      <c r="G48" t="inlineStr">
        <is>
          <t>Aal</t>
        </is>
      </c>
      <c r="H48" t="inlineStr">
        <is>
          <t>L-1524-167207652</t>
        </is>
      </c>
      <c r="I48" t="inlineStr">
        <is>
          <t>998923478</t>
        </is>
      </c>
      <c r="J48" t="inlineStr">
        <is>
          <t>III 3, 17b</t>
        </is>
      </c>
      <c r="K48" t="inlineStr">
        <is>
          <t>III 3, 17b</t>
        </is>
      </c>
      <c r="L48" t="inlineStr">
        <is>
          <t>III 3, 17 b</t>
        </is>
      </c>
      <c r="M48" t="inlineStr"/>
      <c r="N48" t="inlineStr">
        <is>
          <t xml:space="preserve">Ain @Sermon von|| der frucht vnnd nutz=||barkait des hay=||ligen Sacra||ments.|| : </t>
        </is>
      </c>
      <c r="O48" t="inlineStr">
        <is>
          <t xml:space="preserve"> : </t>
        </is>
      </c>
      <c r="P48" t="inlineStr">
        <is>
          <t>X</t>
        </is>
      </c>
      <c r="Q48" t="inlineStr"/>
      <c r="R48" t="inlineStr">
        <is>
          <t>Halbledereinband</t>
        </is>
      </c>
      <c r="S48" t="inlineStr">
        <is>
          <t>bis 25 cm</t>
        </is>
      </c>
      <c r="T48" t="inlineStr">
        <is>
          <t>180°</t>
        </is>
      </c>
      <c r="U48" t="inlineStr">
        <is>
          <t>fester Rücken mit Schmuckprägung</t>
        </is>
      </c>
      <c r="V48" t="inlineStr"/>
      <c r="W48" t="inlineStr"/>
      <c r="X48" t="inlineStr"/>
      <c r="Y48" t="n">
        <v>2</v>
      </c>
      <c r="Z48" t="inlineStr"/>
      <c r="AA48" t="inlineStr"/>
      <c r="AB48" t="inlineStr"/>
      <c r="AC48" t="inlineStr"/>
      <c r="AD48" t="inlineStr"/>
      <c r="AE48" t="inlineStr"/>
      <c r="AF48" t="inlineStr"/>
      <c r="AG48" t="inlineStr"/>
      <c r="AH48" t="inlineStr"/>
      <c r="AI48" t="inlineStr"/>
      <c r="AJ48" t="inlineStr"/>
      <c r="AK48" t="inlineStr"/>
      <c r="AL48" t="inlineStr"/>
      <c r="AM48" t="inlineStr"/>
      <c r="AN48" t="inlineStr"/>
      <c r="AO48" t="inlineStr"/>
      <c r="AP48" t="inlineStr"/>
      <c r="AQ48" t="inlineStr"/>
      <c r="AR48" t="inlineStr"/>
      <c r="AS48" t="inlineStr"/>
      <c r="AT48" t="inlineStr"/>
      <c r="AU48" t="inlineStr"/>
      <c r="AV48" t="inlineStr"/>
      <c r="AW48" t="inlineStr"/>
      <c r="AX48" t="inlineStr"/>
      <c r="AY48" t="inlineStr"/>
      <c r="AZ48" t="inlineStr"/>
      <c r="BA48" t="inlineStr"/>
      <c r="BB48" t="inlineStr"/>
      <c r="BC48" t="inlineStr"/>
      <c r="BD48" t="inlineStr"/>
      <c r="BE48" t="inlineStr"/>
      <c r="BF48" t="inlineStr"/>
      <c r="BG48" t="inlineStr"/>
      <c r="BH48" t="inlineStr"/>
      <c r="BI48" t="inlineStr"/>
      <c r="BJ48" t="inlineStr"/>
      <c r="BK48" t="inlineStr"/>
      <c r="BL48" t="inlineStr"/>
      <c r="BM48" t="inlineStr"/>
      <c r="BN48" t="n">
        <v>0</v>
      </c>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c r="DC48" t="inlineStr"/>
      <c r="DD48" t="inlineStr"/>
      <c r="DE48" t="inlineStr"/>
      <c r="DF48" t="inlineStr"/>
      <c r="DG48" t="inlineStr"/>
    </row>
    <row r="49">
      <c r="A49" t="inlineStr">
        <is>
          <t>III</t>
        </is>
      </c>
      <c r="B49" t="b">
        <v>1</v>
      </c>
      <c r="C49" t="inlineStr">
        <is>
          <t>x</t>
        </is>
      </c>
      <c r="D49" t="inlineStr"/>
      <c r="E49" t="inlineStr"/>
      <c r="F49">
        <f>HYPERLINK("https://portal.dnb.de/opac.htm?method=simpleSearch&amp;cqlMode=true&amp;query=idn%3D1138061182", "Portal")</f>
        <v/>
      </c>
      <c r="G49" t="inlineStr">
        <is>
          <t>Qd</t>
        </is>
      </c>
      <c r="H49" t="inlineStr">
        <is>
          <t>L-9999-414378776</t>
        </is>
      </c>
      <c r="I49" t="inlineStr">
        <is>
          <t>1138061182</t>
        </is>
      </c>
      <c r="J49" t="inlineStr">
        <is>
          <t>III 3, 18</t>
        </is>
      </c>
      <c r="K49" t="inlineStr">
        <is>
          <t>III 3, 18</t>
        </is>
      </c>
      <c r="L49" t="inlineStr">
        <is>
          <t>III 3, 18</t>
        </is>
      </c>
      <c r="M49" t="inlineStr"/>
      <c r="N49" t="inlineStr">
        <is>
          <t xml:space="preserve">Sammelband : </t>
        </is>
      </c>
      <c r="O49" t="inlineStr">
        <is>
          <t xml:space="preserve"> : </t>
        </is>
      </c>
      <c r="P49" t="inlineStr"/>
      <c r="Q49" t="inlineStr">
        <is>
          <t>2400,00 EUR</t>
        </is>
      </c>
      <c r="R49" t="inlineStr"/>
      <c r="S49" t="inlineStr">
        <is>
          <t>bis 35 cm</t>
        </is>
      </c>
      <c r="T49" t="inlineStr"/>
      <c r="U49" t="inlineStr"/>
      <c r="V49" t="inlineStr"/>
      <c r="W49" t="inlineStr"/>
      <c r="X49" t="inlineStr"/>
      <c r="Y49" t="inlineStr"/>
      <c r="Z49" t="inlineStr"/>
      <c r="AA49" t="inlineStr"/>
      <c r="AB49" t="inlineStr"/>
      <c r="AC49" t="inlineStr"/>
      <c r="AD49" t="inlineStr"/>
      <c r="AE49" t="inlineStr"/>
      <c r="AF49" t="inlineStr"/>
      <c r="AG49" t="inlineStr"/>
      <c r="AH49" t="inlineStr"/>
      <c r="AI49" t="inlineStr">
        <is>
          <t>L</t>
        </is>
      </c>
      <c r="AJ49" t="inlineStr"/>
      <c r="AK49" t="inlineStr"/>
      <c r="AL49" t="inlineStr"/>
      <c r="AM49" t="inlineStr">
        <is>
          <t>f/V</t>
        </is>
      </c>
      <c r="AN49" t="inlineStr"/>
      <c r="AO49" t="inlineStr"/>
      <c r="AP49" t="inlineStr"/>
      <c r="AQ49" t="inlineStr"/>
      <c r="AR49" t="inlineStr"/>
      <c r="AS49" t="inlineStr">
        <is>
          <t>Pa</t>
        </is>
      </c>
      <c r="AT49" t="inlineStr"/>
      <c r="AU49" t="inlineStr"/>
      <c r="AV49" t="inlineStr"/>
      <c r="AW49" t="inlineStr"/>
      <c r="AX49" t="inlineStr"/>
      <c r="AY49" t="inlineStr"/>
      <c r="AZ49" t="inlineStr"/>
      <c r="BA49" t="inlineStr"/>
      <c r="BB49" t="inlineStr"/>
      <c r="BC49" t="inlineStr"/>
      <c r="BD49" t="inlineStr"/>
      <c r="BE49" t="inlineStr"/>
      <c r="BF49" t="inlineStr"/>
      <c r="BG49" t="n">
        <v>110</v>
      </c>
      <c r="BH49" t="inlineStr"/>
      <c r="BI49" t="inlineStr"/>
      <c r="BJ49" t="inlineStr"/>
      <c r="BK49" t="inlineStr"/>
      <c r="BL49" t="inlineStr"/>
      <c r="BM49" t="inlineStr">
        <is>
          <t>ja vor</t>
        </is>
      </c>
      <c r="BN49" t="n">
        <v>2</v>
      </c>
      <c r="BO49" t="inlineStr"/>
      <c r="BP49" t="inlineStr"/>
      <c r="BQ49" t="inlineStr"/>
      <c r="BR49" t="inlineStr"/>
      <c r="BS49" t="inlineStr"/>
      <c r="BT49" t="inlineStr"/>
      <c r="BU49" t="inlineStr"/>
      <c r="BV49" t="inlineStr"/>
      <c r="BW49" t="inlineStr"/>
      <c r="BX49" t="inlineStr"/>
      <c r="BY49" t="inlineStr"/>
      <c r="BZ49" t="inlineStr">
        <is>
          <t>x</t>
        </is>
      </c>
      <c r="CA49" t="inlineStr">
        <is>
          <t>x</t>
        </is>
      </c>
      <c r="CB49" t="inlineStr">
        <is>
          <t>x</t>
        </is>
      </c>
      <c r="CC49" t="inlineStr"/>
      <c r="CD49" t="inlineStr">
        <is>
          <t>v</t>
        </is>
      </c>
      <c r="CE49" t="inlineStr"/>
      <c r="CF49" t="inlineStr"/>
      <c r="CG49" t="inlineStr"/>
      <c r="CH49" t="inlineStr"/>
      <c r="CI49" t="inlineStr"/>
      <c r="CJ49" t="inlineStr"/>
      <c r="CK49" t="inlineStr"/>
      <c r="CL49" t="inlineStr"/>
      <c r="CM49" t="n">
        <v>2</v>
      </c>
      <c r="CN49" t="inlineStr">
        <is>
          <t>Gelenk mit JP unterlegen</t>
        </is>
      </c>
      <c r="CO49" t="inlineStr"/>
      <c r="CP49" t="inlineStr"/>
      <c r="CQ49" t="inlineStr"/>
      <c r="CR49" t="inlineStr"/>
      <c r="CS49" t="inlineStr"/>
      <c r="CT49" t="inlineStr"/>
      <c r="CU49" t="inlineStr"/>
      <c r="CV49" t="inlineStr"/>
      <c r="CW49" t="inlineStr"/>
      <c r="CX49" t="inlineStr"/>
      <c r="CY49" t="inlineStr"/>
      <c r="CZ49" t="inlineStr"/>
      <c r="DA49" t="inlineStr"/>
      <c r="DB49" t="inlineStr"/>
      <c r="DC49" t="inlineStr"/>
      <c r="DD49" t="inlineStr"/>
      <c r="DE49" t="inlineStr"/>
      <c r="DF49" t="inlineStr"/>
      <c r="DG49" t="inlineStr"/>
    </row>
    <row r="50">
      <c r="A50" t="inlineStr">
        <is>
          <t>III</t>
        </is>
      </c>
      <c r="B50" t="b">
        <v>1</v>
      </c>
      <c r="C50" t="inlineStr"/>
      <c r="D50" t="inlineStr"/>
      <c r="E50" t="n">
        <v>65</v>
      </c>
      <c r="F50">
        <f>HYPERLINK("https://portal.dnb.de/opac.htm?method=simpleSearch&amp;cqlMode=true&amp;query=idn%3D1002988691", "Portal")</f>
        <v/>
      </c>
      <c r="G50" t="inlineStr">
        <is>
          <t>Aal</t>
        </is>
      </c>
      <c r="H50" t="inlineStr">
        <is>
          <t>L-1525-178547425</t>
        </is>
      </c>
      <c r="I50" t="inlineStr">
        <is>
          <t>1002988691</t>
        </is>
      </c>
      <c r="J50" t="inlineStr">
        <is>
          <t>III 3, 18a</t>
        </is>
      </c>
      <c r="K50" t="inlineStr">
        <is>
          <t>III 3, 18a</t>
        </is>
      </c>
      <c r="L50" t="inlineStr">
        <is>
          <t>III 3, 18 a</t>
        </is>
      </c>
      <c r="M50" t="inlineStr"/>
      <c r="N50" t="inlineStr">
        <is>
          <t>Vonn entlichenn Klagenn, die der|| Allmechtig Got thut durch sey||ne knecht die weissagenn yetz|| in disen zeytten wol zu|| behertzigenn 2c:|| Ysaias.</t>
        </is>
      </c>
      <c r="O50" t="inlineStr">
        <is>
          <t xml:space="preserve"> : </t>
        </is>
      </c>
      <c r="P50" t="inlineStr"/>
      <c r="Q50" t="inlineStr"/>
      <c r="R50" t="inlineStr">
        <is>
          <t>Broschur, Halbpergamentband</t>
        </is>
      </c>
      <c r="S50" t="inlineStr">
        <is>
          <t>bis 25 cm</t>
        </is>
      </c>
      <c r="T50" t="inlineStr">
        <is>
          <t>180°</t>
        </is>
      </c>
      <c r="U50" t="inlineStr"/>
      <c r="V50" t="inlineStr"/>
      <c r="W50" t="inlineStr"/>
      <c r="X50" t="inlineStr"/>
      <c r="Y50" t="n">
        <v>1</v>
      </c>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inlineStr"/>
      <c r="BI50" t="inlineStr"/>
      <c r="BJ50" t="inlineStr"/>
      <c r="BK50" t="inlineStr"/>
      <c r="BL50" t="inlineStr"/>
      <c r="BM50" t="inlineStr"/>
      <c r="BN50" t="n">
        <v>0</v>
      </c>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c r="DC50" t="inlineStr"/>
      <c r="DD50" t="inlineStr"/>
      <c r="DE50" t="inlineStr"/>
      <c r="DF50" t="inlineStr"/>
      <c r="DG50" t="inlineStr"/>
    </row>
    <row r="51">
      <c r="A51" t="inlineStr">
        <is>
          <t>III</t>
        </is>
      </c>
      <c r="B51" t="b">
        <v>0</v>
      </c>
      <c r="C51" t="inlineStr">
        <is>
          <t>x</t>
        </is>
      </c>
      <c r="D51" t="inlineStr"/>
      <c r="E51" t="n">
        <v>26</v>
      </c>
      <c r="F51">
        <f>HYPERLINK("https://portal.dnb.de/opac.htm?method=simpleSearch&amp;cqlMode=true&amp;query=idn%3D1066941688", "Portal")</f>
        <v/>
      </c>
      <c r="G51" t="inlineStr"/>
      <c r="H51" t="inlineStr">
        <is>
          <t>L-1531-315469331</t>
        </is>
      </c>
      <c r="I51" t="inlineStr">
        <is>
          <t>1066941688</t>
        </is>
      </c>
      <c r="J51" t="inlineStr"/>
      <c r="K51" t="inlineStr"/>
      <c r="L51" t="inlineStr">
        <is>
          <t>III 3, 19</t>
        </is>
      </c>
      <c r="M51" t="inlineStr"/>
      <c r="N51" t="inlineStr"/>
      <c r="O51" t="inlineStr"/>
      <c r="P51" t="inlineStr"/>
      <c r="Q51" t="inlineStr"/>
      <c r="R51" t="inlineStr"/>
      <c r="S51" t="inlineStr">
        <is>
          <t>bis 35 cm</t>
        </is>
      </c>
      <c r="T51" t="inlineStr"/>
      <c r="U51" t="inlineStr"/>
      <c r="V51" t="inlineStr"/>
      <c r="W51" t="inlineStr"/>
      <c r="X51" t="inlineStr"/>
      <c r="Y51" t="inlineStr"/>
      <c r="Z51" t="inlineStr"/>
      <c r="AA51" t="inlineStr"/>
      <c r="AB51" t="inlineStr"/>
      <c r="AC51" t="inlineStr"/>
      <c r="AD51" t="inlineStr"/>
      <c r="AE51" t="inlineStr"/>
      <c r="AF51" t="inlineStr"/>
      <c r="AG51" t="inlineStr"/>
      <c r="AH51" t="inlineStr"/>
      <c r="AI51" t="inlineStr">
        <is>
          <t>L</t>
        </is>
      </c>
      <c r="AJ51" t="inlineStr"/>
      <c r="AK51" t="inlineStr">
        <is>
          <t>x</t>
        </is>
      </c>
      <c r="AL51" t="inlineStr"/>
      <c r="AM51" t="inlineStr">
        <is>
          <t>f/V</t>
        </is>
      </c>
      <c r="AN51" t="inlineStr"/>
      <c r="AO51" t="inlineStr"/>
      <c r="AP51" t="inlineStr"/>
      <c r="AQ51" t="inlineStr"/>
      <c r="AR51" t="inlineStr"/>
      <c r="AS51" t="inlineStr">
        <is>
          <t>Pa</t>
        </is>
      </c>
      <c r="AT51" t="inlineStr"/>
      <c r="AU51" t="inlineStr"/>
      <c r="AV51" t="inlineStr"/>
      <c r="AW51" t="inlineStr"/>
      <c r="AX51" t="inlineStr"/>
      <c r="AY51" t="inlineStr"/>
      <c r="AZ51" t="inlineStr"/>
      <c r="BA51" t="inlineStr"/>
      <c r="BB51" t="inlineStr"/>
      <c r="BC51" t="inlineStr"/>
      <c r="BD51" t="inlineStr"/>
      <c r="BE51" t="inlineStr"/>
      <c r="BF51" t="inlineStr"/>
      <c r="BG51" t="n">
        <v>110</v>
      </c>
      <c r="BH51" t="inlineStr"/>
      <c r="BI51" t="inlineStr"/>
      <c r="BJ51" t="inlineStr"/>
      <c r="BK51" t="inlineStr"/>
      <c r="BL51" t="inlineStr"/>
      <c r="BM51" t="inlineStr">
        <is>
          <t>ja vor</t>
        </is>
      </c>
      <c r="BN51" t="n">
        <v>0.5</v>
      </c>
      <c r="BO51" t="inlineStr"/>
      <c r="BP51" t="inlineStr"/>
      <c r="BQ51" t="inlineStr"/>
      <c r="BR51" t="inlineStr">
        <is>
          <t>x</t>
        </is>
      </c>
      <c r="BS51" t="inlineStr"/>
      <c r="BT51" t="inlineStr"/>
      <c r="BU51" t="inlineStr"/>
      <c r="BV51" t="inlineStr"/>
      <c r="BW51" t="inlineStr"/>
      <c r="BX51" t="inlineStr"/>
      <c r="BY51" t="inlineStr"/>
      <c r="BZ51" t="inlineStr">
        <is>
          <t>x</t>
        </is>
      </c>
      <c r="CA51" t="inlineStr">
        <is>
          <t>x</t>
        </is>
      </c>
      <c r="CB51" t="inlineStr">
        <is>
          <t>x</t>
        </is>
      </c>
      <c r="CC51" t="inlineStr"/>
      <c r="CD51" t="inlineStr"/>
      <c r="CE51" t="inlineStr"/>
      <c r="CF51" t="inlineStr"/>
      <c r="CG51" t="inlineStr"/>
      <c r="CH51" t="inlineStr"/>
      <c r="CI51" t="inlineStr"/>
      <c r="CJ51" t="inlineStr"/>
      <c r="CK51" t="inlineStr"/>
      <c r="CL51" t="inlineStr"/>
      <c r="CM51" t="n">
        <v>0.5</v>
      </c>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row>
    <row r="52">
      <c r="A52" t="inlineStr">
        <is>
          <t>III</t>
        </is>
      </c>
      <c r="B52" t="b">
        <v>1</v>
      </c>
      <c r="C52" t="inlineStr"/>
      <c r="D52" t="inlineStr"/>
      <c r="E52" t="inlineStr"/>
      <c r="F52">
        <f>HYPERLINK("https://portal.dnb.de/opac.htm?method=simpleSearch&amp;cqlMode=true&amp;query=idn%3D1066937036", "Portal")</f>
        <v/>
      </c>
      <c r="G52" t="inlineStr">
        <is>
          <t>Aaf</t>
        </is>
      </c>
      <c r="H52" t="inlineStr">
        <is>
          <t>L-1535-315464844</t>
        </is>
      </c>
      <c r="I52" t="inlineStr">
        <is>
          <t>1066937036</t>
        </is>
      </c>
      <c r="J52" t="inlineStr">
        <is>
          <t>III 3, 20</t>
        </is>
      </c>
      <c r="K52" t="inlineStr">
        <is>
          <t>III 3, 20</t>
        </is>
      </c>
      <c r="L52" t="inlineStr">
        <is>
          <t>III 3, 20</t>
        </is>
      </c>
      <c r="M52" t="inlineStr"/>
      <c r="N52" t="inlineStr">
        <is>
          <t>SPiegel der waren|| Rhetoric/ auß Marco Tullio Cice=||rone: vnd andern geteütscht/ Mit jren|| glidern kluger reden/ Sandtbrieffen vnd Formen mancher C</t>
        </is>
      </c>
      <c r="O52" t="inlineStr">
        <is>
          <t xml:space="preserve"> : </t>
        </is>
      </c>
      <c r="P52" t="inlineStr">
        <is>
          <t>X</t>
        </is>
      </c>
      <c r="Q52" t="inlineStr"/>
      <c r="R52" t="inlineStr">
        <is>
          <t>Papier- oder Pappeinband, Schließen, erhabene Buchbeschläge</t>
        </is>
      </c>
      <c r="S52" t="inlineStr">
        <is>
          <t>bis 35 cm</t>
        </is>
      </c>
      <c r="T52" t="inlineStr">
        <is>
          <t>180°</t>
        </is>
      </c>
      <c r="U52" t="inlineStr">
        <is>
          <t>hohler Rücken</t>
        </is>
      </c>
      <c r="V52" t="inlineStr"/>
      <c r="W52" t="inlineStr">
        <is>
          <t>Buchschuh</t>
        </is>
      </c>
      <c r="X52" t="inlineStr">
        <is>
          <t>Nein</t>
        </is>
      </c>
      <c r="Y52" t="n">
        <v>2</v>
      </c>
      <c r="Z52" t="inlineStr"/>
      <c r="AA52" t="inlineStr"/>
      <c r="AB52" t="inlineStr"/>
      <c r="AC52" t="inlineStr"/>
      <c r="AD52" t="inlineStr"/>
      <c r="AE52" t="inlineStr"/>
      <c r="AF52" t="inlineStr"/>
      <c r="AG52" t="inlineStr"/>
      <c r="AH52" t="inlineStr"/>
      <c r="AI52" t="inlineStr">
        <is>
          <t>Pa</t>
        </is>
      </c>
      <c r="AJ52" t="inlineStr"/>
      <c r="AK52" t="inlineStr">
        <is>
          <t>x</t>
        </is>
      </c>
      <c r="AL52" t="inlineStr"/>
      <c r="AM52" t="inlineStr">
        <is>
          <t>h/E</t>
        </is>
      </c>
      <c r="AN52" t="inlineStr"/>
      <c r="AO52" t="inlineStr"/>
      <c r="AP52" t="inlineStr"/>
      <c r="AQ52" t="inlineStr"/>
      <c r="AR52" t="inlineStr"/>
      <c r="AS52" t="inlineStr">
        <is>
          <t>Pa</t>
        </is>
      </c>
      <c r="AT52" t="inlineStr"/>
      <c r="AU52" t="inlineStr"/>
      <c r="AV52" t="inlineStr"/>
      <c r="AW52" t="inlineStr"/>
      <c r="AX52" t="inlineStr"/>
      <c r="AY52" t="inlineStr"/>
      <c r="AZ52" t="inlineStr"/>
      <c r="BA52" t="inlineStr"/>
      <c r="BB52" t="inlineStr"/>
      <c r="BC52" t="inlineStr"/>
      <c r="BD52" t="inlineStr"/>
      <c r="BE52" t="inlineStr"/>
      <c r="BF52" t="inlineStr"/>
      <c r="BG52" t="n">
        <v>110</v>
      </c>
      <c r="BH52" t="inlineStr"/>
      <c r="BI52" t="inlineStr"/>
      <c r="BJ52" t="inlineStr"/>
      <c r="BK52" t="inlineStr"/>
      <c r="BL52" t="inlineStr"/>
      <c r="BM52" t="inlineStr">
        <is>
          <t>n</t>
        </is>
      </c>
      <c r="BN52" t="n">
        <v>0</v>
      </c>
      <c r="BO52" t="inlineStr"/>
      <c r="BP52" t="inlineStr"/>
      <c r="BQ52" t="inlineStr"/>
      <c r="BR52" t="inlineStr">
        <is>
          <t>x</t>
        </is>
      </c>
      <c r="BS52" t="inlineStr"/>
      <c r="BT52" t="inlineStr"/>
      <c r="BU52" t="inlineStr"/>
      <c r="BV52" t="inlineStr">
        <is>
          <t>Schaden stabil</t>
        </is>
      </c>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row>
    <row r="53">
      <c r="A53" t="inlineStr">
        <is>
          <t>III</t>
        </is>
      </c>
      <c r="B53" t="b">
        <v>1</v>
      </c>
      <c r="C53" t="inlineStr">
        <is>
          <t>x</t>
        </is>
      </c>
      <c r="D53" t="inlineStr"/>
      <c r="E53" t="n">
        <v>28</v>
      </c>
      <c r="F53">
        <f>HYPERLINK("https://portal.dnb.de/opac.htm?method=simpleSearch&amp;cqlMode=true&amp;query=idn%3D106694248X", "Portal")</f>
        <v/>
      </c>
      <c r="G53" t="inlineStr">
        <is>
          <t>Aaf</t>
        </is>
      </c>
      <c r="H53" t="inlineStr">
        <is>
          <t>L-1535-315470097</t>
        </is>
      </c>
      <c r="I53" t="inlineStr">
        <is>
          <t>106694248X</t>
        </is>
      </c>
      <c r="J53" t="inlineStr">
        <is>
          <t>III 3, 21</t>
        </is>
      </c>
      <c r="K53" t="inlineStr">
        <is>
          <t>III 3, 21</t>
        </is>
      </c>
      <c r="L53" t="inlineStr">
        <is>
          <t>III 3, 21</t>
        </is>
      </c>
      <c r="M53" t="inlineStr"/>
      <c r="N53" t="inlineStr">
        <is>
          <t>HErodotus der aller|| hochber#[ue]mptest Griechische geschicht=||schreyber/ von dem Persier/ vnd vilen andern krie=||gen vnd geschichten/ #[et]c. Durc</t>
        </is>
      </c>
      <c r="O53" t="inlineStr">
        <is>
          <t xml:space="preserve"> : </t>
        </is>
      </c>
      <c r="P53" t="inlineStr">
        <is>
          <t>X</t>
        </is>
      </c>
      <c r="Q53" t="inlineStr"/>
      <c r="R53" t="inlineStr">
        <is>
          <t>Papier- oder Pappeinband, Schließen, erhabene Buchbeschläge</t>
        </is>
      </c>
      <c r="S53" t="inlineStr">
        <is>
          <t>bis 35 cm</t>
        </is>
      </c>
      <c r="T53" t="inlineStr">
        <is>
          <t>180°</t>
        </is>
      </c>
      <c r="U53" t="inlineStr">
        <is>
          <t>hohler Rücken</t>
        </is>
      </c>
      <c r="V53" t="inlineStr"/>
      <c r="W53" t="inlineStr">
        <is>
          <t>Buchschuh</t>
        </is>
      </c>
      <c r="X53" t="inlineStr">
        <is>
          <t>Nein</t>
        </is>
      </c>
      <c r="Y53" t="n">
        <v>2</v>
      </c>
      <c r="Z53" t="inlineStr"/>
      <c r="AA53" t="inlineStr"/>
      <c r="AB53" t="inlineStr"/>
      <c r="AC53" t="inlineStr"/>
      <c r="AD53" t="inlineStr"/>
      <c r="AE53" t="inlineStr"/>
      <c r="AF53" t="inlineStr"/>
      <c r="AG53" t="inlineStr"/>
      <c r="AH53" t="inlineStr"/>
      <c r="AI53" t="inlineStr">
        <is>
          <t>Pa</t>
        </is>
      </c>
      <c r="AJ53" t="inlineStr"/>
      <c r="AK53" t="inlineStr">
        <is>
          <t>x</t>
        </is>
      </c>
      <c r="AL53" t="inlineStr"/>
      <c r="AM53" t="inlineStr">
        <is>
          <t>h/E</t>
        </is>
      </c>
      <c r="AN53" t="inlineStr"/>
      <c r="AO53" t="inlineStr"/>
      <c r="AP53" t="inlineStr"/>
      <c r="AQ53" t="inlineStr"/>
      <c r="AR53" t="inlineStr"/>
      <c r="AS53" t="inlineStr">
        <is>
          <t>Pa</t>
        </is>
      </c>
      <c r="AT53" t="inlineStr"/>
      <c r="AU53" t="inlineStr"/>
      <c r="AV53" t="inlineStr"/>
      <c r="AW53" t="inlineStr"/>
      <c r="AX53" t="inlineStr"/>
      <c r="AY53" t="inlineStr"/>
      <c r="AZ53" t="inlineStr"/>
      <c r="BA53" t="inlineStr"/>
      <c r="BB53" t="inlineStr"/>
      <c r="BC53" t="inlineStr"/>
      <c r="BD53" t="inlineStr"/>
      <c r="BE53" t="inlineStr"/>
      <c r="BF53" t="inlineStr"/>
      <c r="BG53" t="n">
        <v>110</v>
      </c>
      <c r="BH53" t="inlineStr"/>
      <c r="BI53" t="inlineStr"/>
      <c r="BJ53" t="inlineStr"/>
      <c r="BK53" t="inlineStr"/>
      <c r="BL53" t="inlineStr"/>
      <c r="BM53" t="inlineStr">
        <is>
          <t>ja vor</t>
        </is>
      </c>
      <c r="BN53" t="n">
        <v>1.5</v>
      </c>
      <c r="BO53" t="inlineStr"/>
      <c r="BP53" t="inlineStr"/>
      <c r="BQ53" t="inlineStr"/>
      <c r="BR53" t="inlineStr">
        <is>
          <t>x</t>
        </is>
      </c>
      <c r="BS53" t="inlineStr"/>
      <c r="BT53" t="inlineStr"/>
      <c r="BU53" t="inlineStr"/>
      <c r="BV53" t="inlineStr"/>
      <c r="BW53" t="inlineStr"/>
      <c r="BX53" t="inlineStr"/>
      <c r="BY53" t="inlineStr"/>
      <c r="BZ53" t="inlineStr">
        <is>
          <t>x</t>
        </is>
      </c>
      <c r="CA53" t="inlineStr"/>
      <c r="CB53" t="inlineStr">
        <is>
          <t>x</t>
        </is>
      </c>
      <c r="CC53" t="inlineStr"/>
      <c r="CD53" t="inlineStr"/>
      <c r="CE53" t="inlineStr"/>
      <c r="CF53" t="inlineStr"/>
      <c r="CG53" t="inlineStr"/>
      <c r="CH53" t="inlineStr"/>
      <c r="CI53" t="inlineStr"/>
      <c r="CJ53" t="inlineStr"/>
      <c r="CK53" t="inlineStr"/>
      <c r="CL53" t="inlineStr"/>
      <c r="CM53" t="n">
        <v>1.5</v>
      </c>
      <c r="CN53" t="inlineStr">
        <is>
          <t>v.a. Rücken am Kopf, ggf. Ecke hinten unten; Rest ist stabil genug</t>
        </is>
      </c>
      <c r="CO53" t="inlineStr"/>
      <c r="CP53" t="inlineStr"/>
      <c r="CQ53" t="inlineStr"/>
      <c r="CR53" t="inlineStr"/>
      <c r="CS53" t="inlineStr"/>
      <c r="CT53" t="inlineStr"/>
      <c r="CU53" t="inlineStr"/>
      <c r="CV53" t="inlineStr"/>
      <c r="CW53" t="inlineStr"/>
      <c r="CX53" t="inlineStr"/>
      <c r="CY53" t="inlineStr"/>
      <c r="CZ53" t="inlineStr"/>
      <c r="DA53" t="inlineStr"/>
      <c r="DB53" t="inlineStr"/>
      <c r="DC53" t="inlineStr"/>
      <c r="DD53" t="inlineStr"/>
      <c r="DE53" t="inlineStr"/>
      <c r="DF53" t="inlineStr"/>
      <c r="DG53" t="inlineStr"/>
    </row>
    <row r="54">
      <c r="A54" t="inlineStr">
        <is>
          <t>III</t>
        </is>
      </c>
      <c r="B54" t="b">
        <v>1</v>
      </c>
      <c r="C54" t="inlineStr"/>
      <c r="D54" t="inlineStr"/>
      <c r="E54" t="n">
        <v>29</v>
      </c>
      <c r="F54">
        <f>HYPERLINK("https://portal.dnb.de/opac.htm?method=simpleSearch&amp;cqlMode=true&amp;query=idn%3D1066858500", "Portal")</f>
        <v/>
      </c>
      <c r="G54" t="inlineStr">
        <is>
          <t>Aaf</t>
        </is>
      </c>
      <c r="H54" t="inlineStr">
        <is>
          <t>L-1535-315317280</t>
        </is>
      </c>
      <c r="I54" t="inlineStr">
        <is>
          <t>1066858500</t>
        </is>
      </c>
      <c r="J54" t="inlineStr">
        <is>
          <t>III 3, 22</t>
        </is>
      </c>
      <c r="K54" t="inlineStr">
        <is>
          <t>III 3, 22</t>
        </is>
      </c>
      <c r="L54" t="inlineStr">
        <is>
          <t>III 3, 22</t>
        </is>
      </c>
      <c r="M54" t="inlineStr"/>
      <c r="N54" t="inlineStr">
        <is>
          <t xml:space="preserve">Officia M.T.C.|| AJn Bůch|| So Marcus Tullius|| Cicero ...|| inn Latein geschriben|| Wölchs : </t>
        </is>
      </c>
      <c r="O54" t="inlineStr">
        <is>
          <t xml:space="preserve"> : </t>
        </is>
      </c>
      <c r="P54" t="inlineStr"/>
      <c r="Q54" t="inlineStr"/>
      <c r="R54" t="inlineStr"/>
      <c r="S54" t="inlineStr">
        <is>
          <t>bis 35 cm</t>
        </is>
      </c>
      <c r="T54" t="inlineStr"/>
      <c r="U54" t="inlineStr"/>
      <c r="V54" t="inlineStr"/>
      <c r="W54" t="inlineStr"/>
      <c r="X54" t="inlineStr"/>
      <c r="Y54" t="inlineStr"/>
      <c r="Z54" t="inlineStr"/>
      <c r="AA54" t="inlineStr"/>
      <c r="AB54" t="inlineStr"/>
      <c r="AC54" t="inlineStr"/>
      <c r="AD54" t="inlineStr"/>
      <c r="AE54" t="inlineStr"/>
      <c r="AF54" t="inlineStr"/>
      <c r="AG54" t="inlineStr"/>
      <c r="AH54" t="inlineStr"/>
      <c r="AI54" t="inlineStr">
        <is>
          <t>HL</t>
        </is>
      </c>
      <c r="AJ54" t="inlineStr"/>
      <c r="AK54" t="inlineStr">
        <is>
          <t>x</t>
        </is>
      </c>
      <c r="AL54" t="inlineStr"/>
      <c r="AM54" t="inlineStr">
        <is>
          <t>h/E</t>
        </is>
      </c>
      <c r="AN54" t="inlineStr"/>
      <c r="AO54" t="inlineStr"/>
      <c r="AP54" t="inlineStr"/>
      <c r="AQ54" t="inlineStr"/>
      <c r="AR54" t="inlineStr"/>
      <c r="AS54" t="inlineStr">
        <is>
          <t>Pa</t>
        </is>
      </c>
      <c r="AT54" t="inlineStr"/>
      <c r="AU54" t="inlineStr"/>
      <c r="AV54" t="inlineStr"/>
      <c r="AW54" t="inlineStr"/>
      <c r="AX54" t="inlineStr"/>
      <c r="AY54" t="inlineStr"/>
      <c r="AZ54" t="inlineStr"/>
      <c r="BA54" t="inlineStr"/>
      <c r="BB54" t="inlineStr"/>
      <c r="BC54" t="inlineStr"/>
      <c r="BD54" t="inlineStr"/>
      <c r="BE54" t="inlineStr"/>
      <c r="BF54" t="inlineStr"/>
      <c r="BG54" t="n">
        <v>110</v>
      </c>
      <c r="BH54" t="inlineStr"/>
      <c r="BI54" t="inlineStr"/>
      <c r="BJ54" t="inlineStr"/>
      <c r="BK54" t="inlineStr"/>
      <c r="BL54" t="inlineStr"/>
      <c r="BM54" t="inlineStr">
        <is>
          <t>n</t>
        </is>
      </c>
      <c r="BN54" t="n">
        <v>0</v>
      </c>
      <c r="BO54" t="inlineStr"/>
      <c r="BP54" t="inlineStr"/>
      <c r="BQ54" t="inlineStr"/>
      <c r="BR54" t="inlineStr"/>
      <c r="BS54" t="inlineStr"/>
      <c r="BT54" t="inlineStr"/>
      <c r="BU54" t="inlineStr"/>
      <c r="BV54" t="inlineStr">
        <is>
          <t>Schaden stabil</t>
        </is>
      </c>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c r="DD54" t="inlineStr"/>
      <c r="DE54" t="inlineStr"/>
      <c r="DF54" t="inlineStr"/>
      <c r="DG54" t="inlineStr"/>
    </row>
    <row r="55">
      <c r="A55" t="inlineStr">
        <is>
          <t>III</t>
        </is>
      </c>
      <c r="B55" t="b">
        <v>1</v>
      </c>
      <c r="C55" t="inlineStr">
        <is>
          <t>x</t>
        </is>
      </c>
      <c r="D55" t="inlineStr"/>
      <c r="E55" t="n">
        <v>30</v>
      </c>
      <c r="F55">
        <f>HYPERLINK("https://portal.dnb.de/opac.htm?method=simpleSearch&amp;cqlMode=true&amp;query=idn%3D1066963193", "Portal")</f>
        <v/>
      </c>
      <c r="G55" t="inlineStr">
        <is>
          <t>Aaf</t>
        </is>
      </c>
      <c r="H55" t="inlineStr">
        <is>
          <t>L-1540-31549347X</t>
        </is>
      </c>
      <c r="I55" t="inlineStr">
        <is>
          <t>1066963193</t>
        </is>
      </c>
      <c r="J55" t="inlineStr">
        <is>
          <t>III 3, 23</t>
        </is>
      </c>
      <c r="K55" t="inlineStr">
        <is>
          <t>III 3, 23</t>
        </is>
      </c>
      <c r="L55" t="inlineStr">
        <is>
          <t>III 3, 23</t>
        </is>
      </c>
      <c r="M55" t="inlineStr"/>
      <c r="N55" t="inlineStr">
        <is>
          <t>Des @Hochgel#[oe]rtestën|| philosophen/ warhafftigsten Geschicht||schreibers/ vnd allertheürsten Hauptmans Xenophontis Com=||mentarien vnd beschreibun</t>
        </is>
      </c>
      <c r="O55" t="inlineStr">
        <is>
          <t xml:space="preserve"> : </t>
        </is>
      </c>
      <c r="P55" t="inlineStr">
        <is>
          <t>X</t>
        </is>
      </c>
      <c r="Q55" t="inlineStr"/>
      <c r="R55" t="inlineStr">
        <is>
          <t>Halbledereinband, Schließen, erhabene Buchbeschläge</t>
        </is>
      </c>
      <c r="S55" t="inlineStr">
        <is>
          <t>bis 35 cm</t>
        </is>
      </c>
      <c r="T55" t="inlineStr">
        <is>
          <t>180°</t>
        </is>
      </c>
      <c r="U55" t="inlineStr">
        <is>
          <t>hohler Rücken, welliger Buchblock</t>
        </is>
      </c>
      <c r="V55" t="inlineStr"/>
      <c r="W55" t="inlineStr">
        <is>
          <t>Buchschuh</t>
        </is>
      </c>
      <c r="X55" t="inlineStr">
        <is>
          <t>Nein</t>
        </is>
      </c>
      <c r="Y55" t="n">
        <v>3</v>
      </c>
      <c r="Z55" t="inlineStr"/>
      <c r="AA55" t="inlineStr"/>
      <c r="AB55" t="inlineStr"/>
      <c r="AC55" t="inlineStr"/>
      <c r="AD55" t="inlineStr"/>
      <c r="AE55" t="inlineStr"/>
      <c r="AF55" t="inlineStr"/>
      <c r="AG55" t="inlineStr"/>
      <c r="AH55" t="inlineStr"/>
      <c r="AI55" t="inlineStr">
        <is>
          <t>Pa</t>
        </is>
      </c>
      <c r="AJ55" t="inlineStr"/>
      <c r="AK55" t="inlineStr">
        <is>
          <t>x</t>
        </is>
      </c>
      <c r="AL55" t="inlineStr"/>
      <c r="AM55" t="inlineStr">
        <is>
          <t>h/E</t>
        </is>
      </c>
      <c r="AN55" t="inlineStr"/>
      <c r="AO55" t="inlineStr"/>
      <c r="AP55" t="inlineStr"/>
      <c r="AQ55" t="inlineStr"/>
      <c r="AR55" t="inlineStr"/>
      <c r="AS55" t="inlineStr">
        <is>
          <t>Pa</t>
        </is>
      </c>
      <c r="AT55" t="inlineStr"/>
      <c r="AU55" t="inlineStr"/>
      <c r="AV55" t="inlineStr"/>
      <c r="AW55" t="inlineStr"/>
      <c r="AX55" t="inlineStr"/>
      <c r="AY55" t="inlineStr"/>
      <c r="AZ55" t="inlineStr"/>
      <c r="BA55" t="inlineStr"/>
      <c r="BB55" t="inlineStr"/>
      <c r="BC55" t="inlineStr"/>
      <c r="BD55" t="inlineStr"/>
      <c r="BE55" t="inlineStr"/>
      <c r="BF55" t="inlineStr"/>
      <c r="BG55" t="n">
        <v>110</v>
      </c>
      <c r="BH55" t="inlineStr"/>
      <c r="BI55" t="inlineStr"/>
      <c r="BJ55" t="inlineStr"/>
      <c r="BK55" t="inlineStr"/>
      <c r="BL55" t="inlineStr"/>
      <c r="BM55" t="inlineStr">
        <is>
          <t>ja vor</t>
        </is>
      </c>
      <c r="BN55" t="n">
        <v>0.5</v>
      </c>
      <c r="BO55" t="inlineStr"/>
      <c r="BP55" t="inlineStr"/>
      <c r="BQ55" t="inlineStr"/>
      <c r="BR55" t="inlineStr">
        <is>
          <t>x</t>
        </is>
      </c>
      <c r="BS55" t="inlineStr"/>
      <c r="BT55" t="inlineStr"/>
      <c r="BU55" t="inlineStr"/>
      <c r="BV55" t="inlineStr"/>
      <c r="BW55" t="inlineStr"/>
      <c r="BX55" t="inlineStr"/>
      <c r="BY55" t="inlineStr"/>
      <c r="BZ55" t="inlineStr">
        <is>
          <t>x</t>
        </is>
      </c>
      <c r="CA55" t="inlineStr">
        <is>
          <t>x</t>
        </is>
      </c>
      <c r="CB55" t="inlineStr">
        <is>
          <t>x</t>
        </is>
      </c>
      <c r="CC55" t="inlineStr"/>
      <c r="CD55" t="inlineStr"/>
      <c r="CE55" t="inlineStr"/>
      <c r="CF55" t="inlineStr"/>
      <c r="CG55" t="inlineStr"/>
      <c r="CH55" t="inlineStr"/>
      <c r="CI55" t="inlineStr"/>
      <c r="CJ55" t="inlineStr"/>
      <c r="CK55" t="inlineStr"/>
      <c r="CL55" t="inlineStr"/>
      <c r="CM55" t="n">
        <v>0.5</v>
      </c>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c r="DD55" t="inlineStr"/>
      <c r="DE55" t="inlineStr"/>
      <c r="DF55" t="inlineStr"/>
      <c r="DG55" t="inlineStr"/>
    </row>
    <row r="56">
      <c r="A56" t="inlineStr">
        <is>
          <t>III</t>
        </is>
      </c>
      <c r="B56" t="b">
        <v>1</v>
      </c>
      <c r="C56" t="inlineStr"/>
      <c r="D56" t="inlineStr"/>
      <c r="E56" t="n">
        <v>67</v>
      </c>
      <c r="F56">
        <f>HYPERLINK("https://portal.dnb.de/opac.htm?method=simpleSearch&amp;cqlMode=true&amp;query=idn%3D1066964483", "Portal")</f>
        <v/>
      </c>
      <c r="G56" t="inlineStr">
        <is>
          <t>Aaf</t>
        </is>
      </c>
      <c r="H56" t="inlineStr">
        <is>
          <t>L-1522-315494719</t>
        </is>
      </c>
      <c r="I56" t="inlineStr">
        <is>
          <t>1066964483</t>
        </is>
      </c>
      <c r="J56" t="inlineStr">
        <is>
          <t>III 3, 23 a</t>
        </is>
      </c>
      <c r="K56" t="inlineStr">
        <is>
          <t>III 3, 23 a</t>
        </is>
      </c>
      <c r="L56" t="inlineStr">
        <is>
          <t>III 3, 23 a</t>
        </is>
      </c>
      <c r="M56" t="inlineStr"/>
      <c r="N56" t="inlineStr">
        <is>
          <t>Ein @Sermon von|| der trostung des heyligengeists yn|| verfolgung. vber das Euangelion|| Wann der heylige geist der troster|| kompt. Johan. xv.|| D. M</t>
        </is>
      </c>
      <c r="O56" t="inlineStr">
        <is>
          <t xml:space="preserve"> : </t>
        </is>
      </c>
      <c r="P56" t="inlineStr">
        <is>
          <t>X</t>
        </is>
      </c>
      <c r="Q56" t="inlineStr"/>
      <c r="R56" t="inlineStr">
        <is>
          <t>Broschur</t>
        </is>
      </c>
      <c r="S56" t="inlineStr">
        <is>
          <t>bis 25 cm</t>
        </is>
      </c>
      <c r="T56" t="inlineStr">
        <is>
          <t>180°</t>
        </is>
      </c>
      <c r="U56" t="inlineStr"/>
      <c r="V56" t="inlineStr"/>
      <c r="W56" t="inlineStr"/>
      <c r="X56" t="inlineStr">
        <is>
          <t>Signaturfahne austauschen</t>
        </is>
      </c>
      <c r="Y56" t="n">
        <v>0</v>
      </c>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n">
        <v>0</v>
      </c>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c r="DC56" t="inlineStr"/>
      <c r="DD56" t="inlineStr"/>
      <c r="DE56" t="inlineStr"/>
      <c r="DF56" t="inlineStr"/>
      <c r="DG56" t="inlineStr"/>
    </row>
    <row r="57">
      <c r="A57" t="inlineStr">
        <is>
          <t>III</t>
        </is>
      </c>
      <c r="B57" t="b">
        <v>1</v>
      </c>
      <c r="C57" t="inlineStr"/>
      <c r="D57" t="inlineStr"/>
      <c r="E57" t="n">
        <v>68</v>
      </c>
      <c r="F57">
        <f>HYPERLINK("https://portal.dnb.de/opac.htm?method=simpleSearch&amp;cqlMode=true&amp;query=idn%3D1002922046", "Portal")</f>
        <v/>
      </c>
      <c r="G57" t="inlineStr">
        <is>
          <t>Aal</t>
        </is>
      </c>
      <c r="H57" t="inlineStr">
        <is>
          <t>L-1544-178431168</t>
        </is>
      </c>
      <c r="I57" t="inlineStr">
        <is>
          <t>1002922046</t>
        </is>
      </c>
      <c r="J57" t="inlineStr">
        <is>
          <t>III 3, 23b</t>
        </is>
      </c>
      <c r="K57" t="inlineStr">
        <is>
          <t>III 3, 23b</t>
        </is>
      </c>
      <c r="L57" t="inlineStr">
        <is>
          <t>III 3, 23 b</t>
        </is>
      </c>
      <c r="M57" t="inlineStr"/>
      <c r="N57" t="inlineStr">
        <is>
          <t>IOANNIS LODOVICI VIVIS|| Von gebirlichē|| Thun vnd Lassen aines Ehemanns|| : ain buch, Versteütscht vnd erklärt</t>
        </is>
      </c>
      <c r="O57" t="inlineStr">
        <is>
          <t xml:space="preserve"> : </t>
        </is>
      </c>
      <c r="P57" t="inlineStr"/>
      <c r="Q57" t="inlineStr"/>
      <c r="R57" t="inlineStr"/>
      <c r="S57" t="inlineStr">
        <is>
          <t>bis 25 cm</t>
        </is>
      </c>
      <c r="T57" t="inlineStr"/>
      <c r="U57" t="inlineStr"/>
      <c r="V57" t="inlineStr"/>
      <c r="W57" t="inlineStr"/>
      <c r="X57" t="inlineStr"/>
      <c r="Y57" t="inlineStr"/>
      <c r="Z57" t="inlineStr"/>
      <c r="AA57" t="inlineStr"/>
      <c r="AB57" t="inlineStr"/>
      <c r="AC57" t="inlineStr"/>
      <c r="AD57" t="inlineStr"/>
      <c r="AE57" t="inlineStr"/>
      <c r="AF57" t="inlineStr"/>
      <c r="AG57" t="inlineStr"/>
      <c r="AH57" t="inlineStr"/>
      <c r="AI57" t="inlineStr">
        <is>
          <t>Pa</t>
        </is>
      </c>
      <c r="AJ57" t="inlineStr"/>
      <c r="AK57" t="inlineStr"/>
      <c r="AL57" t="inlineStr"/>
      <c r="AM57" t="inlineStr">
        <is>
          <t>h/E</t>
        </is>
      </c>
      <c r="AN57" t="inlineStr"/>
      <c r="AO57" t="inlineStr"/>
      <c r="AP57" t="inlineStr"/>
      <c r="AQ57" t="inlineStr"/>
      <c r="AR57" t="inlineStr"/>
      <c r="AS57" t="inlineStr">
        <is>
          <t>Pa</t>
        </is>
      </c>
      <c r="AT57" t="inlineStr"/>
      <c r="AU57" t="inlineStr"/>
      <c r="AV57" t="inlineStr"/>
      <c r="AW57" t="inlineStr"/>
      <c r="AX57" t="inlineStr"/>
      <c r="AY57" t="inlineStr"/>
      <c r="AZ57" t="inlineStr"/>
      <c r="BA57" t="inlineStr"/>
      <c r="BB57" t="inlineStr"/>
      <c r="BC57" t="inlineStr"/>
      <c r="BD57" t="inlineStr"/>
      <c r="BE57" t="inlineStr"/>
      <c r="BF57" t="inlineStr"/>
      <c r="BG57" t="n">
        <v>110</v>
      </c>
      <c r="BH57" t="inlineStr"/>
      <c r="BI57" t="inlineStr"/>
      <c r="BJ57" t="inlineStr"/>
      <c r="BK57" t="inlineStr"/>
      <c r="BL57" t="inlineStr"/>
      <c r="BM57" t="inlineStr">
        <is>
          <t>n</t>
        </is>
      </c>
      <c r="BN57" t="n">
        <v>0</v>
      </c>
      <c r="BO57" t="inlineStr"/>
      <c r="BP57" t="inlineStr"/>
      <c r="BQ57" t="inlineStr"/>
      <c r="BR57" t="inlineStr"/>
      <c r="BS57" t="inlineStr"/>
      <c r="BT57" t="inlineStr"/>
      <c r="BU57" t="inlineStr"/>
      <c r="BV57" t="inlineStr">
        <is>
          <t>Schaden stabil</t>
        </is>
      </c>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c r="DC57" t="inlineStr"/>
      <c r="DD57" t="inlineStr"/>
      <c r="DE57" t="inlineStr"/>
      <c r="DF57" t="inlineStr"/>
      <c r="DG57" t="inlineStr"/>
    </row>
    <row r="58">
      <c r="A58" t="inlineStr">
        <is>
          <t>III</t>
        </is>
      </c>
      <c r="B58" t="b">
        <v>1</v>
      </c>
      <c r="C58" t="inlineStr">
        <is>
          <t>x</t>
        </is>
      </c>
      <c r="D58" t="inlineStr"/>
      <c r="E58" t="n">
        <v>31</v>
      </c>
      <c r="F58">
        <f>HYPERLINK("https://portal.dnb.de/opac.htm?method=simpleSearch&amp;cqlMode=true&amp;query=idn%3D1066956219", "Portal")</f>
        <v/>
      </c>
      <c r="G58" t="inlineStr">
        <is>
          <t>Aaf</t>
        </is>
      </c>
      <c r="H58" t="inlineStr">
        <is>
          <t>L-1537-315486937</t>
        </is>
      </c>
      <c r="I58" t="inlineStr">
        <is>
          <t>1066956219</t>
        </is>
      </c>
      <c r="J58" t="inlineStr">
        <is>
          <t>III 3, 24</t>
        </is>
      </c>
      <c r="K58" t="inlineStr">
        <is>
          <t>III 3, 24</t>
        </is>
      </c>
      <c r="L58" t="inlineStr">
        <is>
          <t>III 3, 24</t>
        </is>
      </c>
      <c r="M58" t="inlineStr"/>
      <c r="N58" t="inlineStr">
        <is>
          <t>Odyssea,|| Das seind die aller zierlichsten vnd|| lustigsten vier vnd zwantzig b#[ue]cher des eltisten kunst-||reichesten Vatters aller Poeten Homeri/</t>
        </is>
      </c>
      <c r="O58" t="inlineStr">
        <is>
          <t xml:space="preserve"> : </t>
        </is>
      </c>
      <c r="P58" t="inlineStr">
        <is>
          <t>X</t>
        </is>
      </c>
      <c r="Q58" t="inlineStr"/>
      <c r="R58" t="inlineStr">
        <is>
          <t>Halbledereinband, Schließen, erhabene Buchbeschläge</t>
        </is>
      </c>
      <c r="S58" t="inlineStr">
        <is>
          <t>bis 35 cm</t>
        </is>
      </c>
      <c r="T58" t="inlineStr">
        <is>
          <t>80° bis 110°, einseitig digitalisierbar?</t>
        </is>
      </c>
      <c r="U58" t="inlineStr">
        <is>
          <t>fester Rücken mit Schmuckprägung</t>
        </is>
      </c>
      <c r="V58" t="inlineStr"/>
      <c r="W58" t="inlineStr">
        <is>
          <t>Buchschuh</t>
        </is>
      </c>
      <c r="X58" t="inlineStr">
        <is>
          <t>Nein</t>
        </is>
      </c>
      <c r="Y58" t="n">
        <v>3</v>
      </c>
      <c r="Z58" t="inlineStr"/>
      <c r="AA58" t="inlineStr"/>
      <c r="AB58" t="inlineStr"/>
      <c r="AC58" t="inlineStr"/>
      <c r="AD58" t="inlineStr"/>
      <c r="AE58" t="inlineStr"/>
      <c r="AF58" t="inlineStr"/>
      <c r="AG58" t="inlineStr"/>
      <c r="AH58" t="inlineStr"/>
      <c r="AI58" t="inlineStr">
        <is>
          <t>HL</t>
        </is>
      </c>
      <c r="AJ58" t="inlineStr"/>
      <c r="AK58" t="inlineStr">
        <is>
          <t>x</t>
        </is>
      </c>
      <c r="AL58" t="inlineStr"/>
      <c r="AM58" t="inlineStr">
        <is>
          <t>h/E</t>
        </is>
      </c>
      <c r="AN58" t="inlineStr"/>
      <c r="AO58" t="inlineStr"/>
      <c r="AP58" t="inlineStr"/>
      <c r="AQ58" t="inlineStr"/>
      <c r="AR58" t="inlineStr"/>
      <c r="AS58" t="inlineStr">
        <is>
          <t>Pa</t>
        </is>
      </c>
      <c r="AT58" t="inlineStr"/>
      <c r="AU58" t="inlineStr">
        <is>
          <t>x</t>
        </is>
      </c>
      <c r="AV58" t="inlineStr"/>
      <c r="AW58" t="inlineStr"/>
      <c r="AX58" t="inlineStr"/>
      <c r="AY58" t="inlineStr"/>
      <c r="AZ58" t="inlineStr"/>
      <c r="BA58" t="inlineStr"/>
      <c r="BB58" t="inlineStr"/>
      <c r="BC58" t="inlineStr"/>
      <c r="BD58" t="inlineStr"/>
      <c r="BE58" t="inlineStr"/>
      <c r="BF58" t="inlineStr"/>
      <c r="BG58" t="n">
        <v>110</v>
      </c>
      <c r="BH58" t="inlineStr"/>
      <c r="BI58" t="inlineStr"/>
      <c r="BJ58" t="inlineStr"/>
      <c r="BK58" t="inlineStr"/>
      <c r="BL58" t="inlineStr"/>
      <c r="BM58" t="inlineStr">
        <is>
          <t>ja vor</t>
        </is>
      </c>
      <c r="BN58" t="n">
        <v>0.5</v>
      </c>
      <c r="BO58" t="inlineStr"/>
      <c r="BP58" t="inlineStr"/>
      <c r="BQ58" t="inlineStr"/>
      <c r="BR58" t="inlineStr">
        <is>
          <t>x</t>
        </is>
      </c>
      <c r="BS58" t="inlineStr"/>
      <c r="BT58" t="inlineStr"/>
      <c r="BU58" t="inlineStr"/>
      <c r="BV58" t="inlineStr"/>
      <c r="BW58" t="inlineStr"/>
      <c r="BX58" t="inlineStr"/>
      <c r="BY58" t="inlineStr"/>
      <c r="BZ58" t="inlineStr">
        <is>
          <t>x</t>
        </is>
      </c>
      <c r="CA58" t="inlineStr">
        <is>
          <t>x</t>
        </is>
      </c>
      <c r="CB58" t="inlineStr">
        <is>
          <t>x</t>
        </is>
      </c>
      <c r="CC58" t="inlineStr"/>
      <c r="CD58" t="inlineStr">
        <is>
          <t>v</t>
        </is>
      </c>
      <c r="CE58" t="inlineStr"/>
      <c r="CF58" t="inlineStr"/>
      <c r="CG58" t="inlineStr"/>
      <c r="CH58" t="inlineStr"/>
      <c r="CI58" t="inlineStr"/>
      <c r="CJ58" t="inlineStr"/>
      <c r="CK58" t="inlineStr"/>
      <c r="CL58" t="inlineStr"/>
      <c r="CM58" t="n">
        <v>0.5</v>
      </c>
      <c r="CN58" t="inlineStr">
        <is>
          <t>Nur Titelschild und Gelenk vorn unten überfangen mit JP, Rest belassen (ist stabil genug)</t>
        </is>
      </c>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c r="DD58" t="inlineStr"/>
      <c r="DE58" t="inlineStr"/>
      <c r="DF58" t="inlineStr"/>
      <c r="DG58" t="inlineStr"/>
    </row>
    <row r="59">
      <c r="A59" t="inlineStr">
        <is>
          <t>III</t>
        </is>
      </c>
      <c r="B59" t="b">
        <v>1</v>
      </c>
      <c r="C59" t="inlineStr"/>
      <c r="D59" t="inlineStr"/>
      <c r="E59" t="n">
        <v>32</v>
      </c>
      <c r="F59">
        <f>HYPERLINK("https://portal.dnb.de/opac.htm?method=simpleSearch&amp;cqlMode=true&amp;query=idn%3D1066941874", "Portal")</f>
        <v/>
      </c>
      <c r="G59" t="inlineStr">
        <is>
          <t>Aaf</t>
        </is>
      </c>
      <c r="H59" t="inlineStr">
        <is>
          <t>L-1522-315469528</t>
        </is>
      </c>
      <c r="I59" t="inlineStr">
        <is>
          <t>1066941874</t>
        </is>
      </c>
      <c r="J59" t="inlineStr">
        <is>
          <t>III 3, 25</t>
        </is>
      </c>
      <c r="K59" t="inlineStr">
        <is>
          <t>III 3, 25</t>
        </is>
      </c>
      <c r="L59" t="inlineStr">
        <is>
          <t>III 3, 25</t>
        </is>
      </c>
      <c r="M59" t="inlineStr"/>
      <c r="N59" t="inlineStr">
        <is>
          <t xml:space="preserve">Diß ist ein iemerliche|| clag vber die Todten fresser:|| : </t>
        </is>
      </c>
      <c r="O59" t="inlineStr">
        <is>
          <t xml:space="preserve"> : </t>
        </is>
      </c>
      <c r="P59" t="inlineStr"/>
      <c r="Q59" t="inlineStr"/>
      <c r="R59" t="inlineStr"/>
      <c r="S59" t="inlineStr"/>
      <c r="T59" t="inlineStr"/>
      <c r="U59" t="inlineStr"/>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n">
        <v>0</v>
      </c>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c r="DC59" t="inlineStr"/>
      <c r="DD59" t="inlineStr"/>
      <c r="DE59" t="inlineStr"/>
      <c r="DF59" t="inlineStr"/>
      <c r="DG59" t="inlineStr"/>
    </row>
    <row r="60">
      <c r="A60" t="inlineStr">
        <is>
          <t>III</t>
        </is>
      </c>
      <c r="B60" t="b">
        <v>1</v>
      </c>
      <c r="C60" t="inlineStr"/>
      <c r="D60" t="inlineStr"/>
      <c r="E60" t="n">
        <v>33</v>
      </c>
      <c r="F60">
        <f>HYPERLINK("https://portal.dnb.de/opac.htm?method=simpleSearch&amp;cqlMode=true&amp;query=idn%3D1066963703", "Portal")</f>
        <v/>
      </c>
      <c r="G60" t="inlineStr">
        <is>
          <t>Aaf</t>
        </is>
      </c>
      <c r="H60" t="inlineStr">
        <is>
          <t>L-1525-315493941</t>
        </is>
      </c>
      <c r="I60" t="inlineStr">
        <is>
          <t>1066963703</t>
        </is>
      </c>
      <c r="J60" t="inlineStr">
        <is>
          <t>III 3, 26</t>
        </is>
      </c>
      <c r="K60" t="inlineStr">
        <is>
          <t>III 3, 26</t>
        </is>
      </c>
      <c r="L60" t="inlineStr">
        <is>
          <t>III 3, 26</t>
        </is>
      </c>
      <c r="M60" t="inlineStr"/>
      <c r="N60" t="inlineStr">
        <is>
          <t xml:space="preserve">Dyse @Practica vnnd : </t>
        </is>
      </c>
      <c r="O60" t="inlineStr">
        <is>
          <t xml:space="preserve"> : </t>
        </is>
      </c>
      <c r="P60" t="inlineStr">
        <is>
          <t>X</t>
        </is>
      </c>
      <c r="Q60" t="inlineStr"/>
      <c r="R60" t="inlineStr">
        <is>
          <t>Pergamentband</t>
        </is>
      </c>
      <c r="S60" t="inlineStr">
        <is>
          <t>bis 25 cm</t>
        </is>
      </c>
      <c r="T60" t="inlineStr">
        <is>
          <t>80° bis 110°, einseitig digitalisierbar?</t>
        </is>
      </c>
      <c r="U60" t="inlineStr">
        <is>
          <t>hohler Rücken</t>
        </is>
      </c>
      <c r="V60" t="inlineStr"/>
      <c r="W60" t="inlineStr">
        <is>
          <t>Kassette</t>
        </is>
      </c>
      <c r="X60" t="inlineStr">
        <is>
          <t>Nein</t>
        </is>
      </c>
      <c r="Y60" t="n">
        <v>0</v>
      </c>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inlineStr"/>
      <c r="BJ60" t="inlineStr"/>
      <c r="BK60" t="inlineStr"/>
      <c r="BL60" t="inlineStr"/>
      <c r="BM60" t="inlineStr"/>
      <c r="BN60" t="n">
        <v>0</v>
      </c>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c r="DC60" t="inlineStr"/>
      <c r="DD60" t="inlineStr"/>
      <c r="DE60" t="inlineStr"/>
      <c r="DF60" t="inlineStr"/>
      <c r="DG60" t="inlineStr"/>
    </row>
    <row r="61">
      <c r="A61" t="inlineStr">
        <is>
          <t>III</t>
        </is>
      </c>
      <c r="B61" t="b">
        <v>1</v>
      </c>
      <c r="C61" t="inlineStr"/>
      <c r="D61" t="inlineStr"/>
      <c r="E61" t="n">
        <v>34</v>
      </c>
      <c r="F61">
        <f>HYPERLINK("https://portal.dnb.de/opac.htm?method=simpleSearch&amp;cqlMode=true&amp;query=idn%3D1066957665", "Portal")</f>
        <v/>
      </c>
      <c r="G61" t="inlineStr">
        <is>
          <t>Aaf</t>
        </is>
      </c>
      <c r="H61" t="inlineStr">
        <is>
          <t>L-1522-31548828X</t>
        </is>
      </c>
      <c r="I61" t="inlineStr">
        <is>
          <t>1066957665</t>
        </is>
      </c>
      <c r="J61" t="inlineStr">
        <is>
          <t>III 3, 27</t>
        </is>
      </c>
      <c r="K61" t="inlineStr">
        <is>
          <t>III 3, 27</t>
        </is>
      </c>
      <c r="L61" t="inlineStr">
        <is>
          <t>III 3, 27</t>
        </is>
      </c>
      <c r="M61" t="inlineStr"/>
      <c r="N61" t="inlineStr">
        <is>
          <t xml:space="preserve">Ain. Sermon.|| Secundu Lucam am. 16.|| võ dem verdampten reyche man/ Vñ|| des selig? armen Lazaro Kürtzlich|| geprediget/ V. D. Mar. Lu. Zu|| Witten. </t>
        </is>
      </c>
      <c r="O61" t="inlineStr">
        <is>
          <t xml:space="preserve"> : </t>
        </is>
      </c>
      <c r="P61" t="inlineStr">
        <is>
          <t>X</t>
        </is>
      </c>
      <c r="Q61" t="inlineStr"/>
      <c r="R61" t="inlineStr">
        <is>
          <t>Broschur, Papier- oder Pappeinband</t>
        </is>
      </c>
      <c r="S61" t="inlineStr">
        <is>
          <t>bis 25 cm</t>
        </is>
      </c>
      <c r="T61" t="inlineStr">
        <is>
          <t>180°</t>
        </is>
      </c>
      <c r="U61" t="inlineStr"/>
      <c r="V61" t="inlineStr"/>
      <c r="W61" t="inlineStr"/>
      <c r="X61" t="inlineStr"/>
      <c r="Y61" t="n">
        <v>0</v>
      </c>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n">
        <v>0</v>
      </c>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row>
    <row r="62">
      <c r="A62" t="inlineStr">
        <is>
          <t>III</t>
        </is>
      </c>
      <c r="B62" t="b">
        <v>1</v>
      </c>
      <c r="C62" t="inlineStr"/>
      <c r="D62" t="inlineStr"/>
      <c r="E62" t="n">
        <v>69</v>
      </c>
      <c r="F62">
        <f>HYPERLINK("https://portal.dnb.de/opac.htm?method=simpleSearch&amp;cqlMode=true&amp;query=idn%3D1000479455", "Portal")</f>
        <v/>
      </c>
      <c r="G62" t="inlineStr">
        <is>
          <t>Aal</t>
        </is>
      </c>
      <c r="H62" t="inlineStr">
        <is>
          <t>L-1523-170696316</t>
        </is>
      </c>
      <c r="I62" t="inlineStr">
        <is>
          <t>1000479455</t>
        </is>
      </c>
      <c r="J62" t="inlineStr">
        <is>
          <t>III 3, 27 a</t>
        </is>
      </c>
      <c r="K62" t="inlineStr">
        <is>
          <t>III 3, 27 a</t>
        </is>
      </c>
      <c r="L62" t="inlineStr">
        <is>
          <t>III 3, 27 a</t>
        </is>
      </c>
      <c r="M62" t="inlineStr"/>
      <c r="N62" t="inlineStr">
        <is>
          <t>Von {Rew,|| Bericht|| Büß||} Beschluß : Von ReuW|| Bericht ; Büß. kurtzer|| beschluß auß gegrünter schrift|| nit auß mēschenleer ; Durch|| Doc. Vrbanu</t>
        </is>
      </c>
      <c r="O62" t="inlineStr">
        <is>
          <t xml:space="preserve"> : </t>
        </is>
      </c>
      <c r="P62" t="inlineStr"/>
      <c r="Q62" t="inlineStr"/>
      <c r="R62" t="inlineStr"/>
      <c r="S62" t="inlineStr"/>
      <c r="T62" t="inlineStr"/>
      <c r="U62" t="inlineStr"/>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inlineStr"/>
      <c r="BJ62" t="inlineStr"/>
      <c r="BK62" t="inlineStr"/>
      <c r="BL62" t="inlineStr"/>
      <c r="BM62" t="inlineStr"/>
      <c r="BN62" t="n">
        <v>0</v>
      </c>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c r="DD62" t="inlineStr"/>
      <c r="DE62" t="inlineStr"/>
      <c r="DF62" t="inlineStr"/>
      <c r="DG62" t="inlineStr"/>
    </row>
    <row r="63">
      <c r="A63" t="inlineStr">
        <is>
          <t>III</t>
        </is>
      </c>
      <c r="B63" t="b">
        <v>1</v>
      </c>
      <c r="C63" t="inlineStr"/>
      <c r="D63" t="inlineStr"/>
      <c r="E63" t="n">
        <v>70</v>
      </c>
      <c r="F63">
        <f>HYPERLINK("https://portal.dnb.de/opac.htm?method=simpleSearch&amp;cqlMode=true&amp;query=idn%3D1001776801", "Portal")</f>
        <v/>
      </c>
      <c r="G63" t="inlineStr">
        <is>
          <t>Aal</t>
        </is>
      </c>
      <c r="H63" t="inlineStr">
        <is>
          <t>L-1523-175552843</t>
        </is>
      </c>
      <c r="I63" t="inlineStr">
        <is>
          <t>1001776801</t>
        </is>
      </c>
      <c r="J63" t="inlineStr">
        <is>
          <t>III 3, 27 b</t>
        </is>
      </c>
      <c r="K63" t="inlineStr">
        <is>
          <t>III 3, 27 b</t>
        </is>
      </c>
      <c r="L63" t="inlineStr">
        <is>
          <t>III 3, 27 b</t>
        </is>
      </c>
      <c r="M63" t="inlineStr"/>
      <c r="N63" t="inlineStr">
        <is>
          <t>Ain. @Sermon|| Kutzs [!] begryffs. jx. hayl=||samer leer inhalten auß Paulo|| Ad Ro. j. Ge=zogn̄ durch Doct.|| Johan Speyser vō Vorch||aim zu Augspurg</t>
        </is>
      </c>
      <c r="O63" t="inlineStr">
        <is>
          <t xml:space="preserve"> : </t>
        </is>
      </c>
      <c r="P63" t="inlineStr"/>
      <c r="Q63" t="inlineStr"/>
      <c r="R63" t="inlineStr">
        <is>
          <t>Broschur, Halbpergamentband</t>
        </is>
      </c>
      <c r="S63" t="inlineStr">
        <is>
          <t>bis 25 cm</t>
        </is>
      </c>
      <c r="T63" t="inlineStr">
        <is>
          <t>180°</t>
        </is>
      </c>
      <c r="U63" t="inlineStr"/>
      <c r="V63" t="inlineStr"/>
      <c r="W63" t="inlineStr"/>
      <c r="X63" t="inlineStr"/>
      <c r="Y63" t="n">
        <v>1</v>
      </c>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inlineStr"/>
      <c r="BJ63" t="inlineStr"/>
      <c r="BK63" t="inlineStr"/>
      <c r="BL63" t="inlineStr"/>
      <c r="BM63" t="inlineStr"/>
      <c r="BN63" t="n">
        <v>0</v>
      </c>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row>
    <row r="64">
      <c r="A64" t="inlineStr">
        <is>
          <t>III</t>
        </is>
      </c>
      <c r="B64" t="b">
        <v>1</v>
      </c>
      <c r="C64" t="inlineStr"/>
      <c r="D64" t="inlineStr"/>
      <c r="E64" t="n">
        <v>71</v>
      </c>
      <c r="F64">
        <f>HYPERLINK("https://portal.dnb.de/opac.htm?method=simpleSearch&amp;cqlMode=true&amp;query=idn%3D996725954", "Portal")</f>
        <v/>
      </c>
      <c r="G64" t="inlineStr">
        <is>
          <t>Aal</t>
        </is>
      </c>
      <c r="H64" t="inlineStr">
        <is>
          <t>L-1524-162673280</t>
        </is>
      </c>
      <c r="I64" t="inlineStr">
        <is>
          <t>996725954</t>
        </is>
      </c>
      <c r="J64" t="inlineStr">
        <is>
          <t>III 3, 27 c</t>
        </is>
      </c>
      <c r="K64" t="inlineStr">
        <is>
          <t>III 3, 27 c</t>
        </is>
      </c>
      <c r="L64" t="inlineStr">
        <is>
          <t>III 3, 27 c</t>
        </is>
      </c>
      <c r="M64" t="inlineStr"/>
      <c r="N64" t="inlineStr">
        <is>
          <t>Ein @kurtzer begrif|| von gutten werchenn, dye|| gott behagen, vn der welt|| ain spot seynd, yetz ein gro||se klag, wye nyemat mer|| guts thu, vnd all</t>
        </is>
      </c>
      <c r="O64" t="inlineStr">
        <is>
          <t xml:space="preserve"> : </t>
        </is>
      </c>
      <c r="P64" t="inlineStr"/>
      <c r="Q64" t="inlineStr"/>
      <c r="R64" t="inlineStr"/>
      <c r="S64" t="inlineStr"/>
      <c r="T64" t="inlineStr"/>
      <c r="U64" t="inlineStr"/>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n">
        <v>0</v>
      </c>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c r="DC64" t="inlineStr"/>
      <c r="DD64" t="inlineStr"/>
      <c r="DE64" t="inlineStr"/>
      <c r="DF64" t="inlineStr"/>
      <c r="DG64" t="inlineStr"/>
    </row>
    <row r="65">
      <c r="A65" t="inlineStr">
        <is>
          <t>III</t>
        </is>
      </c>
      <c r="B65" t="b">
        <v>1</v>
      </c>
      <c r="C65" t="inlineStr"/>
      <c r="D65" t="inlineStr"/>
      <c r="E65" t="n">
        <v>72</v>
      </c>
      <c r="F65">
        <f>HYPERLINK("https://portal.dnb.de/opac.htm?method=simpleSearch&amp;cqlMode=true&amp;query=idn%3D993973221", "Portal")</f>
        <v/>
      </c>
      <c r="G65" t="inlineStr">
        <is>
          <t>Aal</t>
        </is>
      </c>
      <c r="H65" t="inlineStr">
        <is>
          <t>L-1523-15411331X</t>
        </is>
      </c>
      <c r="I65" t="inlineStr">
        <is>
          <t>993973221</t>
        </is>
      </c>
      <c r="J65" t="inlineStr">
        <is>
          <t>III 3, 27d</t>
        </is>
      </c>
      <c r="K65" t="inlineStr">
        <is>
          <t>III 3, 27d</t>
        </is>
      </c>
      <c r="L65" t="inlineStr">
        <is>
          <t>III 3, 27 d</t>
        </is>
      </c>
      <c r="M65" t="inlineStr"/>
      <c r="N65" t="inlineStr">
        <is>
          <t>Arttickel So|| Die zwen pündt|| Des gleychenn|| Burgermayster Radt vnnd ge||main der Stat Chur|| mitt sampt||den vier derffernn|| vnnd der her-||schaf</t>
        </is>
      </c>
      <c r="O65" t="inlineStr">
        <is>
          <t xml:space="preserve"> : </t>
        </is>
      </c>
      <c r="P65" t="inlineStr">
        <is>
          <t>X</t>
        </is>
      </c>
      <c r="Q65" t="inlineStr"/>
      <c r="R65" t="inlineStr">
        <is>
          <t>Ledereinband, Schließen, erhabene Buchbeschläge</t>
        </is>
      </c>
      <c r="S65" t="inlineStr">
        <is>
          <t>bis 25 cm</t>
        </is>
      </c>
      <c r="T65" t="inlineStr">
        <is>
          <t>80° bis 110°, einseitig digitalisierbar?</t>
        </is>
      </c>
      <c r="U65" t="inlineStr">
        <is>
          <t>hohler Rücken</t>
        </is>
      </c>
      <c r="V65" t="inlineStr"/>
      <c r="W65" t="inlineStr">
        <is>
          <t>Buchschuh</t>
        </is>
      </c>
      <c r="X65" t="inlineStr">
        <is>
          <t>Nein</t>
        </is>
      </c>
      <c r="Y65" t="n">
        <v>0</v>
      </c>
      <c r="Z65" t="inlineStr"/>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inlineStr"/>
      <c r="BI65" t="inlineStr"/>
      <c r="BJ65" t="inlineStr"/>
      <c r="BK65" t="inlineStr"/>
      <c r="BL65" t="inlineStr"/>
      <c r="BM65" t="inlineStr"/>
      <c r="BN65" t="n">
        <v>0</v>
      </c>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row>
    <row r="66">
      <c r="A66" t="inlineStr">
        <is>
          <t>III</t>
        </is>
      </c>
      <c r="B66" t="b">
        <v>1</v>
      </c>
      <c r="C66" t="inlineStr"/>
      <c r="D66" t="inlineStr"/>
      <c r="E66" t="n">
        <v>73</v>
      </c>
      <c r="F66">
        <f>HYPERLINK("https://portal.dnb.de/opac.htm?method=simpleSearch&amp;cqlMode=true&amp;query=idn%3D986063355", "Portal")</f>
        <v/>
      </c>
      <c r="G66" t="inlineStr">
        <is>
          <t>Aa</t>
        </is>
      </c>
      <c r="H66" t="inlineStr">
        <is>
          <t>L-2007-325402</t>
        </is>
      </c>
      <c r="I66" t="inlineStr">
        <is>
          <t>986063355</t>
        </is>
      </c>
      <c r="J66" t="inlineStr">
        <is>
          <t>III 3, 27 e</t>
        </is>
      </c>
      <c r="K66" t="inlineStr">
        <is>
          <t>III 3, 27 e</t>
        </is>
      </c>
      <c r="L66" t="inlineStr">
        <is>
          <t>III 3, 27 e</t>
        </is>
      </c>
      <c r="M66" t="inlineStr"/>
      <c r="N66" t="inlineStr">
        <is>
          <t xml:space="preserve">Durch betrachtung vn Bekärung der bößen gebreych in schweren sünden, ist Gemacht Dyser Spyegel der Blinden : </t>
        </is>
      </c>
      <c r="O66" t="inlineStr">
        <is>
          <t xml:space="preserve"> : </t>
        </is>
      </c>
      <c r="P66" t="inlineStr"/>
      <c r="Q66" t="inlineStr"/>
      <c r="R66" t="inlineStr">
        <is>
          <t>Broschur</t>
        </is>
      </c>
      <c r="S66" t="inlineStr">
        <is>
          <t>bis 25 cm</t>
        </is>
      </c>
      <c r="T66" t="inlineStr">
        <is>
          <t>180°</t>
        </is>
      </c>
      <c r="U66" t="inlineStr">
        <is>
          <t>gefaltete Blätter</t>
        </is>
      </c>
      <c r="V66" t="inlineStr"/>
      <c r="W66" t="inlineStr">
        <is>
          <t>Mappe</t>
        </is>
      </c>
      <c r="X66" t="inlineStr">
        <is>
          <t>Nein</t>
        </is>
      </c>
      <c r="Y66" t="n">
        <v>1</v>
      </c>
      <c r="Z66" t="inlineStr"/>
      <c r="AA66" t="inlineStr"/>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c r="BD66" t="inlineStr"/>
      <c r="BE66" t="inlineStr"/>
      <c r="BF66" t="inlineStr"/>
      <c r="BG66" t="inlineStr"/>
      <c r="BH66" t="inlineStr"/>
      <c r="BI66" t="inlineStr"/>
      <c r="BJ66" t="inlineStr"/>
      <c r="BK66" t="inlineStr"/>
      <c r="BL66" t="inlineStr"/>
      <c r="BM66" t="inlineStr"/>
      <c r="BN66" t="n">
        <v>0</v>
      </c>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c r="DC66" t="inlineStr"/>
      <c r="DD66" t="inlineStr"/>
      <c r="DE66" t="inlineStr"/>
      <c r="DF66" t="inlineStr"/>
      <c r="DG66" t="inlineStr"/>
    </row>
    <row r="67">
      <c r="A67" t="inlineStr">
        <is>
          <t>III</t>
        </is>
      </c>
      <c r="B67" t="b">
        <v>1</v>
      </c>
      <c r="C67" t="inlineStr"/>
      <c r="D67" t="inlineStr"/>
      <c r="E67" t="n">
        <v>35</v>
      </c>
      <c r="F67">
        <f>HYPERLINK("https://portal.dnb.de/opac.htm?method=simpleSearch&amp;cqlMode=true&amp;query=idn%3D997856157", "Portal")</f>
        <v/>
      </c>
      <c r="G67" t="inlineStr">
        <is>
          <t>Aal</t>
        </is>
      </c>
      <c r="H67" t="inlineStr">
        <is>
          <t>L-1523-165117486</t>
        </is>
      </c>
      <c r="I67" t="inlineStr">
        <is>
          <t>997856157</t>
        </is>
      </c>
      <c r="J67" t="inlineStr">
        <is>
          <t>III 3, 28</t>
        </is>
      </c>
      <c r="K67" t="inlineStr">
        <is>
          <t>III 3, 28</t>
        </is>
      </c>
      <c r="L67" t="inlineStr">
        <is>
          <t>III 3, 28</t>
        </is>
      </c>
      <c r="M67" t="inlineStr"/>
      <c r="N67" t="inlineStr">
        <is>
          <t>Ein @Sermon [Lucas 21, 33] von Brü=||der Hainrich von Kettenbach|| Barfürssers, wider die falschen Aposteln, die da|| haben geprediget, die Prelaten m</t>
        </is>
      </c>
      <c r="O67" t="inlineStr">
        <is>
          <t xml:space="preserve"> : </t>
        </is>
      </c>
      <c r="P67" t="inlineStr"/>
      <c r="Q67" t="inlineStr"/>
      <c r="R67" t="inlineStr"/>
      <c r="S67" t="inlineStr"/>
      <c r="T67" t="inlineStr"/>
      <c r="U67" t="inlineStr"/>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n">
        <v>0</v>
      </c>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c r="DE67" t="inlineStr"/>
      <c r="DF67" t="inlineStr"/>
      <c r="DG67" t="inlineStr"/>
    </row>
    <row r="68">
      <c r="A68" t="inlineStr">
        <is>
          <t>III</t>
        </is>
      </c>
      <c r="B68" t="b">
        <v>1</v>
      </c>
      <c r="C68" t="inlineStr"/>
      <c r="D68" t="inlineStr"/>
      <c r="E68" t="n">
        <v>36</v>
      </c>
      <c r="F68">
        <f>HYPERLINK("https://portal.dnb.de/opac.htm?method=simpleSearch&amp;cqlMode=true&amp;query=idn%3D1002053153", "Portal")</f>
        <v/>
      </c>
      <c r="G68" t="inlineStr">
        <is>
          <t>Aal</t>
        </is>
      </c>
      <c r="H68" t="inlineStr">
        <is>
          <t>L-1524-176403655</t>
        </is>
      </c>
      <c r="I68" t="inlineStr">
        <is>
          <t>1002053153</t>
        </is>
      </c>
      <c r="J68" t="inlineStr">
        <is>
          <t>III 3, 29</t>
        </is>
      </c>
      <c r="K68" t="inlineStr">
        <is>
          <t>III 3, 29</t>
        </is>
      </c>
      <c r="L68" t="inlineStr">
        <is>
          <t>III 3, 29</t>
        </is>
      </c>
      <c r="M68" t="inlineStr"/>
      <c r="N68" t="inlineStr">
        <is>
          <t xml:space="preserve">Ain @New wunderbarlich Beycht||beuchlein in dem die warhafftig gerecht|| Beycht vnd beußfertigkait Christen=||lichen geleert vnd angezaygt wirt,|| vñ </t>
        </is>
      </c>
      <c r="O68" t="inlineStr">
        <is>
          <t xml:space="preserve"> : </t>
        </is>
      </c>
      <c r="P68" t="inlineStr"/>
      <c r="Q68" t="inlineStr"/>
      <c r="R68" t="inlineStr"/>
      <c r="S68" t="inlineStr"/>
      <c r="T68" t="inlineStr"/>
      <c r="U68" t="inlineStr"/>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n">
        <v>0</v>
      </c>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row>
    <row r="69">
      <c r="A69" t="inlineStr">
        <is>
          <t>III</t>
        </is>
      </c>
      <c r="B69" t="b">
        <v>1</v>
      </c>
      <c r="C69" t="inlineStr"/>
      <c r="D69" t="inlineStr"/>
      <c r="E69" t="n">
        <v>37</v>
      </c>
      <c r="F69">
        <f>HYPERLINK("https://portal.dnb.de/opac.htm?method=simpleSearch&amp;cqlMode=true&amp;query=idn%3D999177729", "Portal")</f>
        <v/>
      </c>
      <c r="G69" t="inlineStr">
        <is>
          <t>Aal</t>
        </is>
      </c>
      <c r="H69" t="inlineStr">
        <is>
          <t>L-1525-167684566</t>
        </is>
      </c>
      <c r="I69" t="inlineStr">
        <is>
          <t>999177729</t>
        </is>
      </c>
      <c r="J69" t="inlineStr">
        <is>
          <t>III 3, 30</t>
        </is>
      </c>
      <c r="K69" t="inlineStr">
        <is>
          <t>III 3, 30</t>
        </is>
      </c>
      <c r="L69" t="inlineStr">
        <is>
          <t>III 3, 30</t>
        </is>
      </c>
      <c r="M69" t="inlineStr"/>
      <c r="N69" t="inlineStr">
        <is>
          <t>Offenbarung der allrheim||lichisten heymlicheit, der ytzigen Baals priester,|| durch wölche, die welt lange zyt geblendt|| vn[d] das lyden Christi jhä</t>
        </is>
      </c>
      <c r="O69" t="inlineStr">
        <is>
          <t xml:space="preserve"> : </t>
        </is>
      </c>
      <c r="P69" t="inlineStr"/>
      <c r="Q69" t="inlineStr"/>
      <c r="R69" t="inlineStr"/>
      <c r="S69" t="inlineStr"/>
      <c r="T69" t="inlineStr"/>
      <c r="U69" t="inlineStr"/>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n">
        <v>0</v>
      </c>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c r="DD69" t="inlineStr"/>
      <c r="DE69" t="inlineStr"/>
      <c r="DF69" t="inlineStr"/>
      <c r="DG69" t="inlineStr"/>
    </row>
    <row r="70">
      <c r="A70" t="inlineStr">
        <is>
          <t>III</t>
        </is>
      </c>
      <c r="B70" t="b">
        <v>1</v>
      </c>
      <c r="C70" t="inlineStr"/>
      <c r="D70" t="inlineStr"/>
      <c r="E70" t="n">
        <v>38</v>
      </c>
      <c r="F70">
        <f>HYPERLINK("https://portal.dnb.de/opac.htm?method=simpleSearch&amp;cqlMode=true&amp;query=idn%3D1000152936", "Portal")</f>
        <v/>
      </c>
      <c r="G70" t="inlineStr">
        <is>
          <t>Aal</t>
        </is>
      </c>
      <c r="H70" t="inlineStr">
        <is>
          <t>L-1527-170103552</t>
        </is>
      </c>
      <c r="I70" t="inlineStr">
        <is>
          <t>1000152936</t>
        </is>
      </c>
      <c r="J70" t="inlineStr">
        <is>
          <t>III 3, 31</t>
        </is>
      </c>
      <c r="K70" t="inlineStr">
        <is>
          <t>III 3, 31</t>
        </is>
      </c>
      <c r="L70" t="inlineStr">
        <is>
          <t>III 3, 31</t>
        </is>
      </c>
      <c r="M70" t="inlineStr"/>
      <c r="N70" t="inlineStr">
        <is>
          <t>Ein @anzaigen auß lautrer ge||gründter ge=schrifft, des Göttlichen, Gaystlichen, vnnd|| Weltlichen gewalts, Auch der erwölung der diener, oder|| Richt</t>
        </is>
      </c>
      <c r="O70" t="inlineStr">
        <is>
          <t xml:space="preserve"> : </t>
        </is>
      </c>
      <c r="P70" t="inlineStr"/>
      <c r="Q70" t="inlineStr"/>
      <c r="R70" t="inlineStr">
        <is>
          <t>Pergamentband</t>
        </is>
      </c>
      <c r="S70" t="inlineStr">
        <is>
          <t>bis 25 cm</t>
        </is>
      </c>
      <c r="T70" t="inlineStr">
        <is>
          <t>80° bis 110°, einseitig digitalisierbar?</t>
        </is>
      </c>
      <c r="U70" t="inlineStr"/>
      <c r="V70" t="inlineStr"/>
      <c r="W70" t="inlineStr"/>
      <c r="X70" t="inlineStr"/>
      <c r="Y70" t="n">
        <v>0</v>
      </c>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inlineStr"/>
      <c r="BI70" t="inlineStr"/>
      <c r="BJ70" t="inlineStr"/>
      <c r="BK70" t="inlineStr"/>
      <c r="BL70" t="inlineStr"/>
      <c r="BM70" t="inlineStr"/>
      <c r="BN70" t="n">
        <v>0</v>
      </c>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c r="DC70" t="inlineStr"/>
      <c r="DD70" t="inlineStr"/>
      <c r="DE70" t="inlineStr"/>
      <c r="DF70" t="inlineStr"/>
      <c r="DG70" t="inlineStr"/>
    </row>
    <row r="71">
      <c r="A71" t="inlineStr">
        <is>
          <t>III</t>
        </is>
      </c>
      <c r="B71" t="b">
        <v>1</v>
      </c>
      <c r="C71" t="inlineStr"/>
      <c r="D71" t="inlineStr"/>
      <c r="E71" t="n">
        <v>39</v>
      </c>
      <c r="F71">
        <f>HYPERLINK("https://portal.dnb.de/opac.htm?method=simpleSearch&amp;cqlMode=true&amp;query=idn%3D994061757", "Portal")</f>
        <v/>
      </c>
      <c r="G71" t="inlineStr">
        <is>
          <t>Aal</t>
        </is>
      </c>
      <c r="H71" t="inlineStr">
        <is>
          <t>L-9999-154449180</t>
        </is>
      </c>
      <c r="I71" t="inlineStr">
        <is>
          <t>994061757</t>
        </is>
      </c>
      <c r="J71" t="inlineStr">
        <is>
          <t>III 3, 32</t>
        </is>
      </c>
      <c r="K71" t="inlineStr">
        <is>
          <t>III 3, 32</t>
        </is>
      </c>
      <c r="L71" t="inlineStr">
        <is>
          <t>III 3, 32</t>
        </is>
      </c>
      <c r="M71" t="inlineStr"/>
      <c r="N71" t="inlineStr">
        <is>
          <t>Expositio misteriorum miss[a]e|| christi passione deuotissime figurantiu[m] .metrice|| atq[ue] prosayce posita : Et verus modus rite cele=||brandi cun</t>
        </is>
      </c>
      <c r="O71" t="inlineStr">
        <is>
          <t xml:space="preserve"> : </t>
        </is>
      </c>
      <c r="P71" t="inlineStr"/>
      <c r="Q71" t="inlineStr"/>
      <c r="R71" t="inlineStr"/>
      <c r="S71" t="inlineStr"/>
      <c r="T71" t="inlineStr"/>
      <c r="U71" t="inlineStr"/>
      <c r="V71" t="inlineStr"/>
      <c r="W71" t="inlineStr"/>
      <c r="X71" t="inlineStr"/>
      <c r="Y71" t="inlineStr"/>
      <c r="Z71" t="inlineStr"/>
      <c r="AA71" t="inlineStr"/>
      <c r="AB71" t="inlineStr"/>
      <c r="AC71" t="inlineStr"/>
      <c r="AD71" t="inlineStr"/>
      <c r="AE71" t="inlineStr"/>
      <c r="AF71" t="inlineStr"/>
      <c r="AG71" t="inlineStr"/>
      <c r="AH71" t="inlineStr"/>
      <c r="AI71" t="inlineStr"/>
      <c r="AJ71" t="inlineStr"/>
      <c r="AK71" t="inlineStr"/>
      <c r="AL71" t="inlineStr"/>
      <c r="AM71" t="inlineStr"/>
      <c r="AN71" t="inlineStr"/>
      <c r="AO71" t="inlineStr"/>
      <c r="AP71" t="inlineStr"/>
      <c r="AQ71" t="inlineStr"/>
      <c r="AR71" t="inlineStr"/>
      <c r="AS71" t="inlineStr"/>
      <c r="AT71" t="inlineStr"/>
      <c r="AU71" t="inlineStr"/>
      <c r="AV71" t="inlineStr"/>
      <c r="AW71" t="inlineStr"/>
      <c r="AX71" t="inlineStr"/>
      <c r="AY71" t="inlineStr"/>
      <c r="AZ71" t="inlineStr"/>
      <c r="BA71" t="inlineStr"/>
      <c r="BB71" t="inlineStr"/>
      <c r="BC71" t="inlineStr"/>
      <c r="BD71" t="inlineStr"/>
      <c r="BE71" t="inlineStr"/>
      <c r="BF71" t="inlineStr"/>
      <c r="BG71" t="inlineStr"/>
      <c r="BH71" t="inlineStr"/>
      <c r="BI71" t="inlineStr"/>
      <c r="BJ71" t="inlineStr"/>
      <c r="BK71" t="inlineStr"/>
      <c r="BL71" t="inlineStr"/>
      <c r="BM71" t="inlineStr"/>
      <c r="BN71" t="n">
        <v>0</v>
      </c>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c r="DC71" t="inlineStr"/>
      <c r="DD71" t="inlineStr"/>
      <c r="DE71" t="inlineStr"/>
      <c r="DF71" t="inlineStr"/>
      <c r="DG71" t="inlineStr"/>
    </row>
    <row r="72">
      <c r="A72" t="inlineStr">
        <is>
          <t>III</t>
        </is>
      </c>
      <c r="B72" t="b">
        <v>1</v>
      </c>
      <c r="C72" t="inlineStr"/>
      <c r="D72" t="inlineStr"/>
      <c r="E72" t="n">
        <v>40</v>
      </c>
      <c r="F72">
        <f>HYPERLINK("https://portal.dnb.de/opac.htm?method=simpleSearch&amp;cqlMode=true&amp;query=idn%3D999175432", "Portal")</f>
        <v/>
      </c>
      <c r="G72" t="inlineStr">
        <is>
          <t>Aal</t>
        </is>
      </c>
      <c r="H72" t="inlineStr">
        <is>
          <t>L-1546-167648829</t>
        </is>
      </c>
      <c r="I72" t="inlineStr">
        <is>
          <t>999175432</t>
        </is>
      </c>
      <c r="J72" t="inlineStr">
        <is>
          <t>III 3, 33</t>
        </is>
      </c>
      <c r="K72" t="inlineStr">
        <is>
          <t>III 3, 33</t>
        </is>
      </c>
      <c r="L72" t="inlineStr">
        <is>
          <t>III 3, 33</t>
        </is>
      </c>
      <c r="M72" t="inlineStr"/>
      <c r="N72" t="inlineStr">
        <is>
          <t>Vrsach|| Warumb die Stende,|| so der Augspurgischen Confession an||hangen, Christliche leer erstlich angenom||men, vnnd endtlich dabey zuuer||harren g</t>
        </is>
      </c>
      <c r="O72" t="inlineStr">
        <is>
          <t xml:space="preserve"> : </t>
        </is>
      </c>
      <c r="P72" t="inlineStr"/>
      <c r="Q72" t="inlineStr"/>
      <c r="R72" t="inlineStr">
        <is>
          <t>Halbpergamentband</t>
        </is>
      </c>
      <c r="S72" t="inlineStr">
        <is>
          <t>bis 25 cm</t>
        </is>
      </c>
      <c r="T72" t="inlineStr">
        <is>
          <t>180°</t>
        </is>
      </c>
      <c r="U72" t="inlineStr">
        <is>
          <t>hohler Rücken</t>
        </is>
      </c>
      <c r="V72" t="inlineStr"/>
      <c r="W72" t="inlineStr"/>
      <c r="X72" t="inlineStr"/>
      <c r="Y72" t="n">
        <v>0</v>
      </c>
      <c r="Z72" t="inlineStr"/>
      <c r="AA72" t="inlineStr"/>
      <c r="AB72" t="inlineStr"/>
      <c r="AC72" t="inlineStr"/>
      <c r="AD72" t="inlineStr"/>
      <c r="AE72" t="inlineStr"/>
      <c r="AF72" t="inlineStr"/>
      <c r="AG72" t="inlineStr"/>
      <c r="AH72" t="inlineStr"/>
      <c r="AI72" t="inlineStr"/>
      <c r="AJ72" t="inlineStr"/>
      <c r="AK72" t="inlineStr"/>
      <c r="AL72" t="inlineStr"/>
      <c r="AM72" t="inlineStr"/>
      <c r="AN72" t="inlineStr"/>
      <c r="AO72" t="inlineStr"/>
      <c r="AP72" t="inlineStr"/>
      <c r="AQ72" t="inlineStr"/>
      <c r="AR72" t="inlineStr"/>
      <c r="AS72" t="inlineStr"/>
      <c r="AT72" t="inlineStr"/>
      <c r="AU72" t="inlineStr"/>
      <c r="AV72" t="inlineStr"/>
      <c r="AW72" t="inlineStr"/>
      <c r="AX72" t="inlineStr"/>
      <c r="AY72" t="inlineStr"/>
      <c r="AZ72" t="inlineStr"/>
      <c r="BA72" t="inlineStr"/>
      <c r="BB72" t="inlineStr"/>
      <c r="BC72" t="inlineStr"/>
      <c r="BD72" t="inlineStr"/>
      <c r="BE72" t="inlineStr"/>
      <c r="BF72" t="inlineStr"/>
      <c r="BG72" t="inlineStr"/>
      <c r="BH72" t="inlineStr"/>
      <c r="BI72" t="inlineStr"/>
      <c r="BJ72" t="inlineStr"/>
      <c r="BK72" t="inlineStr"/>
      <c r="BL72" t="inlineStr"/>
      <c r="BM72" t="inlineStr"/>
      <c r="BN72" t="n">
        <v>0</v>
      </c>
      <c r="BO72" t="inlineStr"/>
      <c r="BP72" t="inlineStr"/>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row>
    <row r="73">
      <c r="A73" t="inlineStr">
        <is>
          <t>III</t>
        </is>
      </c>
      <c r="B73" t="b">
        <v>1</v>
      </c>
      <c r="C73" t="inlineStr"/>
      <c r="D73" t="inlineStr"/>
      <c r="E73" t="n">
        <v>41</v>
      </c>
      <c r="F73">
        <f>HYPERLINK("https://portal.dnb.de/opac.htm?method=simpleSearch&amp;cqlMode=true&amp;query=idn%3D997855789", "Portal")</f>
        <v/>
      </c>
      <c r="G73" t="inlineStr">
        <is>
          <t>Aal</t>
        </is>
      </c>
      <c r="H73" t="inlineStr">
        <is>
          <t>L-1522-165117257</t>
        </is>
      </c>
      <c r="I73" t="inlineStr">
        <is>
          <t>997855789</t>
        </is>
      </c>
      <c r="J73" t="inlineStr">
        <is>
          <t>III 3, 34</t>
        </is>
      </c>
      <c r="K73" t="inlineStr">
        <is>
          <t>III 3, 34</t>
        </is>
      </c>
      <c r="L73" t="inlineStr">
        <is>
          <t>III 3, 34</t>
        </is>
      </c>
      <c r="M73" t="inlineStr"/>
      <c r="N73" t="inlineStr">
        <is>
          <t>Ain @nutzliche Pre||dig Zu allen Cristen : Vo[?] dem ||fasten, vn[?] feyren [Exodus 20,12] geprediget|| worden ; von bruder Heinrich ketten||bach Barf</t>
        </is>
      </c>
      <c r="O73" t="inlineStr">
        <is>
          <t xml:space="preserve"> : </t>
        </is>
      </c>
      <c r="P73" t="inlineStr"/>
      <c r="Q73" t="inlineStr"/>
      <c r="R73" t="inlineStr"/>
      <c r="S73" t="inlineStr"/>
      <c r="T73" t="inlineStr"/>
      <c r="U73" t="inlineStr"/>
      <c r="V73" t="inlineStr"/>
      <c r="W73" t="inlineStr"/>
      <c r="X73" t="inlineStr"/>
      <c r="Y73" t="inlineStr"/>
      <c r="Z73" t="inlineStr"/>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c r="AT73" t="inlineStr"/>
      <c r="AU73" t="inlineStr"/>
      <c r="AV73" t="inlineStr"/>
      <c r="AW73" t="inlineStr"/>
      <c r="AX73" t="inlineStr"/>
      <c r="AY73" t="inlineStr"/>
      <c r="AZ73" t="inlineStr"/>
      <c r="BA73" t="inlineStr"/>
      <c r="BB73" t="inlineStr"/>
      <c r="BC73" t="inlineStr"/>
      <c r="BD73" t="inlineStr"/>
      <c r="BE73" t="inlineStr"/>
      <c r="BF73" t="inlineStr"/>
      <c r="BG73" t="inlineStr"/>
      <c r="BH73" t="inlineStr"/>
      <c r="BI73" t="inlineStr"/>
      <c r="BJ73" t="inlineStr"/>
      <c r="BK73" t="inlineStr"/>
      <c r="BL73" t="inlineStr"/>
      <c r="BM73" t="inlineStr"/>
      <c r="BN73" t="n">
        <v>0</v>
      </c>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c r="DD73" t="inlineStr"/>
      <c r="DE73" t="inlineStr"/>
      <c r="DF73" t="inlineStr"/>
      <c r="DG73" t="inlineStr"/>
    </row>
    <row r="74">
      <c r="A74" t="inlineStr">
        <is>
          <t>III</t>
        </is>
      </c>
      <c r="B74" t="b">
        <v>1</v>
      </c>
      <c r="C74" t="inlineStr"/>
      <c r="D74" t="inlineStr"/>
      <c r="E74" t="n">
        <v>42</v>
      </c>
      <c r="F74">
        <f>HYPERLINK("https://portal.dnb.de/opac.htm?method=simpleSearch&amp;cqlMode=true&amp;query=idn%3D998431591", "Portal")</f>
        <v/>
      </c>
      <c r="G74" t="inlineStr">
        <is>
          <t>Aa</t>
        </is>
      </c>
      <c r="H74" t="inlineStr">
        <is>
          <t>L-2009-322630</t>
        </is>
      </c>
      <c r="I74" t="inlineStr">
        <is>
          <t>998431591</t>
        </is>
      </c>
      <c r="J74" t="inlineStr">
        <is>
          <t>III 3, 35</t>
        </is>
      </c>
      <c r="K74" t="inlineStr">
        <is>
          <t>III 3, 35</t>
        </is>
      </c>
      <c r="L74" t="inlineStr">
        <is>
          <t>III 3, 35</t>
        </is>
      </c>
      <c r="M74" t="inlineStr"/>
      <c r="N74" t="inlineStr">
        <is>
          <t>Paradoxa : das seind wunderbarliche vnd in dem gemainen wone oder verstand vnglaubliche sprüch</t>
        </is>
      </c>
      <c r="O74" t="inlineStr">
        <is>
          <t xml:space="preserve"> : </t>
        </is>
      </c>
      <c r="P74" t="inlineStr"/>
      <c r="Q74" t="inlineStr"/>
      <c r="R74" t="inlineStr"/>
      <c r="S74" t="inlineStr"/>
      <c r="T74" t="inlineStr"/>
      <c r="U74" t="inlineStr"/>
      <c r="V74" t="inlineStr"/>
      <c r="W74" t="inlineStr"/>
      <c r="X74" t="inlineStr"/>
      <c r="Y74" t="inlineStr"/>
      <c r="Z74" t="inlineStr"/>
      <c r="AA74" t="inlineStr"/>
      <c r="AB74" t="inlineStr"/>
      <c r="AC74" t="inlineStr"/>
      <c r="AD74" t="inlineStr"/>
      <c r="AE74" t="inlineStr"/>
      <c r="AF74" t="inlineStr"/>
      <c r="AG74" t="inlineStr"/>
      <c r="AH74" t="inlineStr"/>
      <c r="AI74" t="inlineStr"/>
      <c r="AJ74" t="inlineStr"/>
      <c r="AK74" t="inlineStr"/>
      <c r="AL74" t="inlineStr"/>
      <c r="AM74" t="inlineStr"/>
      <c r="AN74" t="inlineStr"/>
      <c r="AO74" t="inlineStr"/>
      <c r="AP74" t="inlineStr"/>
      <c r="AQ74" t="inlineStr"/>
      <c r="AR74" t="inlineStr"/>
      <c r="AS74" t="inlineStr"/>
      <c r="AT74" t="inlineStr"/>
      <c r="AU74" t="inlineStr"/>
      <c r="AV74" t="inlineStr"/>
      <c r="AW74" t="inlineStr"/>
      <c r="AX74" t="inlineStr"/>
      <c r="AY74" t="inlineStr"/>
      <c r="AZ74" t="inlineStr"/>
      <c r="BA74" t="inlineStr"/>
      <c r="BB74" t="inlineStr"/>
      <c r="BC74" t="inlineStr"/>
      <c r="BD74" t="inlineStr"/>
      <c r="BE74" t="inlineStr"/>
      <c r="BF74" t="inlineStr"/>
      <c r="BG74" t="inlineStr"/>
      <c r="BH74" t="inlineStr"/>
      <c r="BI74" t="inlineStr"/>
      <c r="BJ74" t="inlineStr"/>
      <c r="BK74" t="inlineStr"/>
      <c r="BL74" t="inlineStr"/>
      <c r="BM74" t="inlineStr"/>
      <c r="BN74" t="n">
        <v>0</v>
      </c>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c r="DC74" t="inlineStr"/>
      <c r="DD74" t="inlineStr"/>
      <c r="DE74" t="inlineStr"/>
      <c r="DF74" t="inlineStr"/>
      <c r="DG74" t="inlineStr"/>
    </row>
    <row r="75">
      <c r="A75" t="inlineStr">
        <is>
          <t>III</t>
        </is>
      </c>
      <c r="B75" t="b">
        <v>1</v>
      </c>
      <c r="C75" t="inlineStr"/>
      <c r="D75" t="inlineStr"/>
      <c r="E75" t="n">
        <v>43</v>
      </c>
      <c r="F75">
        <f>HYPERLINK("https://portal.dnb.de/opac.htm?method=simpleSearch&amp;cqlMode=true&amp;query=idn%3D1013629493", "Portal")</f>
        <v/>
      </c>
      <c r="G75" t="inlineStr">
        <is>
          <t>Aa</t>
        </is>
      </c>
      <c r="H75" t="inlineStr">
        <is>
          <t>L-2012-301916</t>
        </is>
      </c>
      <c r="I75" t="inlineStr">
        <is>
          <t>1013629493</t>
        </is>
      </c>
      <c r="J75" t="inlineStr">
        <is>
          <t>III 3, 36</t>
        </is>
      </c>
      <c r="K75" t="inlineStr">
        <is>
          <t>III 3, 36</t>
        </is>
      </c>
      <c r="L75" t="inlineStr">
        <is>
          <t>III 3, 36</t>
        </is>
      </c>
      <c r="M75" t="inlineStr"/>
      <c r="N75" t="inlineStr">
        <is>
          <t>BJbel|| Alt vnd new Te=||stament, nach dem Text in|| der hailigen kirchen gebraucht,|| durch doctor Johañ Ecken,|| mit fleiß, auf hohteutsch,|| verdol</t>
        </is>
      </c>
      <c r="O75" t="inlineStr">
        <is>
          <t xml:space="preserve"> : </t>
        </is>
      </c>
      <c r="P75" t="inlineStr"/>
      <c r="Q75" t="inlineStr"/>
      <c r="R75" t="inlineStr">
        <is>
          <t>Ledereinband, Schließen, erhabene Buchbeschläge</t>
        </is>
      </c>
      <c r="S75" t="inlineStr">
        <is>
          <t>bis 35 cm</t>
        </is>
      </c>
      <c r="T75" t="inlineStr">
        <is>
          <t>80° bis 110°, einseitig digitalisierbar?</t>
        </is>
      </c>
      <c r="U75" t="inlineStr">
        <is>
          <t>Schrift bis in den Falz</t>
        </is>
      </c>
      <c r="V75" t="inlineStr"/>
      <c r="W75" t="inlineStr"/>
      <c r="X75" t="inlineStr"/>
      <c r="Y75" t="n">
        <v>0</v>
      </c>
      <c r="Z75" t="inlineStr"/>
      <c r="AA75" t="inlineStr"/>
      <c r="AB75" t="inlineStr"/>
      <c r="AC75" t="inlineStr"/>
      <c r="AD75" t="inlineStr"/>
      <c r="AE75" t="inlineStr"/>
      <c r="AF75" t="inlineStr"/>
      <c r="AG75" t="inlineStr"/>
      <c r="AH75" t="inlineStr"/>
      <c r="AI75" t="inlineStr">
        <is>
          <t>HD</t>
        </is>
      </c>
      <c r="AJ75" t="inlineStr"/>
      <c r="AK75" t="inlineStr"/>
      <c r="AL75" t="inlineStr">
        <is>
          <t>x</t>
        </is>
      </c>
      <c r="AM75" t="inlineStr">
        <is>
          <t>f</t>
        </is>
      </c>
      <c r="AN75" t="inlineStr"/>
      <c r="AO75" t="inlineStr"/>
      <c r="AP75" t="inlineStr"/>
      <c r="AQ75" t="inlineStr"/>
      <c r="AR75" t="inlineStr"/>
      <c r="AS75" t="inlineStr">
        <is>
          <t>Pa</t>
        </is>
      </c>
      <c r="AT75" t="inlineStr"/>
      <c r="AU75" t="inlineStr"/>
      <c r="AV75" t="inlineStr"/>
      <c r="AW75" t="inlineStr">
        <is>
          <t>x</t>
        </is>
      </c>
      <c r="AX75" t="inlineStr"/>
      <c r="AY75" t="inlineStr"/>
      <c r="AZ75" t="inlineStr"/>
      <c r="BA75" t="inlineStr"/>
      <c r="BB75" t="inlineStr"/>
      <c r="BC75" t="inlineStr"/>
      <c r="BD75" t="inlineStr"/>
      <c r="BE75" t="n">
        <v>0</v>
      </c>
      <c r="BF75" t="inlineStr">
        <is>
          <t>x</t>
        </is>
      </c>
      <c r="BG75" t="n">
        <v>45</v>
      </c>
      <c r="BH75" t="inlineStr"/>
      <c r="BI75" t="inlineStr"/>
      <c r="BJ75" t="inlineStr"/>
      <c r="BK75" t="inlineStr"/>
      <c r="BL75" t="inlineStr"/>
      <c r="BM75" t="inlineStr">
        <is>
          <t>n</t>
        </is>
      </c>
      <c r="BN75" t="n">
        <v>0</v>
      </c>
      <c r="BO75" t="inlineStr"/>
      <c r="BP75" t="inlineStr"/>
      <c r="BQ75" t="inlineStr"/>
      <c r="BR75" t="inlineStr"/>
      <c r="BS75" t="inlineStr"/>
      <c r="BT75" t="inlineStr"/>
      <c r="BU75" t="inlineStr"/>
      <c r="BV75" t="inlineStr"/>
      <c r="BW75" t="inlineStr">
        <is>
          <t>x 45</t>
        </is>
      </c>
      <c r="BX75" t="inlineStr">
        <is>
          <t xml:space="preserve">
Bundsteg = 0, ist restauriert</t>
        </is>
      </c>
      <c r="BY75" t="inlineStr">
        <is>
          <t>Box (sperrt)</t>
        </is>
      </c>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row>
    <row r="76">
      <c r="A76" t="inlineStr">
        <is>
          <t>III</t>
        </is>
      </c>
      <c r="B76" t="b">
        <v>1</v>
      </c>
      <c r="C76" t="inlineStr"/>
      <c r="D76" t="inlineStr"/>
      <c r="E76" t="n">
        <v>75</v>
      </c>
      <c r="F76">
        <f>HYPERLINK("https://portal.dnb.de/opac.htm?method=simpleSearch&amp;cqlMode=true&amp;query=idn%3D1066865930", "Portal")</f>
        <v/>
      </c>
      <c r="G76" t="inlineStr">
        <is>
          <t>Aaf</t>
        </is>
      </c>
      <c r="H76" t="inlineStr">
        <is>
          <t>L-1556-31532421X</t>
        </is>
      </c>
      <c r="I76" t="inlineStr">
        <is>
          <t>1066865930</t>
        </is>
      </c>
      <c r="J76" t="inlineStr">
        <is>
          <t>III 4, 1</t>
        </is>
      </c>
      <c r="K76" t="inlineStr">
        <is>
          <t>III 4, 1</t>
        </is>
      </c>
      <c r="L76" t="inlineStr">
        <is>
          <t>III 4, 1</t>
        </is>
      </c>
      <c r="M76" t="inlineStr"/>
      <c r="N76" t="inlineStr">
        <is>
          <t xml:space="preserve">Epitaphia, Epi||grammata &amp; Ele-||giae aliquot doctorum &amp; illustrium|| uiroru, in funere ...|| Principis ac Domini, D.|| PHILIBERTI A RYE, Epi-||scopi </t>
        </is>
      </c>
      <c r="O76" t="inlineStr">
        <is>
          <t xml:space="preserve"> : </t>
        </is>
      </c>
      <c r="P76" t="inlineStr">
        <is>
          <t>X</t>
        </is>
      </c>
      <c r="Q76" t="inlineStr"/>
      <c r="R76" t="inlineStr">
        <is>
          <t>Broschur, Halbgewebeband</t>
        </is>
      </c>
      <c r="S76" t="inlineStr">
        <is>
          <t>bis 25 cm</t>
        </is>
      </c>
      <c r="T76" t="inlineStr">
        <is>
          <t>80° bis 110°, einseitig digitalisierbar?</t>
        </is>
      </c>
      <c r="U76" t="inlineStr"/>
      <c r="V76" t="inlineStr"/>
      <c r="W76" t="inlineStr"/>
      <c r="X76" t="inlineStr"/>
      <c r="Y76" t="n">
        <v>1</v>
      </c>
      <c r="Z76" t="inlineStr"/>
      <c r="AA76" t="inlineStr"/>
      <c r="AB76" t="inlineStr"/>
      <c r="AC76" t="inlineStr"/>
      <c r="AD76" t="inlineStr"/>
      <c r="AE76" t="inlineStr"/>
      <c r="AF76" t="inlineStr"/>
      <c r="AG76" t="inlineStr"/>
      <c r="AH76" t="inlineStr"/>
      <c r="AI76" t="inlineStr"/>
      <c r="AJ76" t="inlineStr"/>
      <c r="AK76" t="inlineStr"/>
      <c r="AL76" t="inlineStr"/>
      <c r="AM76" t="inlineStr"/>
      <c r="AN76" t="inlineStr"/>
      <c r="AO76" t="inlineStr"/>
      <c r="AP76" t="inlineStr"/>
      <c r="AQ76" t="inlineStr"/>
      <c r="AR76" t="inlineStr"/>
      <c r="AS76" t="inlineStr"/>
      <c r="AT76" t="inlineStr"/>
      <c r="AU76" t="inlineStr"/>
      <c r="AV76" t="inlineStr"/>
      <c r="AW76" t="inlineStr"/>
      <c r="AX76" t="inlineStr"/>
      <c r="AY76" t="inlineStr"/>
      <c r="AZ76" t="inlineStr"/>
      <c r="BA76" t="inlineStr"/>
      <c r="BB76" t="inlineStr"/>
      <c r="BC76" t="inlineStr"/>
      <c r="BD76" t="inlineStr"/>
      <c r="BE76" t="inlineStr"/>
      <c r="BF76" t="inlineStr"/>
      <c r="BG76" t="inlineStr"/>
      <c r="BH76" t="inlineStr"/>
      <c r="BI76" t="inlineStr"/>
      <c r="BJ76" t="inlineStr"/>
      <c r="BK76" t="inlineStr"/>
      <c r="BL76" t="inlineStr"/>
      <c r="BM76" t="inlineStr"/>
      <c r="BN76" t="n">
        <v>0</v>
      </c>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c r="DD76" t="inlineStr"/>
      <c r="DE76" t="inlineStr"/>
      <c r="DF76" t="inlineStr"/>
      <c r="DG76" t="inlineStr"/>
    </row>
    <row r="77">
      <c r="A77" t="inlineStr">
        <is>
          <t>III</t>
        </is>
      </c>
      <c r="B77" t="b">
        <v>1</v>
      </c>
      <c r="C77" t="inlineStr"/>
      <c r="D77" t="inlineStr"/>
      <c r="E77" t="n">
        <v>76</v>
      </c>
      <c r="F77">
        <f>HYPERLINK("https://portal.dnb.de/opac.htm?method=simpleSearch&amp;cqlMode=true&amp;query=idn%3D1066847150", "Portal")</f>
        <v/>
      </c>
      <c r="G77" t="inlineStr">
        <is>
          <t>Aaf</t>
        </is>
      </c>
      <c r="H77" t="inlineStr">
        <is>
          <t>L-1501-315306459</t>
        </is>
      </c>
      <c r="I77" t="inlineStr">
        <is>
          <t>1066847150</t>
        </is>
      </c>
      <c r="J77" t="inlineStr">
        <is>
          <t>III 5, 1</t>
        </is>
      </c>
      <c r="K77" t="inlineStr">
        <is>
          <t>III 5, 1</t>
        </is>
      </c>
      <c r="L77" t="inlineStr">
        <is>
          <t>III 5, 1</t>
        </is>
      </c>
      <c r="M77" t="inlineStr"/>
      <c r="N77" t="inlineStr">
        <is>
          <t xml:space="preserve">(Liber horarũ canonicarũ: sm nouã|| imperialis ecc#[l]ie Bambergeñ. rubricã||) [Hrsg. v. (Vitus ... Episcopus Babenbergẽsis ...||)] : </t>
        </is>
      </c>
      <c r="O77" t="inlineStr">
        <is>
          <t xml:space="preserve"> : </t>
        </is>
      </c>
      <c r="P77" t="inlineStr"/>
      <c r="Q77" t="inlineStr"/>
      <c r="R77" t="inlineStr"/>
      <c r="S77" t="inlineStr">
        <is>
          <t>bis 42 cm</t>
        </is>
      </c>
      <c r="T77" t="inlineStr"/>
      <c r="U77" t="inlineStr"/>
      <c r="V77" t="inlineStr"/>
      <c r="W77" t="inlineStr"/>
      <c r="X77" t="inlineStr"/>
      <c r="Y77" t="inlineStr"/>
      <c r="Z77" t="inlineStr"/>
      <c r="AA77" t="inlineStr"/>
      <c r="AB77" t="inlineStr"/>
      <c r="AC77" t="inlineStr"/>
      <c r="AD77" t="inlineStr"/>
      <c r="AE77" t="inlineStr"/>
      <c r="AF77" t="inlineStr"/>
      <c r="AG77" t="inlineStr"/>
      <c r="AH77" t="inlineStr"/>
      <c r="AI77" t="inlineStr">
        <is>
          <t>HL</t>
        </is>
      </c>
      <c r="AJ77" t="inlineStr"/>
      <c r="AK77" t="inlineStr">
        <is>
          <t>x</t>
        </is>
      </c>
      <c r="AL77" t="inlineStr"/>
      <c r="AM77" t="inlineStr">
        <is>
          <t>h/E</t>
        </is>
      </c>
      <c r="AN77" t="inlineStr"/>
      <c r="AO77" t="inlineStr"/>
      <c r="AP77" t="inlineStr"/>
      <c r="AQ77" t="inlineStr"/>
      <c r="AR77" t="inlineStr"/>
      <c r="AS77" t="inlineStr">
        <is>
          <t>Pa</t>
        </is>
      </c>
      <c r="AT77" t="inlineStr"/>
      <c r="AU77" t="inlineStr"/>
      <c r="AV77" t="inlineStr"/>
      <c r="AW77" t="inlineStr"/>
      <c r="AX77" t="inlineStr"/>
      <c r="AY77" t="inlineStr"/>
      <c r="AZ77" t="inlineStr"/>
      <c r="BA77" t="inlineStr"/>
      <c r="BB77" t="inlineStr"/>
      <c r="BC77" t="inlineStr">
        <is>
          <t>B/I/R</t>
        </is>
      </c>
      <c r="BD77" t="inlineStr">
        <is>
          <t>x</t>
        </is>
      </c>
      <c r="BE77" t="inlineStr"/>
      <c r="BF77" t="inlineStr"/>
      <c r="BG77" t="n">
        <v>45</v>
      </c>
      <c r="BH77" t="inlineStr"/>
      <c r="BI77" t="inlineStr"/>
      <c r="BJ77" t="inlineStr"/>
      <c r="BK77" t="inlineStr"/>
      <c r="BL77" t="inlineStr"/>
      <c r="BM77" t="inlineStr">
        <is>
          <t>n</t>
        </is>
      </c>
      <c r="BN77" t="n">
        <v>0</v>
      </c>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c r="DC77" t="inlineStr"/>
      <c r="DD77" t="inlineStr"/>
      <c r="DE77" t="inlineStr"/>
      <c r="DF77" t="inlineStr"/>
      <c r="DG77" t="inlineStr"/>
    </row>
    <row r="78">
      <c r="A78" t="inlineStr">
        <is>
          <t>III</t>
        </is>
      </c>
      <c r="B78" t="b">
        <v>1</v>
      </c>
      <c r="C78" t="inlineStr"/>
      <c r="D78" t="inlineStr"/>
      <c r="E78" t="n">
        <v>77</v>
      </c>
      <c r="F78">
        <f>HYPERLINK("https://portal.dnb.de/opac.htm?method=simpleSearch&amp;cqlMode=true&amp;query=idn%3D1066961883", "Portal")</f>
        <v/>
      </c>
      <c r="G78" t="inlineStr">
        <is>
          <t>Aaf</t>
        </is>
      </c>
      <c r="H78" t="inlineStr">
        <is>
          <t>L-1512-315492287</t>
        </is>
      </c>
      <c r="I78" t="inlineStr">
        <is>
          <t>1066961883</t>
        </is>
      </c>
      <c r="J78" t="inlineStr">
        <is>
          <t>III 5, 2</t>
        </is>
      </c>
      <c r="K78" t="inlineStr">
        <is>
          <t>III 5, 2</t>
        </is>
      </c>
      <c r="L78" t="inlineStr">
        <is>
          <t>III 5, 2</t>
        </is>
      </c>
      <c r="M78" t="inlineStr"/>
      <c r="N78" t="inlineStr">
        <is>
          <t>Statuta Diocesana siue Synodalia Reuerendissimi|| in Christo patris.Jllustris#[que] principis et dñi.domini|| Johãnis.dei et Ap#[l]ice sedis gratia Ad</t>
        </is>
      </c>
      <c r="O78" t="inlineStr">
        <is>
          <t xml:space="preserve"> : </t>
        </is>
      </c>
      <c r="P78" t="inlineStr"/>
      <c r="Q78" t="inlineStr"/>
      <c r="R78" t="inlineStr"/>
      <c r="S78" t="inlineStr"/>
      <c r="T78" t="inlineStr"/>
      <c r="U78" t="inlineStr"/>
      <c r="V78" t="inlineStr"/>
      <c r="W78" t="inlineStr"/>
      <c r="X78" t="inlineStr"/>
      <c r="Y78" t="inlineStr"/>
      <c r="Z78" t="inlineStr"/>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c r="AT78" t="inlineStr"/>
      <c r="AU78" t="inlineStr"/>
      <c r="AV78" t="inlineStr"/>
      <c r="AW78" t="inlineStr"/>
      <c r="AX78" t="inlineStr"/>
      <c r="AY78" t="inlineStr"/>
      <c r="AZ78" t="inlineStr"/>
      <c r="BA78" t="inlineStr"/>
      <c r="BB78" t="inlineStr"/>
      <c r="BC78" t="inlineStr"/>
      <c r="BD78" t="inlineStr"/>
      <c r="BE78" t="inlineStr"/>
      <c r="BF78" t="inlineStr"/>
      <c r="BG78" t="inlineStr"/>
      <c r="BH78" t="inlineStr"/>
      <c r="BI78" t="inlineStr"/>
      <c r="BJ78" t="inlineStr"/>
      <c r="BK78" t="inlineStr"/>
      <c r="BL78" t="inlineStr"/>
      <c r="BM78" t="inlineStr"/>
      <c r="BN78" t="n">
        <v>0</v>
      </c>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c r="DC78" t="inlineStr"/>
      <c r="DD78" t="inlineStr"/>
      <c r="DE78" t="inlineStr"/>
      <c r="DF78" t="inlineStr"/>
      <c r="DG78" t="inlineStr"/>
    </row>
    <row r="79">
      <c r="A79" t="inlineStr">
        <is>
          <t>III</t>
        </is>
      </c>
      <c r="B79" t="b">
        <v>1</v>
      </c>
      <c r="C79" t="inlineStr"/>
      <c r="D79" t="inlineStr"/>
      <c r="E79" t="n">
        <v>78</v>
      </c>
      <c r="F79">
        <f>HYPERLINK("https://portal.dnb.de/opac.htm?method=simpleSearch&amp;cqlMode=true&amp;query=idn%3D106696243X", "Portal")</f>
        <v/>
      </c>
      <c r="G79" t="inlineStr">
        <is>
          <t>Aaf</t>
        </is>
      </c>
      <c r="H79" t="inlineStr">
        <is>
          <t>L-1507-315492791</t>
        </is>
      </c>
      <c r="I79" t="inlineStr">
        <is>
          <t>106696243X</t>
        </is>
      </c>
      <c r="J79" t="inlineStr">
        <is>
          <t>III 6, 1</t>
        </is>
      </c>
      <c r="K79" t="inlineStr">
        <is>
          <t>III 6, 1</t>
        </is>
      </c>
      <c r="L79" t="inlineStr">
        <is>
          <t>III 6, 1</t>
        </is>
      </c>
      <c r="M79" t="inlineStr"/>
      <c r="N79" t="inlineStr">
        <is>
          <t xml:space="preserve">Vite ducẽto#[rum] et triginta summo#[rum]|| pontificũ: a beato Petro apostolo|| vs#[que] ad Juliũ secundũ modernum|| Pontificem.|| : </t>
        </is>
      </c>
      <c r="O79" t="inlineStr">
        <is>
          <t xml:space="preserve"> : </t>
        </is>
      </c>
      <c r="P79" t="inlineStr">
        <is>
          <t>X</t>
        </is>
      </c>
      <c r="Q79" t="inlineStr"/>
      <c r="R79" t="inlineStr">
        <is>
          <t>Gewebeeinband</t>
        </is>
      </c>
      <c r="S79" t="inlineStr">
        <is>
          <t>bis 25 cm</t>
        </is>
      </c>
      <c r="T79" t="inlineStr">
        <is>
          <t>80° bis 110°, einseitig digitalisierbar?</t>
        </is>
      </c>
      <c r="U79" t="inlineStr">
        <is>
          <t>fester Rücken mit Schmuckprägung</t>
        </is>
      </c>
      <c r="V79" t="inlineStr"/>
      <c r="W79" t="inlineStr"/>
      <c r="X79" t="inlineStr"/>
      <c r="Y79" t="n">
        <v>0</v>
      </c>
      <c r="Z79" t="inlineStr"/>
      <c r="AA79" t="inlineStr"/>
      <c r="AB79" t="inlineStr"/>
      <c r="AC79" t="inlineStr"/>
      <c r="AD79" t="inlineStr"/>
      <c r="AE79" t="inlineStr"/>
      <c r="AF79" t="inlineStr"/>
      <c r="AG79" t="inlineStr"/>
      <c r="AH79" t="inlineStr"/>
      <c r="AI79" t="inlineStr"/>
      <c r="AJ79" t="inlineStr"/>
      <c r="AK79" t="inlineStr"/>
      <c r="AL79" t="inlineStr"/>
      <c r="AM79" t="inlineStr"/>
      <c r="AN79" t="inlineStr"/>
      <c r="AO79" t="inlineStr"/>
      <c r="AP79" t="inlineStr"/>
      <c r="AQ79" t="inlineStr"/>
      <c r="AR79" t="inlineStr"/>
      <c r="AS79" t="inlineStr"/>
      <c r="AT79" t="inlineStr"/>
      <c r="AU79" t="inlineStr"/>
      <c r="AV79" t="inlineStr"/>
      <c r="AW79" t="inlineStr"/>
      <c r="AX79" t="inlineStr"/>
      <c r="AY79" t="inlineStr"/>
      <c r="AZ79" t="inlineStr"/>
      <c r="BA79" t="inlineStr"/>
      <c r="BB79" t="inlineStr"/>
      <c r="BC79" t="inlineStr"/>
      <c r="BD79" t="inlineStr"/>
      <c r="BE79" t="inlineStr"/>
      <c r="BF79" t="inlineStr"/>
      <c r="BG79" t="inlineStr"/>
      <c r="BH79" t="inlineStr"/>
      <c r="BI79" t="inlineStr"/>
      <c r="BJ79" t="inlineStr"/>
      <c r="BK79" t="inlineStr"/>
      <c r="BL79" t="inlineStr"/>
      <c r="BM79" t="inlineStr"/>
      <c r="BN79" t="n">
        <v>0</v>
      </c>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c r="DC79" t="inlineStr"/>
      <c r="DD79" t="inlineStr"/>
      <c r="DE79" t="inlineStr"/>
      <c r="DF79" t="inlineStr"/>
      <c r="DG79" t="inlineStr"/>
    </row>
    <row r="80">
      <c r="A80" t="inlineStr">
        <is>
          <t>III</t>
        </is>
      </c>
      <c r="B80" t="b">
        <v>1</v>
      </c>
      <c r="C80" t="inlineStr">
        <is>
          <t>x</t>
        </is>
      </c>
      <c r="D80" t="inlineStr"/>
      <c r="E80" t="n">
        <v>79</v>
      </c>
      <c r="F80">
        <f>HYPERLINK("https://portal.dnb.de/opac.htm?method=simpleSearch&amp;cqlMode=true&amp;query=idn%3D1066798702", "Portal")</f>
        <v/>
      </c>
      <c r="G80" t="inlineStr">
        <is>
          <t>Aaf</t>
        </is>
      </c>
      <c r="H80" t="inlineStr">
        <is>
          <t>L-1510-315218819</t>
        </is>
      </c>
      <c r="I80" t="inlineStr">
        <is>
          <t>1066798702</t>
        </is>
      </c>
      <c r="J80" t="inlineStr">
        <is>
          <t>III 6, 2</t>
        </is>
      </c>
      <c r="K80" t="inlineStr">
        <is>
          <t>III 6, 2</t>
        </is>
      </c>
      <c r="L80" t="inlineStr">
        <is>
          <t>III 6, 2</t>
        </is>
      </c>
      <c r="M80" t="inlineStr"/>
      <c r="N80" t="inlineStr">
        <is>
          <t xml:space="preserve">Gabrielis Biel ... Sacri canonis Missae tam mystica quam litteralis expositio : </t>
        </is>
      </c>
      <c r="O80" t="inlineStr">
        <is>
          <t xml:space="preserve"> : </t>
        </is>
      </c>
      <c r="P80" t="inlineStr"/>
      <c r="Q80" t="inlineStr"/>
      <c r="R80" t="inlineStr"/>
      <c r="S80" t="inlineStr">
        <is>
          <t>bis 35 cm</t>
        </is>
      </c>
      <c r="T80" t="inlineStr"/>
      <c r="U80" t="inlineStr"/>
      <c r="V80" t="inlineStr"/>
      <c r="W80" t="inlineStr"/>
      <c r="X80" t="inlineStr"/>
      <c r="Y80" t="inlineStr"/>
      <c r="Z80" t="inlineStr"/>
      <c r="AA80" t="inlineStr"/>
      <c r="AB80" t="inlineStr"/>
      <c r="AC80" t="inlineStr"/>
      <c r="AD80" t="inlineStr"/>
      <c r="AE80" t="inlineStr"/>
      <c r="AF80" t="inlineStr"/>
      <c r="AG80" t="inlineStr"/>
      <c r="AH80" t="inlineStr"/>
      <c r="AI80" t="inlineStr">
        <is>
          <t>HD</t>
        </is>
      </c>
      <c r="AJ80" t="inlineStr"/>
      <c r="AK80" t="inlineStr">
        <is>
          <t>x</t>
        </is>
      </c>
      <c r="AL80" t="inlineStr"/>
      <c r="AM80" t="inlineStr">
        <is>
          <t>f/V</t>
        </is>
      </c>
      <c r="AN80" t="inlineStr"/>
      <c r="AO80" t="inlineStr"/>
      <c r="AP80" t="inlineStr"/>
      <c r="AQ80" t="inlineStr"/>
      <c r="AR80" t="inlineStr"/>
      <c r="AS80" t="inlineStr">
        <is>
          <t>Pa</t>
        </is>
      </c>
      <c r="AT80" t="inlineStr"/>
      <c r="AU80" t="inlineStr"/>
      <c r="AV80" t="inlineStr"/>
      <c r="AW80" t="inlineStr"/>
      <c r="AX80" t="inlineStr"/>
      <c r="AY80" t="inlineStr"/>
      <c r="AZ80" t="inlineStr"/>
      <c r="BA80" t="inlineStr"/>
      <c r="BB80" t="inlineStr"/>
      <c r="BC80" t="inlineStr"/>
      <c r="BD80" t="inlineStr"/>
      <c r="BE80" t="inlineStr"/>
      <c r="BF80" t="inlineStr"/>
      <c r="BG80" t="n">
        <v>80</v>
      </c>
      <c r="BH80" t="inlineStr"/>
      <c r="BI80" t="inlineStr"/>
      <c r="BJ80" t="inlineStr"/>
      <c r="BK80" t="inlineStr"/>
      <c r="BL80" t="inlineStr"/>
      <c r="BM80" t="inlineStr">
        <is>
          <t>ja vor</t>
        </is>
      </c>
      <c r="BN80" t="n">
        <v>9</v>
      </c>
      <c r="BO80" t="inlineStr"/>
      <c r="BP80" t="inlineStr"/>
      <c r="BQ80" t="inlineStr"/>
      <c r="BR80" t="inlineStr">
        <is>
          <t>x</t>
        </is>
      </c>
      <c r="BS80" t="inlineStr"/>
      <c r="BT80" t="inlineStr"/>
      <c r="BU80" t="inlineStr"/>
      <c r="BV80" t="inlineStr"/>
      <c r="BW80" t="inlineStr"/>
      <c r="BX80" t="inlineStr"/>
      <c r="BY80" t="inlineStr"/>
      <c r="BZ80" t="inlineStr">
        <is>
          <t>x</t>
        </is>
      </c>
      <c r="CA80" t="inlineStr">
        <is>
          <t>x</t>
        </is>
      </c>
      <c r="CB80" t="inlineStr">
        <is>
          <t>x</t>
        </is>
      </c>
      <c r="CC80" t="inlineStr"/>
      <c r="CD80" t="inlineStr">
        <is>
          <t>v/h</t>
        </is>
      </c>
      <c r="CE80" t="n">
        <v>4</v>
      </c>
      <c r="CF80" t="inlineStr"/>
      <c r="CG80" t="inlineStr"/>
      <c r="CH80" t="inlineStr"/>
      <c r="CI80" t="inlineStr"/>
      <c r="CJ80" t="inlineStr"/>
      <c r="CK80" t="inlineStr"/>
      <c r="CL80" t="inlineStr"/>
      <c r="CM80" t="n">
        <v>9</v>
      </c>
      <c r="CN80" t="inlineStr">
        <is>
          <t>Bünde verlängern, Gelenk mit JP schließen, loses Leder zurückkleben</t>
        </is>
      </c>
      <c r="CO80" t="inlineStr"/>
      <c r="CP80" t="inlineStr"/>
      <c r="CQ80" t="inlineStr"/>
      <c r="CR80" t="inlineStr"/>
      <c r="CS80" t="inlineStr"/>
      <c r="CT80" t="inlineStr"/>
      <c r="CU80" t="inlineStr"/>
      <c r="CV80" t="inlineStr"/>
      <c r="CW80" t="inlineStr"/>
      <c r="CX80" t="inlineStr"/>
      <c r="CY80" t="inlineStr"/>
      <c r="CZ80" t="inlineStr"/>
      <c r="DA80" t="inlineStr"/>
      <c r="DB80" t="inlineStr"/>
      <c r="DC80" t="inlineStr"/>
      <c r="DD80" t="inlineStr"/>
      <c r="DE80" t="inlineStr"/>
      <c r="DF80" t="inlineStr"/>
      <c r="DG80" t="inlineStr"/>
    </row>
    <row r="81">
      <c r="A81" t="inlineStr">
        <is>
          <t>III</t>
        </is>
      </c>
      <c r="B81" t="b">
        <v>0</v>
      </c>
      <c r="C81" t="inlineStr"/>
      <c r="D81" t="inlineStr"/>
      <c r="E81" t="n">
        <v>80</v>
      </c>
      <c r="F81">
        <f>HYPERLINK("https://portal.dnb.de/opac.htm?method=simpleSearch&amp;cqlMode=true&amp;query=idn%3D1066960135", "Portal")</f>
        <v/>
      </c>
      <c r="G81" t="inlineStr"/>
      <c r="H81" t="inlineStr">
        <is>
          <t>L-1510-315490659</t>
        </is>
      </c>
      <c r="I81" t="inlineStr">
        <is>
          <t>1066960135</t>
        </is>
      </c>
      <c r="J81" t="inlineStr"/>
      <c r="K81" t="inlineStr"/>
      <c r="L81" t="inlineStr">
        <is>
          <t>III 6, 3</t>
        </is>
      </c>
      <c r="M81" t="inlineStr"/>
      <c r="N81" t="inlineStr"/>
      <c r="O81" t="inlineStr"/>
      <c r="P81" t="inlineStr"/>
      <c r="Q81" t="inlineStr"/>
      <c r="R81" t="inlineStr"/>
      <c r="S81" t="inlineStr"/>
      <c r="T81" t="inlineStr"/>
      <c r="U81" t="inlineStr"/>
      <c r="V81" t="inlineStr"/>
      <c r="W81" t="inlineStr"/>
      <c r="X81" t="inlineStr"/>
      <c r="Y81" t="inlineStr"/>
      <c r="Z81" t="inlineStr"/>
      <c r="AA81" t="inlineStr"/>
      <c r="AB81" t="inlineStr"/>
      <c r="AC81" t="inlineStr"/>
      <c r="AD81" t="inlineStr">
        <is>
          <t>DA</t>
        </is>
      </c>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inlineStr"/>
      <c r="BI81" t="inlineStr"/>
      <c r="BJ81" t="inlineStr"/>
      <c r="BK81" t="inlineStr"/>
      <c r="BL81" t="inlineStr"/>
      <c r="BM81" t="inlineStr"/>
      <c r="BN81" t="n">
        <v>0</v>
      </c>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c r="DC81" t="inlineStr"/>
      <c r="DD81" t="inlineStr"/>
      <c r="DE81" t="inlineStr"/>
      <c r="DF81" t="inlineStr"/>
      <c r="DG81" t="inlineStr"/>
    </row>
    <row r="82">
      <c r="A82" t="inlineStr">
        <is>
          <t>III</t>
        </is>
      </c>
      <c r="B82" t="b">
        <v>1</v>
      </c>
      <c r="C82" t="inlineStr">
        <is>
          <t>x</t>
        </is>
      </c>
      <c r="D82" t="inlineStr"/>
      <c r="E82" t="n">
        <v>81</v>
      </c>
      <c r="F82">
        <f>HYPERLINK("https://portal.dnb.de/opac.htm?method=simpleSearch&amp;cqlMode=true&amp;query=idn%3D1066871604", "Portal")</f>
        <v/>
      </c>
      <c r="G82" t="inlineStr">
        <is>
          <t>Aaf</t>
        </is>
      </c>
      <c r="H82" t="inlineStr">
        <is>
          <t>L-1507-315329408</t>
        </is>
      </c>
      <c r="I82" t="inlineStr">
        <is>
          <t>1066871604</t>
        </is>
      </c>
      <c r="J82" t="inlineStr">
        <is>
          <t>III 6, 4</t>
        </is>
      </c>
      <c r="K82" t="inlineStr">
        <is>
          <t>III 6, 4</t>
        </is>
      </c>
      <c r="L82" t="inlineStr">
        <is>
          <t>III 6, 4</t>
        </is>
      </c>
      <c r="M82" t="inlineStr"/>
      <c r="N82" t="inlineStr">
        <is>
          <t xml:space="preserve">Kronica von der|| loblichen Eydt||gnoschaft Jr har||kōmen vnd sust : </t>
        </is>
      </c>
      <c r="O82" t="inlineStr">
        <is>
          <t xml:space="preserve"> : </t>
        </is>
      </c>
      <c r="P82" t="inlineStr">
        <is>
          <t>X</t>
        </is>
      </c>
      <c r="Q82" t="inlineStr">
        <is>
          <t>? EUR</t>
        </is>
      </c>
      <c r="R82" t="inlineStr">
        <is>
          <t>Halbledereinband</t>
        </is>
      </c>
      <c r="S82" t="inlineStr">
        <is>
          <t>bis 35 cm</t>
        </is>
      </c>
      <c r="T82" t="inlineStr">
        <is>
          <t>80° bis 110°, einseitig digitalisierbar?</t>
        </is>
      </c>
      <c r="U82" t="inlineStr">
        <is>
          <t>hohler Rücken</t>
        </is>
      </c>
      <c r="V82" t="inlineStr"/>
      <c r="W82" t="inlineStr"/>
      <c r="X82" t="inlineStr"/>
      <c r="Y82" t="n">
        <v>3</v>
      </c>
      <c r="Z82" t="inlineStr"/>
      <c r="AA82" t="inlineStr"/>
      <c r="AB82" t="inlineStr"/>
      <c r="AC82" t="inlineStr"/>
      <c r="AD82" t="inlineStr"/>
      <c r="AE82" t="inlineStr"/>
      <c r="AF82" t="inlineStr"/>
      <c r="AG82" t="inlineStr"/>
      <c r="AH82" t="inlineStr"/>
      <c r="AI82" t="inlineStr">
        <is>
          <t>HL</t>
        </is>
      </c>
      <c r="AJ82" t="inlineStr"/>
      <c r="AK82" t="inlineStr">
        <is>
          <t>x</t>
        </is>
      </c>
      <c r="AL82" t="inlineStr"/>
      <c r="AM82" t="inlineStr">
        <is>
          <t>h/E</t>
        </is>
      </c>
      <c r="AN82" t="inlineStr"/>
      <c r="AO82" t="inlineStr"/>
      <c r="AP82" t="inlineStr"/>
      <c r="AQ82" t="inlineStr"/>
      <c r="AR82" t="inlineStr"/>
      <c r="AS82" t="inlineStr">
        <is>
          <t>Pa</t>
        </is>
      </c>
      <c r="AT82" t="inlineStr"/>
      <c r="AU82" t="inlineStr"/>
      <c r="AV82" t="inlineStr"/>
      <c r="AW82" t="inlineStr"/>
      <c r="AX82" t="inlineStr"/>
      <c r="AY82" t="inlineStr"/>
      <c r="AZ82" t="inlineStr"/>
      <c r="BA82" t="inlineStr"/>
      <c r="BB82" t="inlineStr"/>
      <c r="BC82" t="inlineStr"/>
      <c r="BD82" t="inlineStr"/>
      <c r="BE82" t="inlineStr"/>
      <c r="BF82" t="inlineStr"/>
      <c r="BG82" t="n">
        <v>110</v>
      </c>
      <c r="BH82" t="inlineStr"/>
      <c r="BI82" t="inlineStr"/>
      <c r="BJ82" t="inlineStr"/>
      <c r="BK82" t="inlineStr"/>
      <c r="BL82" t="inlineStr"/>
      <c r="BM82" t="inlineStr">
        <is>
          <t>ja vor</t>
        </is>
      </c>
      <c r="BN82" t="n">
        <v>1</v>
      </c>
      <c r="BO82" t="inlineStr"/>
      <c r="BP82" t="inlineStr"/>
      <c r="BQ82" t="inlineStr"/>
      <c r="BR82" t="inlineStr"/>
      <c r="BS82" t="inlineStr"/>
      <c r="BT82" t="inlineStr"/>
      <c r="BU82" t="inlineStr"/>
      <c r="BV82" t="inlineStr"/>
      <c r="BW82" t="inlineStr"/>
      <c r="BX82" t="inlineStr"/>
      <c r="BY82" t="inlineStr"/>
      <c r="BZ82" t="inlineStr">
        <is>
          <t>x</t>
        </is>
      </c>
      <c r="CA82" t="inlineStr">
        <is>
          <t>x</t>
        </is>
      </c>
      <c r="CB82" t="inlineStr">
        <is>
          <t>x</t>
        </is>
      </c>
      <c r="CC82" t="inlineStr"/>
      <c r="CD82" t="inlineStr"/>
      <c r="CE82" t="inlineStr"/>
      <c r="CF82" t="inlineStr"/>
      <c r="CG82" t="inlineStr"/>
      <c r="CH82" t="inlineStr"/>
      <c r="CI82" t="inlineStr"/>
      <c r="CJ82" t="inlineStr"/>
      <c r="CK82" t="inlineStr"/>
      <c r="CL82" t="inlineStr">
        <is>
          <t>x</t>
        </is>
      </c>
      <c r="CM82" t="n">
        <v>1</v>
      </c>
      <c r="CN82" t="inlineStr">
        <is>
          <t>Gewebe über den Deckeln nur an notwendigen Stellen zurückkleben, Rest belassen  (ist stabil)</t>
        </is>
      </c>
      <c r="CO82" t="inlineStr"/>
      <c r="CP82" t="inlineStr"/>
      <c r="CQ82" t="inlineStr"/>
      <c r="CR82" t="inlineStr"/>
      <c r="CS82" t="inlineStr"/>
      <c r="CT82" t="inlineStr"/>
      <c r="CU82" t="inlineStr"/>
      <c r="CV82" t="inlineStr"/>
      <c r="CW82" t="inlineStr"/>
      <c r="CX82" t="inlineStr"/>
      <c r="CY82" t="inlineStr"/>
      <c r="CZ82" t="inlineStr"/>
      <c r="DA82" t="inlineStr"/>
      <c r="DB82" t="inlineStr"/>
      <c r="DC82" t="inlineStr"/>
      <c r="DD82" t="inlineStr"/>
      <c r="DE82" t="inlineStr"/>
      <c r="DF82" t="inlineStr"/>
      <c r="DG82" t="inlineStr"/>
    </row>
    <row r="83">
      <c r="A83" t="inlineStr">
        <is>
          <t>III</t>
        </is>
      </c>
      <c r="B83" t="b">
        <v>1</v>
      </c>
      <c r="C83" t="inlineStr">
        <is>
          <t>x</t>
        </is>
      </c>
      <c r="D83" t="inlineStr"/>
      <c r="E83" t="n">
        <v>82</v>
      </c>
      <c r="F83">
        <f>HYPERLINK("https://portal.dnb.de/opac.htm?method=simpleSearch&amp;cqlMode=true&amp;query=idn%3D1066959587", "Portal")</f>
        <v/>
      </c>
      <c r="G83" t="inlineStr">
        <is>
          <t>Aaf</t>
        </is>
      </c>
      <c r="H83" t="inlineStr">
        <is>
          <t>L-1509-31549011X</t>
        </is>
      </c>
      <c r="I83" t="inlineStr">
        <is>
          <t>1066959587</t>
        </is>
      </c>
      <c r="J83" t="inlineStr">
        <is>
          <t>III 6, 5</t>
        </is>
      </c>
      <c r="K83" t="inlineStr">
        <is>
          <t>III 6, 5</t>
        </is>
      </c>
      <c r="L83" t="inlineStr">
        <is>
          <t>III 6, 5</t>
        </is>
      </c>
      <c r="M83" t="inlineStr"/>
      <c r="N83" t="inlineStr">
        <is>
          <t>Doctor Brants Narrenschiff|| ... Nüt on vrsach|| Uor hab ichs narren schiff gedicht|| Mit grosser arbeyt vff geriecht|| Und das mit doren also geladen</t>
        </is>
      </c>
      <c r="O83" t="inlineStr">
        <is>
          <t xml:space="preserve"> : </t>
        </is>
      </c>
      <c r="P83" t="inlineStr">
        <is>
          <t>X</t>
        </is>
      </c>
      <c r="Q83" t="inlineStr"/>
      <c r="R83" t="inlineStr">
        <is>
          <t>Ledereinband</t>
        </is>
      </c>
      <c r="S83" t="inlineStr">
        <is>
          <t>bis 25 cm</t>
        </is>
      </c>
      <c r="T83" t="inlineStr">
        <is>
          <t>80° bis 110°, einseitig digitalisierbar?</t>
        </is>
      </c>
      <c r="U83" t="inlineStr">
        <is>
          <t>fester Rücken mit Schmuckprägung, stark brüchiges Einbandmaterial</t>
        </is>
      </c>
      <c r="V83" t="inlineStr"/>
      <c r="W83" t="inlineStr"/>
      <c r="X83" t="inlineStr"/>
      <c r="Y83" t="n">
        <v>3</v>
      </c>
      <c r="Z83" t="inlineStr"/>
      <c r="AA83" t="inlineStr"/>
      <c r="AB83" t="inlineStr"/>
      <c r="AC83" t="inlineStr"/>
      <c r="AD83" t="inlineStr"/>
      <c r="AE83" t="inlineStr"/>
      <c r="AF83" t="inlineStr"/>
      <c r="AG83" t="inlineStr"/>
      <c r="AH83" t="inlineStr"/>
      <c r="AI83" t="inlineStr">
        <is>
          <t>L</t>
        </is>
      </c>
      <c r="AJ83" t="inlineStr"/>
      <c r="AK83" t="inlineStr">
        <is>
          <t>x</t>
        </is>
      </c>
      <c r="AL83" t="inlineStr"/>
      <c r="AM83" t="inlineStr">
        <is>
          <t>f/V</t>
        </is>
      </c>
      <c r="AN83" t="inlineStr"/>
      <c r="AO83" t="inlineStr"/>
      <c r="AP83" t="inlineStr"/>
      <c r="AQ83" t="inlineStr"/>
      <c r="AR83" t="inlineStr"/>
      <c r="AS83" t="inlineStr">
        <is>
          <t>Pa</t>
        </is>
      </c>
      <c r="AT83" t="inlineStr"/>
      <c r="AU83" t="inlineStr"/>
      <c r="AV83" t="inlineStr"/>
      <c r="AW83" t="inlineStr"/>
      <c r="AX83" t="inlineStr"/>
      <c r="AY83" t="inlineStr"/>
      <c r="AZ83" t="inlineStr"/>
      <c r="BA83" t="inlineStr"/>
      <c r="BB83" t="inlineStr"/>
      <c r="BC83" t="inlineStr"/>
      <c r="BD83" t="inlineStr"/>
      <c r="BE83" t="inlineStr"/>
      <c r="BF83" t="inlineStr"/>
      <c r="BG83" t="n">
        <v>45</v>
      </c>
      <c r="BH83" t="inlineStr"/>
      <c r="BI83" t="inlineStr"/>
      <c r="BJ83" t="inlineStr"/>
      <c r="BK83" t="inlineStr"/>
      <c r="BL83" t="inlineStr"/>
      <c r="BM83" t="inlineStr">
        <is>
          <t>ja vor</t>
        </is>
      </c>
      <c r="BN83" t="n">
        <v>2</v>
      </c>
      <c r="BO83" t="inlineStr"/>
      <c r="BP83" t="inlineStr"/>
      <c r="BQ83" t="inlineStr"/>
      <c r="BR83" t="inlineStr"/>
      <c r="BS83" t="inlineStr"/>
      <c r="BT83" t="inlineStr"/>
      <c r="BU83" t="inlineStr"/>
      <c r="BV83" t="inlineStr"/>
      <c r="BW83" t="inlineStr"/>
      <c r="BX83" t="inlineStr"/>
      <c r="BY83" t="inlineStr"/>
      <c r="BZ83" t="inlineStr">
        <is>
          <t>x</t>
        </is>
      </c>
      <c r="CA83" t="inlineStr">
        <is>
          <t>x</t>
        </is>
      </c>
      <c r="CB83" t="inlineStr">
        <is>
          <t>x</t>
        </is>
      </c>
      <c r="CC83" t="inlineStr"/>
      <c r="CD83" t="inlineStr">
        <is>
          <t>v</t>
        </is>
      </c>
      <c r="CE83" t="inlineStr"/>
      <c r="CF83" t="inlineStr"/>
      <c r="CG83" t="inlineStr"/>
      <c r="CH83" t="inlineStr"/>
      <c r="CI83" t="inlineStr"/>
      <c r="CJ83" t="inlineStr"/>
      <c r="CK83" t="inlineStr"/>
      <c r="CL83" t="inlineStr"/>
      <c r="CM83" t="n">
        <v>2</v>
      </c>
      <c r="CN83" t="inlineStr">
        <is>
          <t>Ergänzung/Stabilisierung mit JP</t>
        </is>
      </c>
      <c r="CO83" t="inlineStr"/>
      <c r="CP83" t="inlineStr"/>
      <c r="CQ83" t="inlineStr"/>
      <c r="CR83" t="inlineStr"/>
      <c r="CS83" t="inlineStr"/>
      <c r="CT83" t="inlineStr"/>
      <c r="CU83" t="inlineStr"/>
      <c r="CV83" t="inlineStr"/>
      <c r="CW83" t="inlineStr"/>
      <c r="CX83" t="inlineStr"/>
      <c r="CY83" t="inlineStr"/>
      <c r="CZ83" t="inlineStr"/>
      <c r="DA83" t="inlineStr"/>
      <c r="DB83" t="inlineStr"/>
      <c r="DC83" t="inlineStr"/>
      <c r="DD83" t="inlineStr"/>
      <c r="DE83" t="inlineStr"/>
      <c r="DF83" t="inlineStr"/>
      <c r="DG83" t="inlineStr"/>
    </row>
    <row r="84">
      <c r="A84" t="inlineStr">
        <is>
          <t>III</t>
        </is>
      </c>
      <c r="B84" t="b">
        <v>1</v>
      </c>
      <c r="C84" t="inlineStr"/>
      <c r="D84" t="inlineStr"/>
      <c r="E84" t="n">
        <v>83</v>
      </c>
      <c r="F84">
        <f>HYPERLINK("https://portal.dnb.de/opac.htm?method=simpleSearch&amp;cqlMode=true&amp;query=idn%3D1066960372", "Portal")</f>
        <v/>
      </c>
      <c r="G84" t="inlineStr">
        <is>
          <t>Aaf</t>
        </is>
      </c>
      <c r="H84" t="inlineStr">
        <is>
          <t>L-1516-315490861</t>
        </is>
      </c>
      <c r="I84" t="inlineStr">
        <is>
          <t>1066960372</t>
        </is>
      </c>
      <c r="J84" t="inlineStr">
        <is>
          <t>III 6, 6</t>
        </is>
      </c>
      <c r="K84" t="inlineStr">
        <is>
          <t>III 6, 6</t>
        </is>
      </c>
      <c r="L84" t="inlineStr">
        <is>
          <t>III 6, 6</t>
        </is>
      </c>
      <c r="M84" t="inlineStr"/>
      <c r="N84" t="inlineStr">
        <is>
          <t>Das @Plenarium|| Oder Ewangely buoch: Sum||mer vñ Winterteyl/ durch das gantz iar in ein? ied? Son=||tag/ von der zeyt/ vnd von d? Heiligen. Die orden</t>
        </is>
      </c>
      <c r="O84" t="inlineStr">
        <is>
          <t xml:space="preserve"> : </t>
        </is>
      </c>
      <c r="P84" t="inlineStr">
        <is>
          <t>X</t>
        </is>
      </c>
      <c r="Q84" t="inlineStr"/>
      <c r="R84" t="inlineStr">
        <is>
          <t>Ledereinband</t>
        </is>
      </c>
      <c r="S84" t="inlineStr">
        <is>
          <t>bis 35 cm</t>
        </is>
      </c>
      <c r="T84" t="inlineStr">
        <is>
          <t>80° bis 110°, einseitig digitalisierbar?</t>
        </is>
      </c>
      <c r="U84" t="inlineStr">
        <is>
          <t>fester Rücken mit Schmuckprägung, welliger Buchblock, Schrift bis in den Falz</t>
        </is>
      </c>
      <c r="V84" t="inlineStr"/>
      <c r="W84" t="inlineStr"/>
      <c r="X84" t="inlineStr"/>
      <c r="Y84" t="n">
        <v>3</v>
      </c>
      <c r="Z84" t="inlineStr"/>
      <c r="AA84" t="inlineStr"/>
      <c r="AB84" t="inlineStr"/>
      <c r="AC84" t="inlineStr"/>
      <c r="AD84" t="inlineStr"/>
      <c r="AE84" t="inlineStr"/>
      <c r="AF84" t="inlineStr"/>
      <c r="AG84" t="inlineStr"/>
      <c r="AH84" t="inlineStr"/>
      <c r="AI84" t="inlineStr">
        <is>
          <t>L</t>
        </is>
      </c>
      <c r="AJ84" t="inlineStr"/>
      <c r="AK84" t="inlineStr">
        <is>
          <t>x</t>
        </is>
      </c>
      <c r="AL84" t="inlineStr"/>
      <c r="AM84" t="inlineStr">
        <is>
          <t>f/V</t>
        </is>
      </c>
      <c r="AN84" t="inlineStr"/>
      <c r="AO84" t="inlineStr"/>
      <c r="AP84" t="inlineStr"/>
      <c r="AQ84" t="inlineStr"/>
      <c r="AR84" t="inlineStr"/>
      <c r="AS84" t="inlineStr">
        <is>
          <t>Pa</t>
        </is>
      </c>
      <c r="AT84" t="inlineStr"/>
      <c r="AU84" t="inlineStr"/>
      <c r="AV84" t="inlineStr"/>
      <c r="AW84" t="inlineStr"/>
      <c r="AX84" t="inlineStr"/>
      <c r="AY84" t="inlineStr"/>
      <c r="AZ84" t="inlineStr"/>
      <c r="BA84" t="inlineStr"/>
      <c r="BB84" t="inlineStr"/>
      <c r="BC84" t="inlineStr"/>
      <c r="BD84" t="inlineStr"/>
      <c r="BE84" t="inlineStr"/>
      <c r="BF84" t="inlineStr"/>
      <c r="BG84" t="n">
        <v>110</v>
      </c>
      <c r="BH84" t="inlineStr"/>
      <c r="BI84" t="inlineStr"/>
      <c r="BJ84" t="inlineStr"/>
      <c r="BK84" t="inlineStr"/>
      <c r="BL84" t="inlineStr"/>
      <c r="BM84" t="inlineStr">
        <is>
          <t>n</t>
        </is>
      </c>
      <c r="BN84" t="n">
        <v>0</v>
      </c>
      <c r="BO84" t="inlineStr"/>
      <c r="BP84" t="inlineStr"/>
      <c r="BQ84" t="inlineStr"/>
      <c r="BR84" t="inlineStr"/>
      <c r="BS84" t="inlineStr"/>
      <c r="BT84" t="inlineStr"/>
      <c r="BU84" t="inlineStr"/>
      <c r="BV84" t="inlineStr">
        <is>
          <t>Schaden stabil</t>
        </is>
      </c>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row>
    <row r="85">
      <c r="A85" t="inlineStr">
        <is>
          <t>III</t>
        </is>
      </c>
      <c r="B85" t="b">
        <v>1</v>
      </c>
      <c r="C85" t="inlineStr"/>
      <c r="D85" t="inlineStr"/>
      <c r="E85" t="n">
        <v>189</v>
      </c>
      <c r="F85">
        <f>HYPERLINK("https://portal.dnb.de/opac.htm?method=simpleSearch&amp;cqlMode=true&amp;query=idn%3D1066959099", "Portal")</f>
        <v/>
      </c>
      <c r="G85" t="inlineStr">
        <is>
          <t>Aaf</t>
        </is>
      </c>
      <c r="H85" t="inlineStr">
        <is>
          <t>L-1516-315489715</t>
        </is>
      </c>
      <c r="I85" t="inlineStr">
        <is>
          <t>1066959099</t>
        </is>
      </c>
      <c r="J85" t="inlineStr">
        <is>
          <t>III 6, 6 a</t>
        </is>
      </c>
      <c r="K85" t="inlineStr">
        <is>
          <t>III 6, 6 a</t>
        </is>
      </c>
      <c r="L85" t="inlineStr">
        <is>
          <t>III 6, 6 a</t>
        </is>
      </c>
      <c r="M85" t="inlineStr"/>
      <c r="N85" t="inlineStr">
        <is>
          <t>Petri Lombardi|| Parrhysiensis ecclesie quon/||dam antistitis: viri diuinaru reru eru/||ditissimi: Sententiarum Textus: per capitula ...|| recenter di</t>
        </is>
      </c>
      <c r="O85" t="inlineStr">
        <is>
          <t xml:space="preserve"> : </t>
        </is>
      </c>
      <c r="P85" t="inlineStr">
        <is>
          <t>X</t>
        </is>
      </c>
      <c r="Q85" t="inlineStr"/>
      <c r="R85" t="inlineStr">
        <is>
          <t>Gewebeeinband</t>
        </is>
      </c>
      <c r="S85" t="inlineStr">
        <is>
          <t>bis 35 cm</t>
        </is>
      </c>
      <c r="T85" t="inlineStr">
        <is>
          <t>80° bis 110°, einseitig digitalisierbar?</t>
        </is>
      </c>
      <c r="U85" t="inlineStr">
        <is>
          <t>hohler Rücken, Schrift bis in den Falz</t>
        </is>
      </c>
      <c r="V85" t="inlineStr"/>
      <c r="W85" t="inlineStr"/>
      <c r="X85" t="inlineStr"/>
      <c r="Y85" t="n">
        <v>0</v>
      </c>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inlineStr"/>
      <c r="BI85" t="inlineStr"/>
      <c r="BJ85" t="inlineStr"/>
      <c r="BK85" t="inlineStr"/>
      <c r="BL85" t="inlineStr"/>
      <c r="BM85" t="inlineStr"/>
      <c r="BN85" t="n">
        <v>0</v>
      </c>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c r="DC85" t="inlineStr"/>
      <c r="DD85" t="inlineStr"/>
      <c r="DE85" t="inlineStr"/>
      <c r="DF85" t="inlineStr"/>
      <c r="DG85" t="inlineStr"/>
    </row>
    <row r="86">
      <c r="A86" t="inlineStr">
        <is>
          <t>III</t>
        </is>
      </c>
      <c r="B86" t="b">
        <v>1</v>
      </c>
      <c r="C86" t="inlineStr"/>
      <c r="D86" t="inlineStr"/>
      <c r="E86" t="n">
        <v>190</v>
      </c>
      <c r="F86">
        <f>HYPERLINK("https://portal.dnb.de/opac.htm?method=simpleSearch&amp;cqlMode=true&amp;query=idn%3D1002641578", "Portal")</f>
        <v/>
      </c>
      <c r="G86" t="inlineStr">
        <is>
          <t>Aal</t>
        </is>
      </c>
      <c r="H86" t="inlineStr">
        <is>
          <t>L-1522-177748214</t>
        </is>
      </c>
      <c r="I86" t="inlineStr">
        <is>
          <t>1002641578</t>
        </is>
      </c>
      <c r="J86" t="inlineStr">
        <is>
          <t>III 6, 6d</t>
        </is>
      </c>
      <c r="K86" t="inlineStr">
        <is>
          <t>III 6, 6d</t>
        </is>
      </c>
      <c r="L86" t="inlineStr">
        <is>
          <t>III 6, 6 d</t>
        </is>
      </c>
      <c r="M86" t="inlineStr"/>
      <c r="N86" t="inlineStr">
        <is>
          <t xml:space="preserve">[Das @Wolffgesang|| Eyn ander hertz/ ein ander kleid/ Tragẽ falsche w#[oe]lff in d ̀heyd|| ...|| : </t>
        </is>
      </c>
      <c r="O86" t="inlineStr">
        <is>
          <t xml:space="preserve"> : </t>
        </is>
      </c>
      <c r="P86" t="inlineStr"/>
      <c r="Q86" t="inlineStr"/>
      <c r="R86" t="inlineStr">
        <is>
          <t>Broschur, Papier- oder Pappeinband</t>
        </is>
      </c>
      <c r="S86" t="inlineStr">
        <is>
          <t>bis 25 cm</t>
        </is>
      </c>
      <c r="T86" t="inlineStr">
        <is>
          <t>180°</t>
        </is>
      </c>
      <c r="U86" t="inlineStr"/>
      <c r="V86" t="inlineStr"/>
      <c r="W86" t="inlineStr"/>
      <c r="X86" t="inlineStr"/>
      <c r="Y86" t="n">
        <v>0</v>
      </c>
      <c r="Z86" t="inlineStr"/>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c r="BD86" t="inlineStr"/>
      <c r="BE86" t="inlineStr"/>
      <c r="BF86" t="inlineStr"/>
      <c r="BG86" t="inlineStr"/>
      <c r="BH86" t="inlineStr"/>
      <c r="BI86" t="inlineStr"/>
      <c r="BJ86" t="inlineStr"/>
      <c r="BK86" t="inlineStr"/>
      <c r="BL86" t="inlineStr"/>
      <c r="BM86" t="inlineStr"/>
      <c r="BN86" t="n">
        <v>0</v>
      </c>
      <c r="BO86" t="inlineStr"/>
      <c r="BP86" t="inlineStr"/>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c r="DC86" t="inlineStr"/>
      <c r="DD86" t="inlineStr"/>
      <c r="DE86" t="inlineStr"/>
      <c r="DF86" t="inlineStr"/>
      <c r="DG86" t="inlineStr"/>
    </row>
    <row r="87">
      <c r="A87" t="inlineStr">
        <is>
          <t>III</t>
        </is>
      </c>
      <c r="B87" t="b">
        <v>1</v>
      </c>
      <c r="C87" t="inlineStr"/>
      <c r="D87" t="inlineStr"/>
      <c r="E87" t="n">
        <v>84</v>
      </c>
      <c r="F87">
        <f>HYPERLINK("https://portal.dnb.de/opac.htm?method=simpleSearch&amp;cqlMode=true&amp;query=idn%3D1066958378", "Portal")</f>
        <v/>
      </c>
      <c r="G87" t="inlineStr">
        <is>
          <t>Aaf</t>
        </is>
      </c>
      <c r="H87" t="inlineStr">
        <is>
          <t>L-1523-315488999</t>
        </is>
      </c>
      <c r="I87" t="inlineStr">
        <is>
          <t>1066958378</t>
        </is>
      </c>
      <c r="J87" t="inlineStr">
        <is>
          <t>III 6, 7</t>
        </is>
      </c>
      <c r="K87" t="inlineStr">
        <is>
          <t>III 6, 7</t>
        </is>
      </c>
      <c r="L87" t="inlineStr">
        <is>
          <t>III 6, 7</t>
        </is>
      </c>
      <c r="M87" t="inlineStr"/>
      <c r="N87" t="inlineStr">
        <is>
          <t xml:space="preserve">Ein @nutzlich vnd|| fast tr#[oe]stlich predig/ o#///d vn||derrichtug/ wie sich ein|| Christen mensch mit freud? bereyten sol|| zu sterben/ Beschriben </t>
        </is>
      </c>
      <c r="O87" t="inlineStr">
        <is>
          <t xml:space="preserve"> : </t>
        </is>
      </c>
      <c r="P87" t="inlineStr"/>
      <c r="Q87" t="inlineStr"/>
      <c r="R87" t="inlineStr"/>
      <c r="S87" t="inlineStr"/>
      <c r="T87" t="inlineStr"/>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n">
        <v>0</v>
      </c>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c r="DC87" t="inlineStr"/>
      <c r="DD87" t="inlineStr"/>
      <c r="DE87" t="inlineStr"/>
      <c r="DF87" t="inlineStr"/>
      <c r="DG87" t="inlineStr"/>
    </row>
    <row r="88">
      <c r="A88" t="inlineStr">
        <is>
          <t>III</t>
        </is>
      </c>
      <c r="B88" t="b">
        <v>1</v>
      </c>
      <c r="C88" t="inlineStr"/>
      <c r="D88" t="inlineStr"/>
      <c r="E88" t="inlineStr"/>
      <c r="F88">
        <f>HYPERLINK("https://portal.dnb.de/opac.htm?method=simpleSearch&amp;cqlMode=true&amp;query=idn%3D1137966890", "Portal")</f>
        <v/>
      </c>
      <c r="G88" t="inlineStr">
        <is>
          <t>Qd</t>
        </is>
      </c>
      <c r="H88" t="inlineStr">
        <is>
          <t>L-9999-414282183</t>
        </is>
      </c>
      <c r="I88" t="inlineStr">
        <is>
          <t>1137966890</t>
        </is>
      </c>
      <c r="J88" t="inlineStr">
        <is>
          <t>III 6, 8</t>
        </is>
      </c>
      <c r="K88" t="inlineStr">
        <is>
          <t>III 6, 8</t>
        </is>
      </c>
      <c r="L88" t="inlineStr">
        <is>
          <t>III 6, 8</t>
        </is>
      </c>
      <c r="M88" t="inlineStr"/>
      <c r="N88" t="inlineStr">
        <is>
          <t xml:space="preserve">Sammelband : </t>
        </is>
      </c>
      <c r="O88" t="inlineStr">
        <is>
          <t xml:space="preserve"> : </t>
        </is>
      </c>
      <c r="P88" t="inlineStr">
        <is>
          <t>X</t>
        </is>
      </c>
      <c r="Q88" t="inlineStr"/>
      <c r="R88" t="inlineStr">
        <is>
          <t>Ledereinband, Schließen, erhabene Buchbeschläge</t>
        </is>
      </c>
      <c r="S88" t="inlineStr">
        <is>
          <t>bis 35 cm</t>
        </is>
      </c>
      <c r="T88" t="inlineStr">
        <is>
          <t>80° bis 110°, einseitig digitalisierbar?</t>
        </is>
      </c>
      <c r="U88" t="inlineStr">
        <is>
          <t>fester Rücken mit Schmuckprägung</t>
        </is>
      </c>
      <c r="V88" t="inlineStr"/>
      <c r="W88" t="inlineStr">
        <is>
          <t>Buchschuh</t>
        </is>
      </c>
      <c r="X88" t="inlineStr">
        <is>
          <t>Nein</t>
        </is>
      </c>
      <c r="Y88" t="n">
        <v>0</v>
      </c>
      <c r="Z88" t="inlineStr"/>
      <c r="AA88" t="inlineStr"/>
      <c r="AB88" t="inlineStr"/>
      <c r="AC88" t="inlineStr"/>
      <c r="AD88" t="inlineStr"/>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c r="AT88" t="inlineStr"/>
      <c r="AU88" t="inlineStr"/>
      <c r="AV88" t="inlineStr"/>
      <c r="AW88" t="inlineStr"/>
      <c r="AX88" t="inlineStr"/>
      <c r="AY88" t="inlineStr"/>
      <c r="AZ88" t="inlineStr"/>
      <c r="BA88" t="inlineStr"/>
      <c r="BB88" t="inlineStr"/>
      <c r="BC88" t="inlineStr"/>
      <c r="BD88" t="inlineStr"/>
      <c r="BE88" t="inlineStr"/>
      <c r="BF88" t="inlineStr"/>
      <c r="BG88" t="inlineStr"/>
      <c r="BH88" t="inlineStr"/>
      <c r="BI88" t="inlineStr"/>
      <c r="BJ88" t="inlineStr"/>
      <c r="BK88" t="inlineStr"/>
      <c r="BL88" t="inlineStr"/>
      <c r="BM88" t="inlineStr"/>
      <c r="BN88" t="n">
        <v>0</v>
      </c>
      <c r="BO88" t="inlineStr"/>
      <c r="BP88" t="inlineStr"/>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c r="DC88" t="inlineStr"/>
      <c r="DD88" t="inlineStr"/>
      <c r="DE88" t="inlineStr"/>
      <c r="DF88" t="inlineStr"/>
      <c r="DG88" t="inlineStr"/>
    </row>
    <row r="89">
      <c r="A89" t="inlineStr">
        <is>
          <t>III</t>
        </is>
      </c>
      <c r="B89" t="b">
        <v>1</v>
      </c>
      <c r="C89" t="inlineStr">
        <is>
          <t>x</t>
        </is>
      </c>
      <c r="D89" t="inlineStr"/>
      <c r="E89" t="n">
        <v>86</v>
      </c>
      <c r="F89">
        <f>HYPERLINK("https://portal.dnb.de/opac.htm?method=simpleSearch&amp;cqlMode=true&amp;query=idn%3D1066961395", "Portal")</f>
        <v/>
      </c>
      <c r="G89" t="inlineStr">
        <is>
          <t>Aaf</t>
        </is>
      </c>
      <c r="H89" t="inlineStr">
        <is>
          <t>L-1532-315491809</t>
        </is>
      </c>
      <c r="I89" t="inlineStr">
        <is>
          <t>1066961395</t>
        </is>
      </c>
      <c r="J89" t="inlineStr">
        <is>
          <t>III 6, 9</t>
        </is>
      </c>
      <c r="K89" t="inlineStr">
        <is>
          <t>III 6, 9</t>
        </is>
      </c>
      <c r="L89" t="inlineStr">
        <is>
          <t>III 6, 9</t>
        </is>
      </c>
      <c r="M89" t="inlineStr"/>
      <c r="N89" t="inlineStr">
        <is>
          <t>STEPHANI NI-||GRI QVAE QVIDEM PRAESTARE SVI|| NOMINIS AC STVDIOSIS VTILIA NOVE=||rimus monimenta, nempe translationes:|| Iconum Philostrati:|| Aureoru</t>
        </is>
      </c>
      <c r="O89" t="inlineStr">
        <is>
          <t xml:space="preserve"> : </t>
        </is>
      </c>
      <c r="P89" t="inlineStr">
        <is>
          <t>X</t>
        </is>
      </c>
      <c r="Q89" t="inlineStr"/>
      <c r="R89" t="inlineStr">
        <is>
          <t>Gewebeeinband, Schließen, erhabene Buchbeschläge</t>
        </is>
      </c>
      <c r="S89" t="inlineStr">
        <is>
          <t>bis 25 cm</t>
        </is>
      </c>
      <c r="T89" t="inlineStr">
        <is>
          <t>180°</t>
        </is>
      </c>
      <c r="U89" t="inlineStr">
        <is>
          <t>hohler Rücken</t>
        </is>
      </c>
      <c r="V89" t="inlineStr"/>
      <c r="W89" t="inlineStr">
        <is>
          <t>Buchschuh</t>
        </is>
      </c>
      <c r="X89" t="inlineStr">
        <is>
          <t>Nein</t>
        </is>
      </c>
      <c r="Y89" t="n">
        <v>1</v>
      </c>
      <c r="Z89" t="inlineStr"/>
      <c r="AA89" t="inlineStr"/>
      <c r="AB89" t="inlineStr"/>
      <c r="AC89" t="inlineStr"/>
      <c r="AD89" t="inlineStr"/>
      <c r="AE89" t="inlineStr"/>
      <c r="AF89" t="inlineStr"/>
      <c r="AG89" t="inlineStr"/>
      <c r="AH89" t="inlineStr"/>
      <c r="AI89" t="inlineStr">
        <is>
          <t>G</t>
        </is>
      </c>
      <c r="AJ89" t="inlineStr"/>
      <c r="AK89" t="inlineStr">
        <is>
          <t>x</t>
        </is>
      </c>
      <c r="AL89" t="inlineStr"/>
      <c r="AM89" t="inlineStr">
        <is>
          <t>h/E</t>
        </is>
      </c>
      <c r="AN89" t="inlineStr"/>
      <c r="AO89" t="inlineStr"/>
      <c r="AP89" t="inlineStr"/>
      <c r="AQ89" t="inlineStr"/>
      <c r="AR89" t="inlineStr"/>
      <c r="AS89" t="inlineStr">
        <is>
          <t>Pa</t>
        </is>
      </c>
      <c r="AT89" t="inlineStr"/>
      <c r="AU89" t="inlineStr"/>
      <c r="AV89" t="inlineStr"/>
      <c r="AW89" t="inlineStr"/>
      <c r="AX89" t="inlineStr"/>
      <c r="AY89" t="inlineStr"/>
      <c r="AZ89" t="inlineStr"/>
      <c r="BA89" t="inlineStr"/>
      <c r="BB89" t="inlineStr"/>
      <c r="BC89" t="inlineStr"/>
      <c r="BD89" t="inlineStr"/>
      <c r="BE89" t="inlineStr"/>
      <c r="BF89" t="inlineStr"/>
      <c r="BG89" t="n">
        <v>110</v>
      </c>
      <c r="BH89" t="inlineStr"/>
      <c r="BI89" t="inlineStr"/>
      <c r="BJ89" t="inlineStr"/>
      <c r="BK89" t="inlineStr"/>
      <c r="BL89" t="inlineStr"/>
      <c r="BM89" t="inlineStr">
        <is>
          <t>ja vor</t>
        </is>
      </c>
      <c r="BN89" t="n">
        <v>1</v>
      </c>
      <c r="BO89" t="inlineStr"/>
      <c r="BP89" t="inlineStr"/>
      <c r="BQ89" t="inlineStr"/>
      <c r="BR89" t="inlineStr">
        <is>
          <t>x</t>
        </is>
      </c>
      <c r="BS89" t="inlineStr"/>
      <c r="BT89" t="inlineStr"/>
      <c r="BU89" t="inlineStr"/>
      <c r="BV89" t="inlineStr"/>
      <c r="BW89" t="inlineStr"/>
      <c r="BX89" t="inlineStr"/>
      <c r="BY89" t="inlineStr"/>
      <c r="BZ89" t="inlineStr">
        <is>
          <t>x</t>
        </is>
      </c>
      <c r="CA89" t="inlineStr"/>
      <c r="CB89" t="inlineStr"/>
      <c r="CC89" t="inlineStr"/>
      <c r="CD89" t="inlineStr">
        <is>
          <t>v</t>
        </is>
      </c>
      <c r="CE89" t="inlineStr"/>
      <c r="CF89" t="inlineStr"/>
      <c r="CG89" t="inlineStr"/>
      <c r="CH89" t="inlineStr"/>
      <c r="CI89" t="inlineStr"/>
      <c r="CJ89" t="inlineStr"/>
      <c r="CK89" t="inlineStr"/>
      <c r="CL89" t="inlineStr"/>
      <c r="CM89" t="n">
        <v>1</v>
      </c>
      <c r="CN89" t="inlineStr">
        <is>
          <t>Gelenk mit JP unterlegen/überfangen</t>
        </is>
      </c>
      <c r="CO89" t="inlineStr"/>
      <c r="CP89" t="inlineStr"/>
      <c r="CQ89" t="inlineStr"/>
      <c r="CR89" t="inlineStr"/>
      <c r="CS89" t="inlineStr"/>
      <c r="CT89" t="inlineStr"/>
      <c r="CU89" t="inlineStr"/>
      <c r="CV89" t="inlineStr"/>
      <c r="CW89" t="inlineStr"/>
      <c r="CX89" t="inlineStr"/>
      <c r="CY89" t="inlineStr"/>
      <c r="CZ89" t="inlineStr"/>
      <c r="DA89" t="inlineStr"/>
      <c r="DB89" t="inlineStr"/>
      <c r="DC89" t="inlineStr"/>
      <c r="DD89" t="inlineStr"/>
      <c r="DE89" t="inlineStr"/>
      <c r="DF89" t="inlineStr"/>
      <c r="DG89" t="inlineStr"/>
    </row>
    <row r="90">
      <c r="A90" t="inlineStr">
        <is>
          <t>III</t>
        </is>
      </c>
      <c r="B90" t="b">
        <v>1</v>
      </c>
      <c r="C90" t="inlineStr">
        <is>
          <t>x</t>
        </is>
      </c>
      <c r="D90" t="inlineStr"/>
      <c r="E90" t="n">
        <v>87</v>
      </c>
      <c r="F90">
        <f>HYPERLINK("https://portal.dnb.de/opac.htm?method=simpleSearch&amp;cqlMode=true&amp;query=idn%3D1066800375", "Portal")</f>
        <v/>
      </c>
      <c r="G90" t="inlineStr">
        <is>
          <t>Aaf</t>
        </is>
      </c>
      <c r="H90" t="inlineStr">
        <is>
          <t>L-1534-315220279</t>
        </is>
      </c>
      <c r="I90" t="inlineStr">
        <is>
          <t>1066800375</t>
        </is>
      </c>
      <c r="J90" t="inlineStr">
        <is>
          <t>III 6, 10</t>
        </is>
      </c>
      <c r="K90" t="inlineStr">
        <is>
          <t>III 6, 10</t>
        </is>
      </c>
      <c r="L90" t="inlineStr">
        <is>
          <t>III 6, 10</t>
        </is>
      </c>
      <c r="M90" t="inlineStr"/>
      <c r="N90" t="inlineStr">
        <is>
          <t xml:space="preserve">Rabani Mavri Mogvntinensis Archiepiscopi Commentaria in Hieremiam Prophetam... : </t>
        </is>
      </c>
      <c r="O90" t="inlineStr">
        <is>
          <t xml:space="preserve"> : </t>
        </is>
      </c>
      <c r="P90" t="inlineStr"/>
      <c r="Q90" t="inlineStr"/>
      <c r="R90" t="inlineStr"/>
      <c r="S90" t="inlineStr">
        <is>
          <t>bis 35 cm</t>
        </is>
      </c>
      <c r="T90" t="inlineStr"/>
      <c r="U90" t="inlineStr"/>
      <c r="V90" t="inlineStr"/>
      <c r="W90" t="inlineStr"/>
      <c r="X90" t="inlineStr"/>
      <c r="Y90" t="inlineStr"/>
      <c r="Z90" t="inlineStr"/>
      <c r="AA90" t="inlineStr"/>
      <c r="AB90" t="inlineStr"/>
      <c r="AC90" t="inlineStr"/>
      <c r="AD90" t="inlineStr"/>
      <c r="AE90" t="inlineStr"/>
      <c r="AF90" t="inlineStr"/>
      <c r="AG90" t="inlineStr"/>
      <c r="AH90" t="inlineStr"/>
      <c r="AI90" t="inlineStr">
        <is>
          <t>G</t>
        </is>
      </c>
      <c r="AJ90" t="inlineStr"/>
      <c r="AK90" t="inlineStr">
        <is>
          <t>x</t>
        </is>
      </c>
      <c r="AL90" t="inlineStr"/>
      <c r="AM90" t="inlineStr">
        <is>
          <t>h/E</t>
        </is>
      </c>
      <c r="AN90" t="inlineStr"/>
      <c r="AO90" t="inlineStr"/>
      <c r="AP90" t="inlineStr"/>
      <c r="AQ90" t="inlineStr"/>
      <c r="AR90" t="inlineStr"/>
      <c r="AS90" t="inlineStr">
        <is>
          <t>Pa</t>
        </is>
      </c>
      <c r="AT90" t="inlineStr"/>
      <c r="AU90" t="inlineStr"/>
      <c r="AV90" t="inlineStr"/>
      <c r="AW90" t="inlineStr"/>
      <c r="AX90" t="inlineStr"/>
      <c r="AY90" t="inlineStr"/>
      <c r="AZ90" t="inlineStr"/>
      <c r="BA90" t="inlineStr"/>
      <c r="BB90" t="inlineStr"/>
      <c r="BC90" t="inlineStr"/>
      <c r="BD90" t="inlineStr"/>
      <c r="BE90" t="inlineStr"/>
      <c r="BF90" t="inlineStr"/>
      <c r="BG90" t="n">
        <v>110</v>
      </c>
      <c r="BH90" t="inlineStr"/>
      <c r="BI90" t="inlineStr"/>
      <c r="BJ90" t="inlineStr"/>
      <c r="BK90" t="inlineStr"/>
      <c r="BL90" t="inlineStr"/>
      <c r="BM90" t="inlineStr">
        <is>
          <t>ja vor</t>
        </is>
      </c>
      <c r="BN90" t="n">
        <v>1</v>
      </c>
      <c r="BO90" t="inlineStr"/>
      <c r="BP90" t="inlineStr"/>
      <c r="BQ90" t="inlineStr"/>
      <c r="BR90" t="inlineStr"/>
      <c r="BS90" t="inlineStr"/>
      <c r="BT90" t="inlineStr"/>
      <c r="BU90" t="inlineStr"/>
      <c r="BV90" t="inlineStr"/>
      <c r="BW90" t="inlineStr"/>
      <c r="BX90" t="inlineStr"/>
      <c r="BY90" t="inlineStr"/>
      <c r="BZ90" t="inlineStr">
        <is>
          <t>x</t>
        </is>
      </c>
      <c r="CA90" t="inlineStr"/>
      <c r="CB90" t="inlineStr"/>
      <c r="CC90" t="inlineStr"/>
      <c r="CD90" t="inlineStr">
        <is>
          <t>v/h</t>
        </is>
      </c>
      <c r="CE90" t="inlineStr"/>
      <c r="CF90" t="inlineStr"/>
      <c r="CG90" t="inlineStr"/>
      <c r="CH90" t="inlineStr"/>
      <c r="CI90" t="inlineStr"/>
      <c r="CJ90" t="inlineStr"/>
      <c r="CK90" t="inlineStr"/>
      <c r="CL90" t="inlineStr"/>
      <c r="CM90" t="n">
        <v>1</v>
      </c>
      <c r="CN90" t="inlineStr">
        <is>
          <t>Hülse, ggf. Gelenk mit JP überfangen</t>
        </is>
      </c>
      <c r="CO90" t="inlineStr"/>
      <c r="CP90" t="inlineStr"/>
      <c r="CQ90" t="inlineStr"/>
      <c r="CR90" t="inlineStr"/>
      <c r="CS90" t="inlineStr"/>
      <c r="CT90" t="inlineStr"/>
      <c r="CU90" t="inlineStr"/>
      <c r="CV90" t="inlineStr"/>
      <c r="CW90" t="inlineStr"/>
      <c r="CX90" t="inlineStr"/>
      <c r="CY90" t="inlineStr"/>
      <c r="CZ90" t="inlineStr"/>
      <c r="DA90" t="inlineStr"/>
      <c r="DB90" t="inlineStr"/>
      <c r="DC90" t="inlineStr"/>
      <c r="DD90" t="inlineStr"/>
      <c r="DE90" t="inlineStr"/>
      <c r="DF90" t="inlineStr"/>
      <c r="DG90" t="inlineStr"/>
    </row>
    <row r="91">
      <c r="A91" t="inlineStr">
        <is>
          <t>III</t>
        </is>
      </c>
      <c r="B91" t="b">
        <v>1</v>
      </c>
      <c r="C91" t="inlineStr">
        <is>
          <t>x</t>
        </is>
      </c>
      <c r="D91" t="inlineStr"/>
      <c r="E91" t="inlineStr"/>
      <c r="F91">
        <f>HYPERLINK("https://portal.dnb.de/opac.htm?method=simpleSearch&amp;cqlMode=true&amp;query=idn%3D1138245585", "Portal")</f>
        <v/>
      </c>
      <c r="G91" t="inlineStr">
        <is>
          <t>Qd</t>
        </is>
      </c>
      <c r="H91" t="inlineStr">
        <is>
          <t>L-9999-414749553</t>
        </is>
      </c>
      <c r="I91" t="inlineStr">
        <is>
          <t>1138245585</t>
        </is>
      </c>
      <c r="J91" t="inlineStr">
        <is>
          <t>III 6, 11</t>
        </is>
      </c>
      <c r="K91" t="inlineStr">
        <is>
          <t>III 6, 11</t>
        </is>
      </c>
      <c r="L91" t="inlineStr">
        <is>
          <t>III 6, 11</t>
        </is>
      </c>
      <c r="M91" t="inlineStr"/>
      <c r="N91" t="inlineStr">
        <is>
          <t xml:space="preserve">Sammelband mit zwei Werken von Publius Ovidius Naso : </t>
        </is>
      </c>
      <c r="O91" t="inlineStr">
        <is>
          <t xml:space="preserve"> : </t>
        </is>
      </c>
      <c r="P91" t="inlineStr"/>
      <c r="Q91" t="inlineStr">
        <is>
          <t>1000,00 EUR</t>
        </is>
      </c>
      <c r="R91" t="inlineStr"/>
      <c r="S91" t="inlineStr">
        <is>
          <t>bis 25 cm</t>
        </is>
      </c>
      <c r="T91" t="inlineStr"/>
      <c r="U91" t="inlineStr"/>
      <c r="V91" t="inlineStr"/>
      <c r="W91" t="inlineStr"/>
      <c r="X91" t="inlineStr"/>
      <c r="Y91" t="inlineStr"/>
      <c r="Z91" t="inlineStr"/>
      <c r="AA91" t="inlineStr"/>
      <c r="AB91" t="inlineStr"/>
      <c r="AC91" t="inlineStr"/>
      <c r="AD91" t="inlineStr"/>
      <c r="AE91" t="inlineStr"/>
      <c r="AF91" t="inlineStr"/>
      <c r="AG91" t="inlineStr"/>
      <c r="AH91" t="inlineStr"/>
      <c r="AI91" t="inlineStr">
        <is>
          <t>HD</t>
        </is>
      </c>
      <c r="AJ91" t="inlineStr"/>
      <c r="AK91" t="inlineStr">
        <is>
          <t>x</t>
        </is>
      </c>
      <c r="AL91" t="inlineStr"/>
      <c r="AM91" t="inlineStr">
        <is>
          <t>f/V</t>
        </is>
      </c>
      <c r="AN91" t="inlineStr"/>
      <c r="AO91" t="inlineStr"/>
      <c r="AP91" t="inlineStr"/>
      <c r="AQ91" t="inlineStr"/>
      <c r="AR91" t="inlineStr"/>
      <c r="AS91" t="inlineStr">
        <is>
          <t>Pa</t>
        </is>
      </c>
      <c r="AT91" t="inlineStr"/>
      <c r="AU91" t="inlineStr"/>
      <c r="AV91" t="inlineStr"/>
      <c r="AW91" t="inlineStr"/>
      <c r="AX91" t="inlineStr"/>
      <c r="AY91" t="inlineStr"/>
      <c r="AZ91" t="inlineStr"/>
      <c r="BA91" t="inlineStr"/>
      <c r="BB91" t="inlineStr"/>
      <c r="BC91" t="inlineStr"/>
      <c r="BD91" t="inlineStr"/>
      <c r="BE91" t="inlineStr"/>
      <c r="BF91" t="inlineStr"/>
      <c r="BG91" t="n">
        <v>60</v>
      </c>
      <c r="BH91" t="inlineStr"/>
      <c r="BI91" t="inlineStr"/>
      <c r="BJ91" t="inlineStr"/>
      <c r="BK91" t="inlineStr"/>
      <c r="BL91" t="inlineStr"/>
      <c r="BM91" t="inlineStr">
        <is>
          <t>ja vor</t>
        </is>
      </c>
      <c r="BN91" t="n">
        <v>0.5</v>
      </c>
      <c r="BO91" t="inlineStr"/>
      <c r="BP91" t="inlineStr"/>
      <c r="BQ91" t="inlineStr">
        <is>
          <t>x</t>
        </is>
      </c>
      <c r="BR91" t="inlineStr"/>
      <c r="BS91" t="inlineStr"/>
      <c r="BT91" t="inlineStr"/>
      <c r="BU91" t="inlineStr"/>
      <c r="BV91" t="inlineStr"/>
      <c r="BW91" t="inlineStr"/>
      <c r="BX91" t="inlineStr"/>
      <c r="BY91" t="inlineStr"/>
      <c r="BZ91" t="inlineStr">
        <is>
          <t>x</t>
        </is>
      </c>
      <c r="CA91" t="inlineStr"/>
      <c r="CB91" t="inlineStr">
        <is>
          <t>x</t>
        </is>
      </c>
      <c r="CC91" t="inlineStr"/>
      <c r="CD91" t="inlineStr"/>
      <c r="CE91" t="inlineStr"/>
      <c r="CF91" t="inlineStr"/>
      <c r="CG91" t="inlineStr"/>
      <c r="CH91" t="inlineStr"/>
      <c r="CI91" t="inlineStr"/>
      <c r="CJ91" t="inlineStr"/>
      <c r="CK91" t="inlineStr"/>
      <c r="CL91" t="inlineStr"/>
      <c r="CM91" t="n">
        <v>0.5</v>
      </c>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c r="DC91" t="inlineStr"/>
      <c r="DD91" t="inlineStr"/>
      <c r="DE91" t="inlineStr"/>
      <c r="DF91" t="inlineStr"/>
      <c r="DG91" t="inlineStr"/>
    </row>
    <row r="92">
      <c r="A92" t="inlineStr">
        <is>
          <t>III</t>
        </is>
      </c>
      <c r="B92" t="b">
        <v>1</v>
      </c>
      <c r="C92" t="inlineStr"/>
      <c r="D92" t="inlineStr"/>
      <c r="E92" t="n">
        <v>133</v>
      </c>
      <c r="F92">
        <f>HYPERLINK("https://portal.dnb.de/opac.htm?method=simpleSearch&amp;cqlMode=true&amp;query=idn%3D1000007804", "Portal")</f>
        <v/>
      </c>
      <c r="G92" t="inlineStr">
        <is>
          <t>Aal</t>
        </is>
      </c>
      <c r="H92" t="inlineStr">
        <is>
          <t>L-1538-169844722</t>
        </is>
      </c>
      <c r="I92" t="inlineStr">
        <is>
          <t>1000007804</t>
        </is>
      </c>
      <c r="J92" t="inlineStr">
        <is>
          <t>III 6, 11 a</t>
        </is>
      </c>
      <c r="K92" t="inlineStr">
        <is>
          <t>III 6, 11 a</t>
        </is>
      </c>
      <c r="L92" t="inlineStr">
        <is>
          <t>III 6, 11 a</t>
        </is>
      </c>
      <c r="M92" t="inlineStr"/>
      <c r="N92" t="inlineStr">
        <is>
          <t>Philonis|| Ivdaei Alexandrini, (Cvivs Do||ctrinae &amp; orationis sublimitatem grauissi||mi autores etiam ipsi diuino Platoni|| aequaru[n]t) omnes quae ap</t>
        </is>
      </c>
      <c r="O92" t="inlineStr">
        <is>
          <t xml:space="preserve"> : </t>
        </is>
      </c>
      <c r="P92" t="inlineStr"/>
      <c r="Q92" t="inlineStr">
        <is>
          <t>300,00 EUR</t>
        </is>
      </c>
      <c r="R92" t="inlineStr"/>
      <c r="S92" t="inlineStr">
        <is>
          <t>bis 35 cm</t>
        </is>
      </c>
      <c r="T92" t="inlineStr"/>
      <c r="U92" t="inlineStr"/>
      <c r="V92" t="inlineStr"/>
      <c r="W92" t="inlineStr"/>
      <c r="X92" t="inlineStr"/>
      <c r="Y92" t="inlineStr"/>
      <c r="Z92" t="inlineStr"/>
      <c r="AA92" t="inlineStr"/>
      <c r="AB92" t="inlineStr"/>
      <c r="AC92" t="inlineStr"/>
      <c r="AD92" t="inlineStr"/>
      <c r="AE92" t="inlineStr"/>
      <c r="AF92" t="inlineStr"/>
      <c r="AG92" t="inlineStr"/>
      <c r="AH92" t="inlineStr"/>
      <c r="AI92" t="inlineStr">
        <is>
          <t>G</t>
        </is>
      </c>
      <c r="AJ92" t="inlineStr"/>
      <c r="AK92" t="inlineStr">
        <is>
          <t>x</t>
        </is>
      </c>
      <c r="AL92" t="inlineStr"/>
      <c r="AM92" t="inlineStr">
        <is>
          <t>h/E</t>
        </is>
      </c>
      <c r="AN92" t="inlineStr"/>
      <c r="AO92" t="inlineStr"/>
      <c r="AP92" t="inlineStr"/>
      <c r="AQ92" t="inlineStr"/>
      <c r="AR92" t="inlineStr"/>
      <c r="AS92" t="inlineStr">
        <is>
          <t>Pa</t>
        </is>
      </c>
      <c r="AT92" t="inlineStr"/>
      <c r="AU92" t="inlineStr"/>
      <c r="AV92" t="inlineStr"/>
      <c r="AW92" t="inlineStr"/>
      <c r="AX92" t="inlineStr"/>
      <c r="AY92" t="inlineStr"/>
      <c r="AZ92" t="inlineStr"/>
      <c r="BA92" t="inlineStr"/>
      <c r="BB92" t="inlineStr"/>
      <c r="BC92" t="inlineStr"/>
      <c r="BD92" t="inlineStr"/>
      <c r="BE92" t="inlineStr"/>
      <c r="BF92" t="inlineStr"/>
      <c r="BG92" t="n">
        <v>110</v>
      </c>
      <c r="BH92" t="inlineStr"/>
      <c r="BI92" t="inlineStr"/>
      <c r="BJ92" t="inlineStr"/>
      <c r="BK92" t="inlineStr"/>
      <c r="BL92" t="inlineStr"/>
      <c r="BM92" t="inlineStr">
        <is>
          <t>n</t>
        </is>
      </c>
      <c r="BN92" t="n">
        <v>0</v>
      </c>
      <c r="BO92" t="inlineStr"/>
      <c r="BP92" t="inlineStr"/>
      <c r="BQ92" t="inlineStr"/>
      <c r="BR92" t="inlineStr"/>
      <c r="BS92" t="inlineStr"/>
      <c r="BT92" t="inlineStr"/>
      <c r="BU92" t="inlineStr"/>
      <c r="BV92" t="inlineStr">
        <is>
          <t>Schaden stabil</t>
        </is>
      </c>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c r="DC92" t="inlineStr"/>
      <c r="DD92" t="inlineStr"/>
      <c r="DE92" t="inlineStr"/>
      <c r="DF92" t="inlineStr"/>
      <c r="DG92" t="inlineStr"/>
    </row>
    <row r="93">
      <c r="A93" t="inlineStr">
        <is>
          <t>III</t>
        </is>
      </c>
      <c r="B93" t="b">
        <v>1</v>
      </c>
      <c r="C93" t="inlineStr"/>
      <c r="D93" t="inlineStr"/>
      <c r="E93" t="n">
        <v>134</v>
      </c>
      <c r="F93">
        <f>HYPERLINK("https://portal.dnb.de/opac.htm?method=simpleSearch&amp;cqlMode=true&amp;query=idn%3D997393971", "Portal")</f>
        <v/>
      </c>
      <c r="G93" t="inlineStr">
        <is>
          <t>Afl</t>
        </is>
      </c>
      <c r="H93" t="inlineStr">
        <is>
          <t>L-1555-163773319</t>
        </is>
      </c>
      <c r="I93" t="inlineStr">
        <is>
          <t>997393971</t>
        </is>
      </c>
      <c r="J93" t="inlineStr">
        <is>
          <t>III 6, 11 b</t>
        </is>
      </c>
      <c r="K93" t="inlineStr">
        <is>
          <t>III 6, 11 b</t>
        </is>
      </c>
      <c r="L93" t="inlineStr">
        <is>
          <t>III 6, 11 b</t>
        </is>
      </c>
      <c r="M93" t="inlineStr"/>
      <c r="N93" t="inlineStr">
        <is>
          <t>Opera Q. Horatii Flacci Venusini, Gram[m]aticorum antiquiss[imorum] Helenii Acronis, et Porphirionis commentariis illustrata, admixtis interdum C. Aem</t>
        </is>
      </c>
      <c r="O93" t="inlineStr">
        <is>
          <t xml:space="preserve">1 : </t>
        </is>
      </c>
      <c r="P93" t="inlineStr"/>
      <c r="Q93" t="inlineStr">
        <is>
          <t>250,00 EUR</t>
        </is>
      </c>
      <c r="R93" t="inlineStr"/>
      <c r="S93" t="inlineStr"/>
      <c r="T93" t="inlineStr"/>
      <c r="U93" t="inlineStr"/>
      <c r="V93" t="inlineStr"/>
      <c r="W93" t="inlineStr"/>
      <c r="X93" t="inlineStr"/>
      <c r="Y93" t="inlineStr"/>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inlineStr"/>
      <c r="BI93" t="inlineStr"/>
      <c r="BJ93" t="inlineStr"/>
      <c r="BK93" t="inlineStr"/>
      <c r="BL93" t="inlineStr"/>
      <c r="BM93" t="inlineStr"/>
      <c r="BN93" t="n">
        <v>0</v>
      </c>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c r="DC93" t="inlineStr"/>
      <c r="DD93" t="inlineStr"/>
      <c r="DE93" t="inlineStr"/>
      <c r="DF93" t="inlineStr"/>
      <c r="DG93" t="inlineStr"/>
    </row>
    <row r="94">
      <c r="A94" t="inlineStr">
        <is>
          <t>III</t>
        </is>
      </c>
      <c r="B94" t="b">
        <v>1</v>
      </c>
      <c r="C94" t="inlineStr"/>
      <c r="D94" t="inlineStr"/>
      <c r="E94" t="n">
        <v>135</v>
      </c>
      <c r="F94">
        <f>HYPERLINK("https://portal.dnb.de/opac.htm?method=simpleSearch&amp;cqlMode=true&amp;query=idn%3D997394153", "Portal")</f>
        <v/>
      </c>
      <c r="G94" t="inlineStr">
        <is>
          <t>Afl</t>
        </is>
      </c>
      <c r="H94" t="inlineStr">
        <is>
          <t>L-1555-163773475</t>
        </is>
      </c>
      <c r="I94" t="inlineStr">
        <is>
          <t>997394153</t>
        </is>
      </c>
      <c r="J94" t="inlineStr">
        <is>
          <t>III 6, 11 b</t>
        </is>
      </c>
      <c r="K94" t="inlineStr">
        <is>
          <t>III 6, 11 b</t>
        </is>
      </c>
      <c r="L94" t="inlineStr">
        <is>
          <t>III 6, 11 b</t>
        </is>
      </c>
      <c r="M94" t="inlineStr"/>
      <c r="N94" t="inlineStr">
        <is>
          <t>Opera Q. Horatii Flacci Venusini, Gram[m]aticorum antiquiss[imorum] Helenii Acronis, et Porphirionis commentariis illustrata, admixtis interdum C. Aem</t>
        </is>
      </c>
      <c r="O94" t="inlineStr">
        <is>
          <t xml:space="preserve">[T. 2] : </t>
        </is>
      </c>
      <c r="P94" t="inlineStr"/>
      <c r="Q94" t="inlineStr">
        <is>
          <t>250,00 EUR</t>
        </is>
      </c>
      <c r="R94" t="inlineStr"/>
      <c r="S94" t="inlineStr"/>
      <c r="T94" t="inlineStr"/>
      <c r="U94" t="inlineStr"/>
      <c r="V94" t="inlineStr"/>
      <c r="W94" t="inlineStr"/>
      <c r="X94" t="inlineStr"/>
      <c r="Y94" t="inlineStr"/>
      <c r="Z94" t="inlineStr"/>
      <c r="AA94" t="inlineStr"/>
      <c r="AB94" t="inlineStr"/>
      <c r="AC94" t="inlineStr"/>
      <c r="AD94" t="inlineStr"/>
      <c r="AE94" t="inlineStr"/>
      <c r="AF94" t="inlineStr"/>
      <c r="AG94" t="inlineStr"/>
      <c r="AH94" t="inlineStr"/>
      <c r="AI94" t="inlineStr"/>
      <c r="AJ94" t="inlineStr"/>
      <c r="AK94" t="inlineStr"/>
      <c r="AL94" t="inlineStr"/>
      <c r="AM94" t="inlineStr"/>
      <c r="AN94" t="inlineStr"/>
      <c r="AO94" t="inlineStr"/>
      <c r="AP94" t="inlineStr"/>
      <c r="AQ94" t="inlineStr"/>
      <c r="AR94" t="inlineStr"/>
      <c r="AS94" t="inlineStr"/>
      <c r="AT94" t="inlineStr"/>
      <c r="AU94" t="inlineStr"/>
      <c r="AV94" t="inlineStr"/>
      <c r="AW94" t="inlineStr"/>
      <c r="AX94" t="inlineStr"/>
      <c r="AY94" t="inlineStr"/>
      <c r="AZ94" t="inlineStr"/>
      <c r="BA94" t="inlineStr"/>
      <c r="BB94" t="inlineStr"/>
      <c r="BC94" t="inlineStr"/>
      <c r="BD94" t="inlineStr"/>
      <c r="BE94" t="inlineStr"/>
      <c r="BF94" t="inlineStr"/>
      <c r="BG94" t="inlineStr"/>
      <c r="BH94" t="inlineStr"/>
      <c r="BI94" t="inlineStr"/>
      <c r="BJ94" t="inlineStr"/>
      <c r="BK94" t="inlineStr"/>
      <c r="BL94" t="inlineStr"/>
      <c r="BM94" t="inlineStr"/>
      <c r="BN94" t="n">
        <v>0</v>
      </c>
      <c r="BO94" t="inlineStr"/>
      <c r="BP94" t="inlineStr"/>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c r="DC94" t="inlineStr"/>
      <c r="DD94" t="inlineStr"/>
      <c r="DE94" t="inlineStr"/>
      <c r="DF94" t="inlineStr"/>
      <c r="DG94" t="inlineStr"/>
    </row>
    <row r="95">
      <c r="A95" t="inlineStr">
        <is>
          <t>III</t>
        </is>
      </c>
      <c r="B95" t="b">
        <v>1</v>
      </c>
      <c r="C95" t="inlineStr"/>
      <c r="D95" t="inlineStr"/>
      <c r="E95" t="n">
        <v>136</v>
      </c>
      <c r="F95">
        <f>HYPERLINK("https://portal.dnb.de/opac.htm?method=simpleSearch&amp;cqlMode=true&amp;query=idn%3D99889818X", "Portal")</f>
        <v/>
      </c>
      <c r="G95" t="inlineStr">
        <is>
          <t>Aal</t>
        </is>
      </c>
      <c r="H95" t="inlineStr">
        <is>
          <t>L-1557-167183141</t>
        </is>
      </c>
      <c r="I95" t="inlineStr">
        <is>
          <t>99889818X</t>
        </is>
      </c>
      <c r="J95" t="inlineStr">
        <is>
          <t>III 6, 11 c</t>
        </is>
      </c>
      <c r="K95" t="inlineStr">
        <is>
          <t>III 6, 11 c</t>
        </is>
      </c>
      <c r="L95" t="inlineStr">
        <is>
          <t>III 6, 11 c</t>
        </is>
      </c>
      <c r="M95" t="inlineStr"/>
      <c r="N95" t="inlineStr">
        <is>
          <t>Prodigi|| orvm ac|| ostentorvm|| chronicon,|| Quae praeter naturae ordinem, motum, et operationem et in svperioribus et his inferioribus mundi regioni</t>
        </is>
      </c>
      <c r="O95" t="inlineStr">
        <is>
          <t xml:space="preserve"> : </t>
        </is>
      </c>
      <c r="P95" t="inlineStr"/>
      <c r="Q95" t="inlineStr"/>
      <c r="R95" t="inlineStr"/>
      <c r="S95" t="inlineStr"/>
      <c r="T95" t="inlineStr"/>
      <c r="U95" t="inlineStr"/>
      <c r="V95" t="inlineStr"/>
      <c r="W95" t="inlineStr"/>
      <c r="X95" t="inlineStr"/>
      <c r="Y95" t="inlineStr"/>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inlineStr"/>
      <c r="BI95" t="inlineStr"/>
      <c r="BJ95" t="inlineStr"/>
      <c r="BK95" t="inlineStr"/>
      <c r="BL95" t="inlineStr"/>
      <c r="BM95" t="inlineStr"/>
      <c r="BN95" t="n">
        <v>0</v>
      </c>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c r="DC95" t="inlineStr"/>
      <c r="DD95" t="inlineStr"/>
      <c r="DE95" t="inlineStr"/>
      <c r="DF95" t="inlineStr"/>
      <c r="DG95" t="inlineStr"/>
    </row>
    <row r="96">
      <c r="A96" t="inlineStr">
        <is>
          <t>III</t>
        </is>
      </c>
      <c r="B96" t="b">
        <v>1</v>
      </c>
      <c r="C96" t="inlineStr"/>
      <c r="D96" t="inlineStr"/>
      <c r="E96" t="n">
        <v>91</v>
      </c>
      <c r="F96">
        <f>HYPERLINK("https://portal.dnb.de/opac.htm?method=simpleSearch&amp;cqlMode=true&amp;query=idn%3D99723816X", "Portal")</f>
        <v/>
      </c>
      <c r="G96" t="inlineStr">
        <is>
          <t>Afl</t>
        </is>
      </c>
      <c r="H96" t="inlineStr">
        <is>
          <t>L-1516-163533857</t>
        </is>
      </c>
      <c r="I96" t="inlineStr">
        <is>
          <t>99723816X</t>
        </is>
      </c>
      <c r="J96" t="inlineStr">
        <is>
          <t>III 6, 12</t>
        </is>
      </c>
      <c r="K96" t="inlineStr">
        <is>
          <t>III 6, 12</t>
        </is>
      </c>
      <c r="L96" t="inlineStr">
        <is>
          <t>III 6, 12 - 1</t>
        </is>
      </c>
      <c r="M96" t="inlineStr"/>
      <c r="N96" t="inlineStr">
        <is>
          <t>[Omnium operum Divi Eusebii Hieronymi ... tomus ... una cum argumentis et scholiis Des[iderii] Erasmi Roterodami]</t>
        </is>
      </c>
      <c r="O96" t="inlineStr">
        <is>
          <t>6. : Sextus t. ... Commentarios in duodecim prophetas, quos minores vocant, iuxta utramque transl. cont.</t>
        </is>
      </c>
      <c r="P96" t="inlineStr"/>
      <c r="Q96" t="inlineStr"/>
      <c r="R96" t="inlineStr"/>
      <c r="S96" t="inlineStr">
        <is>
          <t>bis 42 cm</t>
        </is>
      </c>
      <c r="T96" t="inlineStr"/>
      <c r="U96" t="inlineStr"/>
      <c r="V96" t="inlineStr"/>
      <c r="W96" t="inlineStr"/>
      <c r="X96" t="inlineStr"/>
      <c r="Y96" t="inlineStr"/>
      <c r="Z96" t="inlineStr"/>
      <c r="AA96" t="inlineStr"/>
      <c r="AB96" t="inlineStr"/>
      <c r="AC96" t="inlineStr"/>
      <c r="AD96" t="inlineStr"/>
      <c r="AE96" t="inlineStr"/>
      <c r="AF96" t="inlineStr"/>
      <c r="AG96" t="inlineStr"/>
      <c r="AH96" t="inlineStr"/>
      <c r="AI96" t="inlineStr">
        <is>
          <t>HD</t>
        </is>
      </c>
      <c r="AJ96" t="inlineStr"/>
      <c r="AK96" t="inlineStr"/>
      <c r="AL96" t="inlineStr"/>
      <c r="AM96" t="inlineStr">
        <is>
          <t>f</t>
        </is>
      </c>
      <c r="AN96" t="inlineStr"/>
      <c r="AO96" t="inlineStr"/>
      <c r="AP96" t="inlineStr"/>
      <c r="AQ96" t="inlineStr"/>
      <c r="AR96" t="inlineStr"/>
      <c r="AS96" t="inlineStr">
        <is>
          <t>Pa</t>
        </is>
      </c>
      <c r="AT96" t="inlineStr"/>
      <c r="AU96" t="inlineStr"/>
      <c r="AV96" t="inlineStr"/>
      <c r="AW96" t="inlineStr"/>
      <c r="AX96" t="inlineStr"/>
      <c r="AY96" t="inlineStr"/>
      <c r="AZ96" t="inlineStr"/>
      <c r="BA96" t="inlineStr"/>
      <c r="BB96" t="inlineStr"/>
      <c r="BC96" t="inlineStr"/>
      <c r="BD96" t="inlineStr"/>
      <c r="BE96" t="n">
        <v>0</v>
      </c>
      <c r="BF96" t="inlineStr">
        <is>
          <t>x</t>
        </is>
      </c>
      <c r="BG96" t="n">
        <v>60</v>
      </c>
      <c r="BH96" t="inlineStr"/>
      <c r="BI96" t="inlineStr"/>
      <c r="BJ96" t="inlineStr"/>
      <c r="BK96" t="inlineStr"/>
      <c r="BL96" t="inlineStr"/>
      <c r="BM96" t="inlineStr">
        <is>
          <t>n</t>
        </is>
      </c>
      <c r="BN96" t="n">
        <v>0</v>
      </c>
      <c r="BO96" t="inlineStr"/>
      <c r="BP96" t="inlineStr"/>
      <c r="BQ96" t="inlineStr"/>
      <c r="BR96" t="inlineStr"/>
      <c r="BS96" t="inlineStr"/>
      <c r="BT96" t="inlineStr">
        <is>
          <t>x sauer</t>
        </is>
      </c>
      <c r="BU96" t="inlineStr">
        <is>
          <t>x</t>
        </is>
      </c>
      <c r="BV96" t="inlineStr"/>
      <c r="BW96" t="inlineStr"/>
      <c r="BX96" t="inlineStr"/>
      <c r="BY96" t="inlineStr">
        <is>
          <t>Box (sperrt)</t>
        </is>
      </c>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c r="DC96" t="inlineStr"/>
      <c r="DD96" t="inlineStr"/>
      <c r="DE96" t="inlineStr"/>
      <c r="DF96" t="inlineStr"/>
      <c r="DG96" t="inlineStr"/>
    </row>
    <row r="97">
      <c r="A97" t="inlineStr">
        <is>
          <t>III</t>
        </is>
      </c>
      <c r="B97" t="b">
        <v>1</v>
      </c>
      <c r="C97" t="inlineStr"/>
      <c r="D97" t="inlineStr"/>
      <c r="E97" t="n">
        <v>89</v>
      </c>
      <c r="F97">
        <f>HYPERLINK("https://portal.dnb.de/opac.htm?method=simpleSearch&amp;cqlMode=true&amp;query=idn%3D997238364", "Portal")</f>
        <v/>
      </c>
      <c r="G97" t="inlineStr">
        <is>
          <t>Afl</t>
        </is>
      </c>
      <c r="H97" t="inlineStr">
        <is>
          <t>L-1516-163534160</t>
        </is>
      </c>
      <c r="I97" t="inlineStr">
        <is>
          <t>997238364</t>
        </is>
      </c>
      <c r="J97" t="inlineStr">
        <is>
          <t>III 6, 12</t>
        </is>
      </c>
      <c r="K97" t="inlineStr">
        <is>
          <t>III 6, 12</t>
        </is>
      </c>
      <c r="L97" t="inlineStr">
        <is>
          <t>III 6, 12 - 2</t>
        </is>
      </c>
      <c r="M97" t="inlineStr"/>
      <c r="N97" t="inlineStr">
        <is>
          <t>[Omnium operum Divi Eusebii Hieronymi ... tomus ... una cum argumentis et scholiis Des[iderii] Erasmi Roterodami]</t>
        </is>
      </c>
      <c r="O97" t="inlineStr">
        <is>
          <t>8. : Octavus t. Commentarios in Psalterium habet</t>
        </is>
      </c>
      <c r="P97" t="inlineStr"/>
      <c r="Q97" t="inlineStr"/>
      <c r="R97" t="inlineStr"/>
      <c r="S97" t="inlineStr">
        <is>
          <t>bis 42 cm</t>
        </is>
      </c>
      <c r="T97" t="inlineStr"/>
      <c r="U97" t="inlineStr"/>
      <c r="V97" t="inlineStr"/>
      <c r="W97" t="inlineStr"/>
      <c r="X97" t="inlineStr"/>
      <c r="Y97" t="inlineStr"/>
      <c r="Z97" t="inlineStr"/>
      <c r="AA97" t="inlineStr"/>
      <c r="AB97" t="inlineStr"/>
      <c r="AC97" t="inlineStr"/>
      <c r="AD97" t="inlineStr"/>
      <c r="AE97" t="inlineStr"/>
      <c r="AF97" t="inlineStr"/>
      <c r="AG97" t="inlineStr"/>
      <c r="AH97" t="inlineStr"/>
      <c r="AI97" t="inlineStr">
        <is>
          <t>HD</t>
        </is>
      </c>
      <c r="AJ97" t="inlineStr"/>
      <c r="AK97" t="inlineStr"/>
      <c r="AL97" t="inlineStr">
        <is>
          <t>x</t>
        </is>
      </c>
      <c r="AM97" t="inlineStr">
        <is>
          <t>f</t>
        </is>
      </c>
      <c r="AN97" t="inlineStr"/>
      <c r="AO97" t="inlineStr"/>
      <c r="AP97" t="inlineStr"/>
      <c r="AQ97" t="inlineStr"/>
      <c r="AR97" t="inlineStr"/>
      <c r="AS97" t="inlineStr">
        <is>
          <t>Pa</t>
        </is>
      </c>
      <c r="AT97" t="inlineStr"/>
      <c r="AU97" t="inlineStr"/>
      <c r="AV97" t="inlineStr"/>
      <c r="AW97" t="inlineStr"/>
      <c r="AX97" t="inlineStr"/>
      <c r="AY97" t="inlineStr"/>
      <c r="AZ97" t="inlineStr"/>
      <c r="BA97" t="inlineStr"/>
      <c r="BB97" t="inlineStr"/>
      <c r="BC97" t="inlineStr"/>
      <c r="BD97" t="inlineStr"/>
      <c r="BE97" t="inlineStr"/>
      <c r="BF97" t="inlineStr"/>
      <c r="BG97" t="n">
        <v>110</v>
      </c>
      <c r="BH97" t="inlineStr"/>
      <c r="BI97" t="inlineStr"/>
      <c r="BJ97" t="inlineStr"/>
      <c r="BK97" t="inlineStr"/>
      <c r="BL97" t="inlineStr"/>
      <c r="BM97" t="inlineStr">
        <is>
          <t>n</t>
        </is>
      </c>
      <c r="BN97" t="n">
        <v>0</v>
      </c>
      <c r="BO97" t="inlineStr"/>
      <c r="BP97" t="inlineStr">
        <is>
          <t>Gewebe</t>
        </is>
      </c>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c r="DC97" t="inlineStr"/>
      <c r="DD97" t="inlineStr"/>
      <c r="DE97" t="inlineStr"/>
      <c r="DF97" t="inlineStr"/>
      <c r="DG97" t="inlineStr"/>
    </row>
    <row r="98">
      <c r="A98" t="inlineStr">
        <is>
          <t>III</t>
        </is>
      </c>
      <c r="B98" t="b">
        <v>1</v>
      </c>
      <c r="C98" t="inlineStr"/>
      <c r="D98" t="inlineStr"/>
      <c r="E98" t="inlineStr"/>
      <c r="F98">
        <f>HYPERLINK("https://portal.dnb.de/opac.htm?method=simpleSearch&amp;cqlMode=true&amp;query=idn%3D1137896493", "Portal")</f>
        <v/>
      </c>
      <c r="G98" t="inlineStr">
        <is>
          <t>Qd</t>
        </is>
      </c>
      <c r="H98" t="inlineStr">
        <is>
          <t>L-9999-414175085</t>
        </is>
      </c>
      <c r="I98" t="inlineStr">
        <is>
          <t>1137896493</t>
        </is>
      </c>
      <c r="J98" t="inlineStr">
        <is>
          <t>III 6, 13</t>
        </is>
      </c>
      <c r="K98" t="inlineStr">
        <is>
          <t>III 6, 13</t>
        </is>
      </c>
      <c r="L98" t="inlineStr">
        <is>
          <t>III 6, 13</t>
        </is>
      </c>
      <c r="M98" t="inlineStr"/>
      <c r="N98" t="inlineStr">
        <is>
          <t xml:space="preserve">Sammelband : </t>
        </is>
      </c>
      <c r="O98" t="inlineStr">
        <is>
          <t xml:space="preserve"> : </t>
        </is>
      </c>
      <c r="P98" t="inlineStr"/>
      <c r="Q98" t="inlineStr"/>
      <c r="R98" t="inlineStr"/>
      <c r="S98" t="inlineStr"/>
      <c r="T98" t="inlineStr"/>
      <c r="U98" t="inlineStr"/>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n">
        <v>0</v>
      </c>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c r="DD98" t="inlineStr"/>
      <c r="DE98" t="inlineStr"/>
      <c r="DF98" t="inlineStr"/>
      <c r="DG98" t="inlineStr"/>
    </row>
    <row r="99">
      <c r="A99" t="inlineStr">
        <is>
          <t>III</t>
        </is>
      </c>
      <c r="B99" t="b">
        <v>1</v>
      </c>
      <c r="C99" t="inlineStr"/>
      <c r="D99" t="inlineStr"/>
      <c r="E99" t="n">
        <v>94</v>
      </c>
      <c r="F99">
        <f>HYPERLINK("https://portal.dnb.de/opac.htm?method=simpleSearch&amp;cqlMode=true&amp;query=idn%3D1066871159", "Portal")</f>
        <v/>
      </c>
      <c r="G99" t="inlineStr">
        <is>
          <t>Aaf</t>
        </is>
      </c>
      <c r="H99" t="inlineStr">
        <is>
          <t>L-1520-315328991</t>
        </is>
      </c>
      <c r="I99" t="inlineStr">
        <is>
          <t>1066871159</t>
        </is>
      </c>
      <c r="J99" t="inlineStr">
        <is>
          <t>III 6, 14</t>
        </is>
      </c>
      <c r="K99" t="inlineStr">
        <is>
          <t>III 6, 14</t>
        </is>
      </c>
      <c r="L99" t="inlineStr">
        <is>
          <t>III 6, 14</t>
        </is>
      </c>
      <c r="M99" t="inlineStr"/>
      <c r="N99" t="inlineStr">
        <is>
          <t xml:space="preserve">MARTINI|| DORPII SACRAE THEO||logiae professoris Oratio in|| prælectionem episto-||larum diui Pauli.|| ... Epistola ERASMI ad Dorpiū.|| : </t>
        </is>
      </c>
      <c r="O99" t="inlineStr">
        <is>
          <t xml:space="preserve"> : </t>
        </is>
      </c>
      <c r="P99" t="inlineStr"/>
      <c r="Q99" t="inlineStr"/>
      <c r="R99" t="inlineStr"/>
      <c r="S99" t="inlineStr"/>
      <c r="T99" t="inlineStr"/>
      <c r="U99" t="inlineStr"/>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inlineStr"/>
      <c r="BI99" t="inlineStr"/>
      <c r="BJ99" t="inlineStr"/>
      <c r="BK99" t="inlineStr"/>
      <c r="BL99" t="inlineStr"/>
      <c r="BM99" t="inlineStr"/>
      <c r="BN99" t="n">
        <v>0</v>
      </c>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c r="DC99" t="inlineStr"/>
      <c r="DD99" t="inlineStr"/>
      <c r="DE99" t="inlineStr"/>
      <c r="DF99" t="inlineStr"/>
      <c r="DG99" t="inlineStr"/>
    </row>
    <row r="100">
      <c r="A100" t="inlineStr">
        <is>
          <t>III</t>
        </is>
      </c>
      <c r="B100" t="b">
        <v>1</v>
      </c>
      <c r="C100" t="inlineStr"/>
      <c r="D100" t="inlineStr"/>
      <c r="E100" t="n">
        <v>138</v>
      </c>
      <c r="F100">
        <f>HYPERLINK("https://portal.dnb.de/opac.htm?method=simpleSearch&amp;cqlMode=true&amp;query=idn%3D1002284589", "Portal")</f>
        <v/>
      </c>
      <c r="G100" t="inlineStr">
        <is>
          <t>Afl</t>
        </is>
      </c>
      <c r="H100" t="inlineStr">
        <is>
          <t>L-1522-176986065</t>
        </is>
      </c>
      <c r="I100" t="inlineStr">
        <is>
          <t>1002284589</t>
        </is>
      </c>
      <c r="J100" t="inlineStr">
        <is>
          <t>III 6, 14a</t>
        </is>
      </c>
      <c r="K100" t="inlineStr">
        <is>
          <t>III 6, 14a</t>
        </is>
      </c>
      <c r="L100" t="inlineStr">
        <is>
          <t>III 6, 14 a</t>
        </is>
      </c>
      <c r="M100" t="inlineStr"/>
      <c r="N100" t="inlineStr">
        <is>
          <t>Novum Testamentum omne [griech. u. lat.], tertio iam ac diligentius ab Erasmo Roterodamo recognitum ... una cum Annotationibus recognitis, ac magna ac</t>
        </is>
      </c>
      <c r="O100" t="inlineStr">
        <is>
          <t xml:space="preserve">[1.] : </t>
        </is>
      </c>
      <c r="P100" t="inlineStr"/>
      <c r="Q100" t="inlineStr"/>
      <c r="R100" t="inlineStr"/>
      <c r="S100" t="inlineStr">
        <is>
          <t>bis 35 cm</t>
        </is>
      </c>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is>
          <t>HD</t>
        </is>
      </c>
      <c r="AJ100" t="inlineStr"/>
      <c r="AK100" t="inlineStr"/>
      <c r="AL100" t="inlineStr">
        <is>
          <t>x</t>
        </is>
      </c>
      <c r="AM100" t="inlineStr">
        <is>
          <t>f</t>
        </is>
      </c>
      <c r="AN100" t="inlineStr"/>
      <c r="AO100" t="inlineStr"/>
      <c r="AP100" t="inlineStr"/>
      <c r="AQ100" t="inlineStr"/>
      <c r="AR100" t="inlineStr"/>
      <c r="AS100" t="inlineStr">
        <is>
          <t>Pa</t>
        </is>
      </c>
      <c r="AT100" t="inlineStr"/>
      <c r="AU100" t="inlineStr"/>
      <c r="AV100" t="inlineStr"/>
      <c r="AW100" t="inlineStr"/>
      <c r="AX100" t="inlineStr"/>
      <c r="AY100" t="inlineStr"/>
      <c r="AZ100" t="inlineStr"/>
      <c r="BA100" t="inlineStr"/>
      <c r="BB100" t="inlineStr"/>
      <c r="BC100" t="inlineStr"/>
      <c r="BD100" t="inlineStr"/>
      <c r="BE100" t="inlineStr"/>
      <c r="BF100" t="inlineStr"/>
      <c r="BG100" t="n">
        <v>110</v>
      </c>
      <c r="BH100" t="inlineStr"/>
      <c r="BI100" t="inlineStr"/>
      <c r="BJ100" t="inlineStr"/>
      <c r="BK100" t="inlineStr"/>
      <c r="BL100" t="inlineStr"/>
      <c r="BM100" t="inlineStr">
        <is>
          <t>n</t>
        </is>
      </c>
      <c r="BN100" t="n">
        <v>0</v>
      </c>
      <c r="BO100" t="inlineStr"/>
      <c r="BP100" t="inlineStr">
        <is>
          <t>Gewebe</t>
        </is>
      </c>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c r="DC100" t="inlineStr"/>
      <c r="DD100" t="inlineStr"/>
      <c r="DE100" t="inlineStr"/>
      <c r="DF100" t="inlineStr"/>
      <c r="DG100" t="inlineStr"/>
    </row>
    <row r="101">
      <c r="A101" t="inlineStr">
        <is>
          <t>III</t>
        </is>
      </c>
      <c r="B101" t="b">
        <v>1</v>
      </c>
      <c r="C101" t="inlineStr"/>
      <c r="D101" t="inlineStr"/>
      <c r="E101" t="n">
        <v>139</v>
      </c>
      <c r="F101">
        <f>HYPERLINK("https://portal.dnb.de/opac.htm?method=simpleSearch&amp;cqlMode=true&amp;query=idn%3D1000490092", "Portal")</f>
        <v/>
      </c>
      <c r="G101" t="inlineStr">
        <is>
          <t>Aal</t>
        </is>
      </c>
      <c r="H101" t="inlineStr">
        <is>
          <t>L-1517-170718212</t>
        </is>
      </c>
      <c r="I101" t="inlineStr">
        <is>
          <t>1000490092</t>
        </is>
      </c>
      <c r="J101" t="inlineStr">
        <is>
          <t>III 6, 14b</t>
        </is>
      </c>
      <c r="K101" t="inlineStr">
        <is>
          <t>III 6, 14b</t>
        </is>
      </c>
      <c r="L101" t="inlineStr">
        <is>
          <t>III 6, 14 b</t>
        </is>
      </c>
      <c r="M101" t="inlineStr"/>
      <c r="N101" t="inlineStr">
        <is>
          <t xml:space="preserve">Michae-||lis Ritii Neapo||litani|| De regibus Francoru lib. III.|| De regibus Hispaniae lib. III.|| De regibus Hierosolymo-||rum lib. I.|| De regibus </t>
        </is>
      </c>
      <c r="O101" t="inlineStr">
        <is>
          <t xml:space="preserve"> : </t>
        </is>
      </c>
      <c r="P101" t="inlineStr"/>
      <c r="Q101" t="inlineStr"/>
      <c r="R101" t="inlineStr"/>
      <c r="S101" t="inlineStr"/>
      <c r="T101" t="inlineStr"/>
      <c r="U101" t="inlineStr"/>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inlineStr"/>
      <c r="BI101" t="inlineStr"/>
      <c r="BJ101" t="inlineStr"/>
      <c r="BK101" t="inlineStr"/>
      <c r="BL101" t="inlineStr"/>
      <c r="BM101" t="inlineStr"/>
      <c r="BN101" t="n">
        <v>0</v>
      </c>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c r="DC101" t="inlineStr"/>
      <c r="DD101" t="inlineStr"/>
      <c r="DE101" t="inlineStr"/>
      <c r="DF101" t="inlineStr"/>
      <c r="DG101" t="inlineStr"/>
    </row>
    <row r="102">
      <c r="A102" t="inlineStr">
        <is>
          <t>III</t>
        </is>
      </c>
      <c r="B102" t="b">
        <v>1</v>
      </c>
      <c r="C102" t="inlineStr"/>
      <c r="D102" t="inlineStr"/>
      <c r="E102" t="n">
        <v>140</v>
      </c>
      <c r="F102">
        <f>HYPERLINK("https://portal.dnb.de/opac.htm?method=simpleSearch&amp;cqlMode=true&amp;query=idn%3D999154273", "Portal")</f>
        <v/>
      </c>
      <c r="G102" t="inlineStr">
        <is>
          <t>Aal</t>
        </is>
      </c>
      <c r="H102" t="inlineStr">
        <is>
          <t>L-1522-167627902</t>
        </is>
      </c>
      <c r="I102" t="inlineStr">
        <is>
          <t>999154273</t>
        </is>
      </c>
      <c r="J102" t="inlineStr">
        <is>
          <t>III 6, 14c</t>
        </is>
      </c>
      <c r="K102" t="inlineStr">
        <is>
          <t>III 6, 14c</t>
        </is>
      </c>
      <c r="L102" t="inlineStr">
        <is>
          <t>III 6, 14 c</t>
        </is>
      </c>
      <c r="M102" t="inlineStr"/>
      <c r="N102" t="inlineStr">
        <is>
          <t>IO. FROB. PIO LE||CTORI S. D.|| Thesaurum haudquaq uulgarem tibi lector exhibe||mus hoc volumine, Paraphrasin in Euangelium Mat||thaei nuc primu natam</t>
        </is>
      </c>
      <c r="O102" t="inlineStr">
        <is>
          <t xml:space="preserve"> : </t>
        </is>
      </c>
      <c r="P102" t="inlineStr"/>
      <c r="Q102" t="inlineStr"/>
      <c r="R102" t="inlineStr"/>
      <c r="S102" t="inlineStr"/>
      <c r="T102" t="inlineStr"/>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n">
        <v>0</v>
      </c>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c r="DC102" t="inlineStr"/>
      <c r="DD102" t="inlineStr"/>
      <c r="DE102" t="inlineStr"/>
      <c r="DF102" t="inlineStr"/>
      <c r="DG102" t="inlineStr"/>
    </row>
    <row r="103">
      <c r="A103" t="inlineStr">
        <is>
          <t>III</t>
        </is>
      </c>
      <c r="B103" t="b">
        <v>1</v>
      </c>
      <c r="C103" t="inlineStr"/>
      <c r="D103" t="inlineStr"/>
      <c r="E103" t="n">
        <v>95</v>
      </c>
      <c r="F103">
        <f>HYPERLINK("https://portal.dnb.de/opac.htm?method=simpleSearch&amp;cqlMode=true&amp;query=idn%3D106686554X", "Portal")</f>
        <v/>
      </c>
      <c r="G103" t="inlineStr">
        <is>
          <t>Aaf</t>
        </is>
      </c>
      <c r="H103" t="inlineStr">
        <is>
          <t>L-1520-315323825</t>
        </is>
      </c>
      <c r="I103" t="inlineStr">
        <is>
          <t>106686554X</t>
        </is>
      </c>
      <c r="J103" t="inlineStr">
        <is>
          <t>III 6, 15</t>
        </is>
      </c>
      <c r="K103" t="inlineStr">
        <is>
          <t>III 6, 15</t>
        </is>
      </c>
      <c r="L103" t="inlineStr">
        <is>
          <t>III 6, 15</t>
        </is>
      </c>
      <c r="M103" t="inlineStr"/>
      <c r="N103" t="inlineStr">
        <is>
          <t xml:space="preserve">OPERA DIVI CAE||CILII CYPRIANI EPISCOPI CARTHAGI-||nensis, ab innumeris mendis repurgata...|| Atqz hæc omnia no||bis præstitit ingen||ti labore suo|| </t>
        </is>
      </c>
      <c r="O103" t="inlineStr">
        <is>
          <t xml:space="preserve"> : </t>
        </is>
      </c>
      <c r="P103" t="inlineStr"/>
      <c r="Q103" t="inlineStr"/>
      <c r="R103" t="inlineStr"/>
      <c r="S103" t="inlineStr"/>
      <c r="T103" t="inlineStr"/>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n">
        <v>0</v>
      </c>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c r="DC103" t="inlineStr"/>
      <c r="DD103" t="inlineStr"/>
      <c r="DE103" t="inlineStr"/>
      <c r="DF103" t="inlineStr"/>
      <c r="DG103" t="inlineStr"/>
    </row>
    <row r="104">
      <c r="A104" t="inlineStr">
        <is>
          <t>III</t>
        </is>
      </c>
      <c r="B104" t="b">
        <v>1</v>
      </c>
      <c r="C104" t="inlineStr"/>
      <c r="D104" t="inlineStr"/>
      <c r="E104" t="n">
        <v>145</v>
      </c>
      <c r="F104">
        <f>HYPERLINK("https://portal.dnb.de/opac.htm?method=simpleSearch&amp;cqlMode=true&amp;query=idn%3D1002109876", "Portal")</f>
        <v/>
      </c>
      <c r="G104" t="inlineStr">
        <is>
          <t>Aal</t>
        </is>
      </c>
      <c r="H104" t="inlineStr">
        <is>
          <t>L-1533-176474358</t>
        </is>
      </c>
      <c r="I104" t="inlineStr">
        <is>
          <t>1002109876</t>
        </is>
      </c>
      <c r="J104" t="inlineStr">
        <is>
          <t>III 6, 15b</t>
        </is>
      </c>
      <c r="K104" t="inlineStr">
        <is>
          <t>III 6, 15b</t>
        </is>
      </c>
      <c r="L104" t="inlineStr">
        <is>
          <t>III 6, 15 b</t>
        </is>
      </c>
      <c r="M104" t="inlineStr"/>
      <c r="N104" t="inlineStr">
        <is>
          <t xml:space="preserve">Omnia qvam antehac emendatiora annotationes Des[iderii] Erasmi [Roterodami] et [Iohannis Baptistae] Egnatij cognitu dignae : </t>
        </is>
      </c>
      <c r="O104" t="inlineStr">
        <is>
          <t xml:space="preserve"> : </t>
        </is>
      </c>
      <c r="P104" t="inlineStr"/>
      <c r="Q104" t="inlineStr">
        <is>
          <t>500,00 EUR</t>
        </is>
      </c>
      <c r="R104" t="inlineStr"/>
      <c r="S104" t="inlineStr">
        <is>
          <t>bis 42 cm</t>
        </is>
      </c>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is>
          <t>HD</t>
        </is>
      </c>
      <c r="AJ104" t="inlineStr"/>
      <c r="AK104" t="inlineStr"/>
      <c r="AL104" t="inlineStr"/>
      <c r="AM104" t="inlineStr">
        <is>
          <t>f</t>
        </is>
      </c>
      <c r="AN104" t="inlineStr"/>
      <c r="AO104" t="inlineStr"/>
      <c r="AP104" t="inlineStr"/>
      <c r="AQ104" t="inlineStr"/>
      <c r="AR104" t="inlineStr">
        <is>
          <t>x</t>
        </is>
      </c>
      <c r="AS104" t="inlineStr">
        <is>
          <t>Pa</t>
        </is>
      </c>
      <c r="AT104" t="inlineStr"/>
      <c r="AU104" t="inlineStr"/>
      <c r="AV104" t="inlineStr"/>
      <c r="AW104" t="inlineStr"/>
      <c r="AX104" t="inlineStr"/>
      <c r="AY104" t="inlineStr"/>
      <c r="AZ104" t="inlineStr"/>
      <c r="BA104" t="inlineStr"/>
      <c r="BB104" t="inlineStr"/>
      <c r="BC104" t="inlineStr"/>
      <c r="BD104" t="inlineStr"/>
      <c r="BE104" t="inlineStr"/>
      <c r="BF104" t="inlineStr"/>
      <c r="BG104" t="n">
        <v>45</v>
      </c>
      <c r="BH104" t="inlineStr"/>
      <c r="BI104" t="inlineStr"/>
      <c r="BJ104" t="inlineStr"/>
      <c r="BK104" t="inlineStr"/>
      <c r="BL104" t="inlineStr"/>
      <c r="BM104" t="inlineStr">
        <is>
          <t>n</t>
        </is>
      </c>
      <c r="BN104" t="n">
        <v>0</v>
      </c>
      <c r="BO104" t="inlineStr"/>
      <c r="BP104" t="inlineStr"/>
      <c r="BQ104" t="inlineStr"/>
      <c r="BR104" t="inlineStr">
        <is>
          <t>x</t>
        </is>
      </c>
      <c r="BS104" t="inlineStr"/>
      <c r="BT104" t="inlineStr"/>
      <c r="BU104" t="inlineStr"/>
      <c r="BV104" t="inlineStr"/>
      <c r="BW104" t="inlineStr">
        <is>
          <t>x? 45</t>
        </is>
      </c>
      <c r="BX104" t="inlineStr">
        <is>
          <t xml:space="preserve">
obere Schließe steif</t>
        </is>
      </c>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row>
    <row r="105">
      <c r="A105" t="inlineStr">
        <is>
          <t>III</t>
        </is>
      </c>
      <c r="B105" t="b">
        <v>0</v>
      </c>
      <c r="C105" t="inlineStr"/>
      <c r="D105" t="inlineStr"/>
      <c r="E105" t="n">
        <v>143</v>
      </c>
      <c r="F105">
        <f>HYPERLINK("https://portal.dnb.de/opac.htm?method=simpleSearch&amp;cqlMode=true&amp;query=idn%3D993914608", "Portal")</f>
        <v/>
      </c>
      <c r="G105" t="inlineStr"/>
      <c r="H105" t="inlineStr">
        <is>
          <t>L-1533-154002852</t>
        </is>
      </c>
      <c r="I105" t="inlineStr">
        <is>
          <t>993914608</t>
        </is>
      </c>
      <c r="J105" t="inlineStr"/>
      <c r="K105" t="inlineStr"/>
      <c r="L105" t="inlineStr">
        <is>
          <t>III 6, 15 b (angebunden?)</t>
        </is>
      </c>
      <c r="M105" t="inlineStr"/>
      <c r="N105" t="inlineStr"/>
      <c r="O105" t="inlineStr"/>
      <c r="P105" t="inlineStr"/>
      <c r="Q105" t="inlineStr"/>
      <c r="R105" t="inlineStr"/>
      <c r="S105" t="inlineStr"/>
      <c r="T105" t="inlineStr"/>
      <c r="U105" t="inlineStr"/>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n">
        <v>0</v>
      </c>
      <c r="BO105" t="inlineStr"/>
      <c r="BP105" t="inlineStr"/>
      <c r="BQ105" t="inlineStr"/>
      <c r="BR105" t="inlineStr"/>
      <c r="BS105" t="inlineStr"/>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c r="DC105" t="inlineStr"/>
      <c r="DD105" t="inlineStr"/>
      <c r="DE105" t="inlineStr"/>
      <c r="DF105" t="inlineStr"/>
      <c r="DG105" t="inlineStr"/>
    </row>
    <row r="106">
      <c r="A106" t="inlineStr">
        <is>
          <t>III</t>
        </is>
      </c>
      <c r="B106" t="b">
        <v>0</v>
      </c>
      <c r="C106" t="inlineStr"/>
      <c r="D106" t="inlineStr"/>
      <c r="E106" t="n">
        <v>144</v>
      </c>
      <c r="F106">
        <f>HYPERLINK("https://portal.dnb.de/opac.htm?method=simpleSearch&amp;cqlMode=true&amp;query=idn%3D1001756231", "Portal")</f>
        <v/>
      </c>
      <c r="G106" t="inlineStr"/>
      <c r="H106" t="inlineStr">
        <is>
          <t>L-1533-175496242</t>
        </is>
      </c>
      <c r="I106" t="inlineStr">
        <is>
          <t>1001756231</t>
        </is>
      </c>
      <c r="J106" t="inlineStr"/>
      <c r="K106" t="inlineStr"/>
      <c r="L106" t="inlineStr">
        <is>
          <t>III 6, 15 b (angebunden?)</t>
        </is>
      </c>
      <c r="M106" t="inlineStr"/>
      <c r="N106" t="inlineStr"/>
      <c r="O106" t="inlineStr"/>
      <c r="P106" t="inlineStr"/>
      <c r="Q106" t="inlineStr"/>
      <c r="R106" t="inlineStr"/>
      <c r="S106" t="inlineStr"/>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n">
        <v>0</v>
      </c>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c r="DC106" t="inlineStr"/>
      <c r="DD106" t="inlineStr"/>
      <c r="DE106" t="inlineStr"/>
      <c r="DF106" t="inlineStr"/>
      <c r="DG106" t="inlineStr"/>
    </row>
    <row r="107">
      <c r="A107" t="inlineStr">
        <is>
          <t>III</t>
        </is>
      </c>
      <c r="B107" t="b">
        <v>0</v>
      </c>
      <c r="C107" t="inlineStr"/>
      <c r="D107" t="inlineStr"/>
      <c r="E107" t="n">
        <v>146</v>
      </c>
      <c r="F107">
        <f>HYPERLINK("https://portal.dnb.de/opac.htm?method=simpleSearch&amp;cqlMode=true&amp;query=idn%3D994442157", "Portal")</f>
        <v/>
      </c>
      <c r="G107" t="inlineStr"/>
      <c r="H107" t="inlineStr">
        <is>
          <t>L-9999-155943421</t>
        </is>
      </c>
      <c r="I107" t="inlineStr">
        <is>
          <t>994442157</t>
        </is>
      </c>
      <c r="J107" t="inlineStr"/>
      <c r="K107" t="inlineStr"/>
      <c r="L107" t="inlineStr">
        <is>
          <t>III 6, 15 b (angebunden?)</t>
        </is>
      </c>
      <c r="M107" t="inlineStr"/>
      <c r="N107" t="inlineStr"/>
      <c r="O107" t="inlineStr"/>
      <c r="P107" t="inlineStr"/>
      <c r="Q107" t="inlineStr"/>
      <c r="R107" t="inlineStr"/>
      <c r="S107" t="inlineStr"/>
      <c r="T107" t="inlineStr"/>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n">
        <v>0</v>
      </c>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c r="DD107" t="inlineStr"/>
      <c r="DE107" t="inlineStr"/>
      <c r="DF107" t="inlineStr"/>
      <c r="DG107" t="inlineStr"/>
    </row>
    <row r="108">
      <c r="A108" t="inlineStr">
        <is>
          <t>III</t>
        </is>
      </c>
      <c r="B108" t="b">
        <v>1</v>
      </c>
      <c r="C108" t="inlineStr"/>
      <c r="D108" t="inlineStr"/>
      <c r="E108" t="n">
        <v>147</v>
      </c>
      <c r="F108">
        <f>HYPERLINK("https://portal.dnb.de/opac.htm?method=simpleSearch&amp;cqlMode=true&amp;query=idn%3D1000069990", "Portal")</f>
        <v/>
      </c>
      <c r="G108" t="inlineStr">
        <is>
          <t>Aal</t>
        </is>
      </c>
      <c r="H108" t="inlineStr">
        <is>
          <t>L-1535-169968472</t>
        </is>
      </c>
      <c r="I108" t="inlineStr">
        <is>
          <t>1000069990</t>
        </is>
      </c>
      <c r="J108" t="inlineStr">
        <is>
          <t>III 6, 15 c</t>
        </is>
      </c>
      <c r="K108" t="inlineStr">
        <is>
          <t>III 6, 15 c</t>
        </is>
      </c>
      <c r="L108" t="inlineStr">
        <is>
          <t>III 6, 15 c</t>
        </is>
      </c>
      <c r="M108" t="inlineStr"/>
      <c r="N108" t="inlineStr">
        <is>
          <t>C[aii] Plinii Secvndi|| Historia mvndi, denvo emendata (Historiae naturalis libri XXXVII),|| non pavcis locis ex diligenti ad pervetvstat et|| optimae</t>
        </is>
      </c>
      <c r="O108" t="inlineStr">
        <is>
          <t xml:space="preserve"> : </t>
        </is>
      </c>
      <c r="P108" t="inlineStr"/>
      <c r="Q108" t="inlineStr"/>
      <c r="R108" t="inlineStr"/>
      <c r="S108" t="inlineStr">
        <is>
          <t>bis 42 cm</t>
        </is>
      </c>
      <c r="T108" t="inlineStr"/>
      <c r="U108" t="inlineStr"/>
      <c r="V108" t="inlineStr"/>
      <c r="W108" t="inlineStr"/>
      <c r="X108" t="inlineStr"/>
      <c r="Y108" t="inlineStr"/>
      <c r="Z108" t="inlineStr"/>
      <c r="AA108" t="inlineStr"/>
      <c r="AB108" t="inlineStr"/>
      <c r="AC108" t="inlineStr"/>
      <c r="AD108" t="inlineStr"/>
      <c r="AE108" t="inlineStr"/>
      <c r="AF108" t="inlineStr"/>
      <c r="AG108" t="inlineStr"/>
      <c r="AH108" t="inlineStr"/>
      <c r="AI108" t="inlineStr">
        <is>
          <t>L</t>
        </is>
      </c>
      <c r="AJ108" t="inlineStr"/>
      <c r="AK108" t="inlineStr"/>
      <c r="AL108" t="inlineStr">
        <is>
          <t>x</t>
        </is>
      </c>
      <c r="AM108" t="inlineStr">
        <is>
          <t>f/V</t>
        </is>
      </c>
      <c r="AN108" t="inlineStr"/>
      <c r="AO108" t="inlineStr"/>
      <c r="AP108" t="inlineStr"/>
      <c r="AQ108" t="inlineStr"/>
      <c r="AR108" t="inlineStr"/>
      <c r="AS108" t="inlineStr">
        <is>
          <t>Pa</t>
        </is>
      </c>
      <c r="AT108" t="inlineStr"/>
      <c r="AU108" t="inlineStr"/>
      <c r="AV108" t="inlineStr"/>
      <c r="AW108" t="inlineStr"/>
      <c r="AX108" t="inlineStr"/>
      <c r="AY108" t="inlineStr"/>
      <c r="AZ108" t="inlineStr"/>
      <c r="BA108" t="inlineStr"/>
      <c r="BB108" t="inlineStr"/>
      <c r="BC108" t="inlineStr"/>
      <c r="BD108" t="inlineStr"/>
      <c r="BE108" t="inlineStr"/>
      <c r="BF108" t="inlineStr"/>
      <c r="BG108" t="n">
        <v>45</v>
      </c>
      <c r="BH108" t="inlineStr"/>
      <c r="BI108" t="inlineStr"/>
      <c r="BJ108" t="inlineStr"/>
      <c r="BK108" t="inlineStr"/>
      <c r="BL108" t="inlineStr"/>
      <c r="BM108" t="inlineStr">
        <is>
          <t>n</t>
        </is>
      </c>
      <c r="BN108" t="n">
        <v>0</v>
      </c>
      <c r="BO108" t="inlineStr"/>
      <c r="BP108" t="inlineStr">
        <is>
          <t>Halbgewebe mit Papier</t>
        </is>
      </c>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c r="DC108" t="inlineStr"/>
      <c r="DD108" t="inlineStr"/>
      <c r="DE108" t="inlineStr"/>
      <c r="DF108" t="inlineStr"/>
      <c r="DG108" t="inlineStr"/>
    </row>
    <row r="109">
      <c r="A109" t="inlineStr">
        <is>
          <t>III</t>
        </is>
      </c>
      <c r="B109" t="b">
        <v>1</v>
      </c>
      <c r="C109" t="inlineStr"/>
      <c r="D109" t="inlineStr"/>
      <c r="E109" t="n">
        <v>148</v>
      </c>
      <c r="F109">
        <f>HYPERLINK("https://portal.dnb.de/opac.htm?method=simpleSearch&amp;cqlMode=true&amp;query=idn%3D995369925", "Portal")</f>
        <v/>
      </c>
      <c r="G109" t="inlineStr">
        <is>
          <t>Aal</t>
        </is>
      </c>
      <c r="H109" t="inlineStr">
        <is>
          <t>L-1551-159354684</t>
        </is>
      </c>
      <c r="I109" t="inlineStr">
        <is>
          <t>995369925</t>
        </is>
      </c>
      <c r="J109" t="inlineStr">
        <is>
          <t>III 6, 15 d</t>
        </is>
      </c>
      <c r="K109" t="inlineStr">
        <is>
          <t>III 6, 15 d</t>
        </is>
      </c>
      <c r="L109" t="inlineStr">
        <is>
          <t>III 6, 15 d</t>
        </is>
      </c>
      <c r="M109" t="inlineStr"/>
      <c r="N109" t="inlineStr">
        <is>
          <t xml:space="preserve">MORIAE ENCOMI||VM, ID EST, STVLTICIAE LAV||datio, ludicra declamatione tractata|| per DES[iderium] ERASMVM Rote||rodamum, cum quibusdam alijs : </t>
        </is>
      </c>
      <c r="O109" t="inlineStr">
        <is>
          <t xml:space="preserve"> : </t>
        </is>
      </c>
      <c r="P109" t="inlineStr"/>
      <c r="Q109" t="inlineStr"/>
      <c r="R109" t="inlineStr">
        <is>
          <t>Papier- oder Pappeinband</t>
        </is>
      </c>
      <c r="S109" t="inlineStr">
        <is>
          <t>bis 25 cm</t>
        </is>
      </c>
      <c r="T109" t="inlineStr">
        <is>
          <t>80° bis 110°, einseitig digitalisierbar?</t>
        </is>
      </c>
      <c r="U109" t="inlineStr">
        <is>
          <t>hohler Rücken</t>
        </is>
      </c>
      <c r="V109" t="inlineStr"/>
      <c r="W109" t="inlineStr"/>
      <c r="X109" t="inlineStr">
        <is>
          <t>Signaturfahne austauschen</t>
        </is>
      </c>
      <c r="Y109" t="n">
        <v>0</v>
      </c>
      <c r="Z109" t="inlineStr"/>
      <c r="AA109" t="inlineStr"/>
      <c r="AB109" t="inlineStr"/>
      <c r="AC109" t="inlineStr"/>
      <c r="AD109" t="inlineStr"/>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inlineStr"/>
      <c r="BI109" t="inlineStr"/>
      <c r="BJ109" t="inlineStr"/>
      <c r="BK109" t="inlineStr"/>
      <c r="BL109" t="inlineStr"/>
      <c r="BM109" t="inlineStr"/>
      <c r="BN109" t="n">
        <v>0</v>
      </c>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c r="DB109" t="inlineStr"/>
      <c r="DC109" t="inlineStr"/>
      <c r="DD109" t="inlineStr"/>
      <c r="DE109" t="inlineStr"/>
      <c r="DF109" t="inlineStr"/>
      <c r="DG109" t="inlineStr"/>
    </row>
    <row r="110">
      <c r="A110" t="inlineStr">
        <is>
          <t>III</t>
        </is>
      </c>
      <c r="B110" t="b">
        <v>0</v>
      </c>
      <c r="C110" t="inlineStr"/>
      <c r="D110" t="inlineStr"/>
      <c r="E110" t="n">
        <v>149</v>
      </c>
      <c r="F110">
        <f>HYPERLINK("https://portal.dnb.de/opac.htm?method=simpleSearch&amp;cqlMode=true&amp;query=idn%3D100152828X", "Portal")</f>
        <v/>
      </c>
      <c r="G110" t="inlineStr"/>
      <c r="H110" t="inlineStr">
        <is>
          <t>L-1551-175065330</t>
        </is>
      </c>
      <c r="I110" t="inlineStr">
        <is>
          <t>100152828X</t>
        </is>
      </c>
      <c r="J110" t="inlineStr"/>
      <c r="K110" t="inlineStr"/>
      <c r="L110" t="inlineStr">
        <is>
          <t>III 6, 15 d</t>
        </is>
      </c>
      <c r="M110" t="inlineStr"/>
      <c r="N110" t="inlineStr"/>
      <c r="O110" t="inlineStr"/>
      <c r="P110" t="inlineStr"/>
      <c r="Q110" t="inlineStr"/>
      <c r="R110" t="inlineStr"/>
      <c r="S110" t="inlineStr"/>
      <c r="T110" t="inlineStr"/>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n">
        <v>0</v>
      </c>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row>
    <row r="111">
      <c r="A111" t="inlineStr">
        <is>
          <t>III</t>
        </is>
      </c>
      <c r="B111" t="b">
        <v>0</v>
      </c>
      <c r="C111" t="inlineStr"/>
      <c r="D111" t="inlineStr"/>
      <c r="E111" t="n">
        <v>150</v>
      </c>
      <c r="F111">
        <f>HYPERLINK("https://portal.dnb.de/opac.htm?method=simpleSearch&amp;cqlMode=true&amp;query=idn%3D1002180104", "Portal")</f>
        <v/>
      </c>
      <c r="G111" t="inlineStr"/>
      <c r="H111" t="inlineStr">
        <is>
          <t>L-1551-176762302</t>
        </is>
      </c>
      <c r="I111" t="inlineStr">
        <is>
          <t>1002180104</t>
        </is>
      </c>
      <c r="J111" t="inlineStr"/>
      <c r="K111" t="inlineStr"/>
      <c r="L111" t="inlineStr">
        <is>
          <t>III 6, 15 d</t>
        </is>
      </c>
      <c r="M111" t="inlineStr"/>
      <c r="N111" t="inlineStr"/>
      <c r="O111" t="inlineStr"/>
      <c r="P111" t="inlineStr"/>
      <c r="Q111" t="inlineStr"/>
      <c r="R111" t="inlineStr"/>
      <c r="S111" t="inlineStr"/>
      <c r="T111" t="inlineStr"/>
      <c r="U111" t="inlineStr"/>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inlineStr"/>
      <c r="BI111" t="inlineStr"/>
      <c r="BJ111" t="inlineStr"/>
      <c r="BK111" t="inlineStr"/>
      <c r="BL111" t="inlineStr"/>
      <c r="BM111" t="inlineStr"/>
      <c r="BN111" t="n">
        <v>0</v>
      </c>
      <c r="BO111" t="inlineStr"/>
      <c r="BP111" t="inlineStr"/>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c r="DC111" t="inlineStr"/>
      <c r="DD111" t="inlineStr"/>
      <c r="DE111" t="inlineStr"/>
      <c r="DF111" t="inlineStr"/>
      <c r="DG111" t="inlineStr"/>
    </row>
    <row r="112">
      <c r="A112" t="inlineStr">
        <is>
          <t>III</t>
        </is>
      </c>
      <c r="B112" t="b">
        <v>0</v>
      </c>
      <c r="C112" t="inlineStr">
        <is>
          <t>x</t>
        </is>
      </c>
      <c r="D112" t="inlineStr"/>
      <c r="E112" t="n">
        <v>151</v>
      </c>
      <c r="F112">
        <f>HYPERLINK("https://portal.dnb.de/opac.htm?method=simpleSearch&amp;cqlMode=true&amp;query=idn%3D997304758", "Portal")</f>
        <v/>
      </c>
      <c r="G112" t="inlineStr"/>
      <c r="H112" t="inlineStr">
        <is>
          <t>L-1559-163620636</t>
        </is>
      </c>
      <c r="I112" t="inlineStr">
        <is>
          <t>997304758</t>
        </is>
      </c>
      <c r="J112" t="inlineStr"/>
      <c r="K112" t="inlineStr"/>
      <c r="L112" t="inlineStr">
        <is>
          <t>III 6, 15 e</t>
        </is>
      </c>
      <c r="M112" t="inlineStr"/>
      <c r="N112" t="inlineStr"/>
      <c r="O112" t="inlineStr"/>
      <c r="P112" t="inlineStr"/>
      <c r="Q112" t="inlineStr"/>
      <c r="R112" t="inlineStr"/>
      <c r="S112" t="inlineStr">
        <is>
          <t>bis 35 cm</t>
        </is>
      </c>
      <c r="T112" t="inlineStr"/>
      <c r="U112" t="inlineStr"/>
      <c r="V112" t="inlineStr"/>
      <c r="W112" t="inlineStr"/>
      <c r="X112" t="inlineStr"/>
      <c r="Y112" t="inlineStr"/>
      <c r="Z112" t="inlineStr"/>
      <c r="AA112" t="inlineStr"/>
      <c r="AB112" t="inlineStr"/>
      <c r="AC112" t="inlineStr"/>
      <c r="AD112" t="inlineStr"/>
      <c r="AE112" t="inlineStr"/>
      <c r="AF112" t="inlineStr"/>
      <c r="AG112" t="inlineStr"/>
      <c r="AH112" t="inlineStr"/>
      <c r="AI112" t="inlineStr">
        <is>
          <t>HL</t>
        </is>
      </c>
      <c r="AJ112" t="inlineStr"/>
      <c r="AK112" t="inlineStr"/>
      <c r="AL112" t="inlineStr"/>
      <c r="AM112" t="inlineStr">
        <is>
          <t>f</t>
        </is>
      </c>
      <c r="AN112" t="inlineStr"/>
      <c r="AO112" t="inlineStr"/>
      <c r="AP112" t="inlineStr"/>
      <c r="AQ112" t="inlineStr"/>
      <c r="AR112" t="inlineStr"/>
      <c r="AS112" t="inlineStr">
        <is>
          <t>Pa</t>
        </is>
      </c>
      <c r="AT112" t="inlineStr"/>
      <c r="AU112" t="inlineStr"/>
      <c r="AV112" t="inlineStr"/>
      <c r="AW112" t="inlineStr"/>
      <c r="AX112" t="inlineStr"/>
      <c r="AY112" t="inlineStr"/>
      <c r="AZ112" t="inlineStr"/>
      <c r="BA112" t="inlineStr"/>
      <c r="BB112" t="inlineStr"/>
      <c r="BC112" t="inlineStr"/>
      <c r="BD112" t="inlineStr"/>
      <c r="BE112" t="inlineStr"/>
      <c r="BF112" t="inlineStr"/>
      <c r="BG112" t="n">
        <v>60</v>
      </c>
      <c r="BH112" t="inlineStr"/>
      <c r="BI112" t="inlineStr"/>
      <c r="BJ112" t="inlineStr"/>
      <c r="BK112" t="inlineStr"/>
      <c r="BL112" t="inlineStr"/>
      <c r="BM112" t="inlineStr">
        <is>
          <t>ja vor</t>
        </is>
      </c>
      <c r="BN112" t="n">
        <v>4.5</v>
      </c>
      <c r="BO112" t="inlineStr"/>
      <c r="BP112" t="inlineStr"/>
      <c r="BQ112" t="inlineStr"/>
      <c r="BR112" t="inlineStr">
        <is>
          <t>x</t>
        </is>
      </c>
      <c r="BS112" t="inlineStr"/>
      <c r="BT112" t="inlineStr"/>
      <c r="BU112" t="inlineStr"/>
      <c r="BV112" t="inlineStr"/>
      <c r="BW112" t="inlineStr"/>
      <c r="BX112" t="inlineStr"/>
      <c r="BY112" t="inlineStr"/>
      <c r="BZ112" t="inlineStr"/>
      <c r="CA112" t="inlineStr"/>
      <c r="CB112" t="inlineStr">
        <is>
          <t>x</t>
        </is>
      </c>
      <c r="CC112" t="inlineStr"/>
      <c r="CD112" t="inlineStr"/>
      <c r="CE112" t="inlineStr"/>
      <c r="CF112" t="inlineStr"/>
      <c r="CG112" t="inlineStr"/>
      <c r="CH112" t="inlineStr"/>
      <c r="CI112" t="inlineStr"/>
      <c r="CJ112" t="inlineStr"/>
      <c r="CK112" t="inlineStr"/>
      <c r="CL112" t="inlineStr"/>
      <c r="CM112" t="n">
        <v>1</v>
      </c>
      <c r="CN112" t="inlineStr">
        <is>
          <t>nur das Nötigste: loses Material an Ecken und Kanten zurückkleben/sichern</t>
        </is>
      </c>
      <c r="CO112" t="inlineStr"/>
      <c r="CP112" t="inlineStr"/>
      <c r="CQ112" t="inlineStr"/>
      <c r="CR112" t="inlineStr"/>
      <c r="CS112" t="inlineStr"/>
      <c r="CT112" t="inlineStr"/>
      <c r="CU112" t="inlineStr"/>
      <c r="CV112" t="inlineStr"/>
      <c r="CW112" t="inlineStr"/>
      <c r="CX112" t="inlineStr"/>
      <c r="CY112" t="inlineStr"/>
      <c r="CZ112" t="inlineStr">
        <is>
          <t>x</t>
        </is>
      </c>
      <c r="DA112" t="inlineStr"/>
      <c r="DB112" t="inlineStr"/>
      <c r="DC112" t="inlineStr"/>
      <c r="DD112" t="inlineStr"/>
      <c r="DE112" t="inlineStr"/>
      <c r="DF112" t="n">
        <v>3.5</v>
      </c>
      <c r="DG112" t="inlineStr"/>
    </row>
    <row r="113">
      <c r="A113" t="inlineStr">
        <is>
          <t>III</t>
        </is>
      </c>
      <c r="B113" t="b">
        <v>0</v>
      </c>
      <c r="C113" t="inlineStr"/>
      <c r="D113" t="inlineStr"/>
      <c r="E113" t="n">
        <v>152</v>
      </c>
      <c r="F113">
        <f>HYPERLINK("https://portal.dnb.de/opac.htm?method=simpleSearch&amp;cqlMode=true&amp;query=idn%3D100077130X", "Portal")</f>
        <v/>
      </c>
      <c r="G113" t="inlineStr"/>
      <c r="H113" t="inlineStr">
        <is>
          <t>L-1534-171135792</t>
        </is>
      </c>
      <c r="I113" t="inlineStr">
        <is>
          <t>100077130X</t>
        </is>
      </c>
      <c r="J113" t="inlineStr"/>
      <c r="K113" t="inlineStr"/>
      <c r="L113" t="inlineStr">
        <is>
          <t>III 6, 15 f</t>
        </is>
      </c>
      <c r="M113" t="inlineStr"/>
      <c r="N113" t="inlineStr"/>
      <c r="O113" t="inlineStr"/>
      <c r="P113" t="inlineStr"/>
      <c r="Q113" t="inlineStr"/>
      <c r="R113" t="inlineStr"/>
      <c r="S113" t="inlineStr"/>
      <c r="T113" t="inlineStr"/>
      <c r="U113" t="inlineStr"/>
      <c r="V113" t="inlineStr"/>
      <c r="W113" t="inlineStr"/>
      <c r="X113" t="inlineStr"/>
      <c r="Y113" t="inlineStr"/>
      <c r="Z113" t="inlineStr"/>
      <c r="AA113" t="inlineStr"/>
      <c r="AB113" t="inlineStr"/>
      <c r="AC113" t="inlineStr"/>
      <c r="AD113" t="inlineStr"/>
      <c r="AE113" t="inlineStr"/>
      <c r="AF113" t="inlineStr"/>
      <c r="AG113" t="inlineStr"/>
      <c r="AH113" t="inlineStr"/>
      <c r="AI113" t="inlineStr"/>
      <c r="AJ113" t="inlineStr"/>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c r="BH113" t="inlineStr"/>
      <c r="BI113" t="inlineStr"/>
      <c r="BJ113" t="inlineStr"/>
      <c r="BK113" t="inlineStr"/>
      <c r="BL113" t="inlineStr"/>
      <c r="BM113" t="inlineStr"/>
      <c r="BN113" t="n">
        <v>0</v>
      </c>
      <c r="BO113" t="inlineStr"/>
      <c r="BP113" t="inlineStr"/>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c r="DC113" t="inlineStr"/>
      <c r="DD113" t="inlineStr"/>
      <c r="DE113" t="inlineStr"/>
      <c r="DF113" t="inlineStr"/>
      <c r="DG113" t="inlineStr"/>
    </row>
    <row r="114">
      <c r="A114" t="inlineStr">
        <is>
          <t>III</t>
        </is>
      </c>
      <c r="B114" t="b">
        <v>0</v>
      </c>
      <c r="C114" t="inlineStr"/>
      <c r="D114" t="inlineStr"/>
      <c r="E114" t="n">
        <v>153</v>
      </c>
      <c r="F114">
        <f>HYPERLINK("https://portal.dnb.de/opac.htm?method=simpleSearch&amp;cqlMode=true&amp;query=idn%3D995883831", "Portal")</f>
        <v/>
      </c>
      <c r="G114" t="inlineStr"/>
      <c r="H114" t="inlineStr">
        <is>
          <t>L-1534-161289894</t>
        </is>
      </c>
      <c r="I114" t="inlineStr">
        <is>
          <t>995883831</t>
        </is>
      </c>
      <c r="J114" t="inlineStr"/>
      <c r="K114" t="inlineStr"/>
      <c r="L114" t="inlineStr">
        <is>
          <t>III 6, 15 f</t>
        </is>
      </c>
      <c r="M114" t="inlineStr"/>
      <c r="N114" t="inlineStr"/>
      <c r="O114" t="inlineStr"/>
      <c r="P114" t="inlineStr"/>
      <c r="Q114" t="inlineStr"/>
      <c r="R114" t="inlineStr"/>
      <c r="S114" t="inlineStr"/>
      <c r="T114" t="inlineStr"/>
      <c r="U114" t="inlineStr"/>
      <c r="V114" t="inlineStr"/>
      <c r="W114" t="inlineStr"/>
      <c r="X114" t="inlineStr"/>
      <c r="Y114" t="inlineStr"/>
      <c r="Z114" t="inlineStr"/>
      <c r="AA114" t="inlineStr"/>
      <c r="AB114" t="inlineStr"/>
      <c r="AC114" t="inlineStr"/>
      <c r="AD114" t="inlineStr"/>
      <c r="AE114" t="inlineStr"/>
      <c r="AF114" t="inlineStr"/>
      <c r="AG114" t="inlineStr"/>
      <c r="AH114" t="inlineStr"/>
      <c r="AI114" t="inlineStr"/>
      <c r="AJ114" t="inlineStr"/>
      <c r="AK114" t="inlineStr"/>
      <c r="AL114" t="inlineStr"/>
      <c r="AM114" t="inlineStr"/>
      <c r="AN114" t="inlineStr"/>
      <c r="AO114" t="inlineStr"/>
      <c r="AP114" t="inlineStr"/>
      <c r="AQ114" t="inlineStr"/>
      <c r="AR114" t="inlineStr"/>
      <c r="AS114" t="inlineStr"/>
      <c r="AT114" t="inlineStr"/>
      <c r="AU114" t="inlineStr"/>
      <c r="AV114" t="inlineStr"/>
      <c r="AW114" t="inlineStr"/>
      <c r="AX114" t="inlineStr"/>
      <c r="AY114" t="inlineStr"/>
      <c r="AZ114" t="inlineStr"/>
      <c r="BA114" t="inlineStr"/>
      <c r="BB114" t="inlineStr"/>
      <c r="BC114" t="inlineStr"/>
      <c r="BD114" t="inlineStr"/>
      <c r="BE114" t="inlineStr"/>
      <c r="BF114" t="inlineStr"/>
      <c r="BG114" t="inlineStr"/>
      <c r="BH114" t="inlineStr"/>
      <c r="BI114" t="inlineStr"/>
      <c r="BJ114" t="inlineStr"/>
      <c r="BK114" t="inlineStr"/>
      <c r="BL114" t="inlineStr"/>
      <c r="BM114" t="inlineStr"/>
      <c r="BN114" t="n">
        <v>0</v>
      </c>
      <c r="BO114" t="inlineStr"/>
      <c r="BP114" t="inlineStr"/>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c r="DC114" t="inlineStr"/>
      <c r="DD114" t="inlineStr"/>
      <c r="DE114" t="inlineStr"/>
      <c r="DF114" t="inlineStr"/>
      <c r="DG114" t="inlineStr"/>
    </row>
    <row r="115">
      <c r="A115" t="inlineStr">
        <is>
          <t>III</t>
        </is>
      </c>
      <c r="B115" t="b">
        <v>0</v>
      </c>
      <c r="C115" t="inlineStr"/>
      <c r="D115" t="inlineStr"/>
      <c r="E115" t="n">
        <v>154</v>
      </c>
      <c r="F115">
        <f>HYPERLINK("https://portal.dnb.de/opac.htm?method=simpleSearch&amp;cqlMode=true&amp;query=idn%3D1000043290", "Portal")</f>
        <v/>
      </c>
      <c r="G115" t="inlineStr"/>
      <c r="H115" t="inlineStr">
        <is>
          <t>L-1534-169918203</t>
        </is>
      </c>
      <c r="I115" t="inlineStr">
        <is>
          <t>1000043290</t>
        </is>
      </c>
      <c r="J115" t="inlineStr"/>
      <c r="K115" t="inlineStr"/>
      <c r="L115" t="inlineStr">
        <is>
          <t>III 6, 15 f</t>
        </is>
      </c>
      <c r="M115" t="inlineStr"/>
      <c r="N115" t="inlineStr"/>
      <c r="O115" t="inlineStr"/>
      <c r="P115" t="inlineStr"/>
      <c r="Q115" t="inlineStr"/>
      <c r="R115" t="inlineStr"/>
      <c r="S115" t="inlineStr"/>
      <c r="T115" t="inlineStr"/>
      <c r="U115" t="inlineStr"/>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inlineStr"/>
      <c r="BI115" t="inlineStr"/>
      <c r="BJ115" t="inlineStr"/>
      <c r="BK115" t="inlineStr"/>
      <c r="BL115" t="inlineStr"/>
      <c r="BM115" t="inlineStr"/>
      <c r="BN115" t="n">
        <v>0</v>
      </c>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c r="DC115" t="inlineStr"/>
      <c r="DD115" t="inlineStr"/>
      <c r="DE115" t="inlineStr"/>
      <c r="DF115" t="inlineStr"/>
      <c r="DG115" t="inlineStr"/>
    </row>
    <row r="116">
      <c r="A116" t="inlineStr">
        <is>
          <t>III</t>
        </is>
      </c>
      <c r="B116" t="b">
        <v>1</v>
      </c>
      <c r="C116" t="inlineStr"/>
      <c r="D116" t="inlineStr"/>
      <c r="E116" t="n">
        <v>155</v>
      </c>
      <c r="F116">
        <f>HYPERLINK("https://portal.dnb.de/opac.htm?method=simpleSearch&amp;cqlMode=true&amp;query=idn%3D993863388", "Portal")</f>
        <v/>
      </c>
      <c r="G116" t="inlineStr">
        <is>
          <t>Aal</t>
        </is>
      </c>
      <c r="H116" t="inlineStr">
        <is>
          <t>L-1534-153917210</t>
        </is>
      </c>
      <c r="I116" t="inlineStr">
        <is>
          <t>993863388</t>
        </is>
      </c>
      <c r="J116" t="inlineStr">
        <is>
          <t>III 6, 15f</t>
        </is>
      </c>
      <c r="K116" t="inlineStr">
        <is>
          <t>III 6, 15f</t>
        </is>
      </c>
      <c r="L116" t="inlineStr">
        <is>
          <t>III 6, 15 f</t>
        </is>
      </c>
      <c r="M116" t="inlineStr"/>
      <c r="N116" t="inlineStr">
        <is>
          <t>AESOPI PHRYGIS|| FABELLAE GRAECE ET LA-||tine, cum alijs opusculis [Aesopi uita à Maximo Planude composita. Gabriae Graeci fabellae tres &amp; quadraginta</t>
        </is>
      </c>
      <c r="O116" t="inlineStr">
        <is>
          <t xml:space="preserve"> : </t>
        </is>
      </c>
      <c r="P116" t="inlineStr">
        <is>
          <t>X</t>
        </is>
      </c>
      <c r="Q116" t="inlineStr"/>
      <c r="R116" t="inlineStr">
        <is>
          <t>Halbledereinband</t>
        </is>
      </c>
      <c r="S116" t="inlineStr">
        <is>
          <t>bis 25 cm</t>
        </is>
      </c>
      <c r="T116" t="inlineStr">
        <is>
          <t>80° bis 110°, einseitig digitalisierbar?</t>
        </is>
      </c>
      <c r="U116" t="inlineStr">
        <is>
          <t>hohler Rücken, Kupferfraß</t>
        </is>
      </c>
      <c r="V116" t="inlineStr"/>
      <c r="W116" t="inlineStr">
        <is>
          <t xml:space="preserve">Papierumschlag </t>
        </is>
      </c>
      <c r="X116" t="inlineStr">
        <is>
          <t>Ja</t>
        </is>
      </c>
      <c r="Y116" t="n">
        <v>1</v>
      </c>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n">
        <v>0</v>
      </c>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c r="DD116" t="inlineStr"/>
      <c r="DE116" t="inlineStr"/>
      <c r="DF116" t="inlineStr"/>
      <c r="DG116" t="inlineStr"/>
    </row>
    <row r="117">
      <c r="A117" t="inlineStr">
        <is>
          <t>III</t>
        </is>
      </c>
      <c r="B117" t="b">
        <v>1</v>
      </c>
      <c r="C117" t="inlineStr"/>
      <c r="D117" t="inlineStr"/>
      <c r="E117" t="n">
        <v>157</v>
      </c>
      <c r="F117">
        <f>HYPERLINK("https://portal.dnb.de/opac.htm?method=simpleSearch&amp;cqlMode=true&amp;query=idn%3D99480251X", "Portal")</f>
        <v/>
      </c>
      <c r="G117" t="inlineStr">
        <is>
          <t>Aal</t>
        </is>
      </c>
      <c r="H117" t="inlineStr">
        <is>
          <t>L-1549-157863611</t>
        </is>
      </c>
      <c r="I117" t="inlineStr">
        <is>
          <t>99480251X</t>
        </is>
      </c>
      <c r="J117" t="inlineStr">
        <is>
          <t>III 6, 15g</t>
        </is>
      </c>
      <c r="K117" t="inlineStr">
        <is>
          <t>III 6, 15g</t>
        </is>
      </c>
      <c r="L117" t="inlineStr">
        <is>
          <t>III 6, 15 g</t>
        </is>
      </c>
      <c r="M117" t="inlineStr"/>
      <c r="N117" t="inlineStr">
        <is>
          <t>DIONYSII ALEXAN||DRI F HALICARNASSEN|| ANTIQVITATVM SIVE ORIGINVM|| Romanarum Libri X : Sigismundo|| Gelenio interprete|| Addidimus Vndecimum ex uersi</t>
        </is>
      </c>
      <c r="O117" t="inlineStr">
        <is>
          <t xml:space="preserve"> : </t>
        </is>
      </c>
      <c r="P117" t="inlineStr"/>
      <c r="Q117" t="inlineStr"/>
      <c r="R117" t="inlineStr"/>
      <c r="S117" t="inlineStr">
        <is>
          <t>bis 35 cm</t>
        </is>
      </c>
      <c r="T117" t="inlineStr"/>
      <c r="U117" t="inlineStr"/>
      <c r="V117" t="inlineStr"/>
      <c r="W117" t="inlineStr"/>
      <c r="X117" t="inlineStr"/>
      <c r="Y117" t="inlineStr"/>
      <c r="Z117" t="inlineStr"/>
      <c r="AA117" t="inlineStr"/>
      <c r="AB117" t="inlineStr"/>
      <c r="AC117" t="inlineStr"/>
      <c r="AD117" t="inlineStr"/>
      <c r="AE117" t="inlineStr"/>
      <c r="AF117" t="inlineStr"/>
      <c r="AG117" t="inlineStr"/>
      <c r="AH117" t="inlineStr"/>
      <c r="AI117" t="inlineStr">
        <is>
          <t>L</t>
        </is>
      </c>
      <c r="AJ117" t="inlineStr"/>
      <c r="AK117" t="inlineStr"/>
      <c r="AL117" t="inlineStr">
        <is>
          <t>x</t>
        </is>
      </c>
      <c r="AM117" t="inlineStr">
        <is>
          <t>f</t>
        </is>
      </c>
      <c r="AN117" t="inlineStr"/>
      <c r="AO117" t="inlineStr"/>
      <c r="AP117" t="inlineStr"/>
      <c r="AQ117" t="inlineStr"/>
      <c r="AR117" t="inlineStr"/>
      <c r="AS117" t="inlineStr">
        <is>
          <t>Pa</t>
        </is>
      </c>
      <c r="AT117" t="inlineStr"/>
      <c r="AU117" t="inlineStr"/>
      <c r="AV117" t="inlineStr"/>
      <c r="AW117" t="inlineStr"/>
      <c r="AX117" t="inlineStr"/>
      <c r="AY117" t="inlineStr"/>
      <c r="AZ117" t="inlineStr"/>
      <c r="BA117" t="inlineStr"/>
      <c r="BB117" t="inlineStr"/>
      <c r="BC117" t="inlineStr"/>
      <c r="BD117" t="inlineStr"/>
      <c r="BE117" t="inlineStr"/>
      <c r="BF117" t="inlineStr"/>
      <c r="BG117" t="n">
        <v>110</v>
      </c>
      <c r="BH117" t="inlineStr"/>
      <c r="BI117" t="inlineStr"/>
      <c r="BJ117" t="inlineStr"/>
      <c r="BK117" t="inlineStr"/>
      <c r="BL117" t="inlineStr"/>
      <c r="BM117" t="inlineStr">
        <is>
          <t>n</t>
        </is>
      </c>
      <c r="BN117" t="n">
        <v>0</v>
      </c>
      <c r="BO117" t="inlineStr"/>
      <c r="BP117" t="inlineStr">
        <is>
          <t>Gewebe</t>
        </is>
      </c>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c r="DC117" t="inlineStr"/>
      <c r="DD117" t="inlineStr"/>
      <c r="DE117" t="inlineStr"/>
      <c r="DF117" t="inlineStr"/>
      <c r="DG117" t="inlineStr"/>
    </row>
    <row r="118">
      <c r="A118" t="inlineStr">
        <is>
          <t>III</t>
        </is>
      </c>
      <c r="B118" t="b">
        <v>1</v>
      </c>
      <c r="C118" t="inlineStr">
        <is>
          <t>x</t>
        </is>
      </c>
      <c r="D118" t="inlineStr"/>
      <c r="E118" t="n">
        <v>158</v>
      </c>
      <c r="F118">
        <f>HYPERLINK("https://portal.dnb.de/opac.htm?method=simpleSearch&amp;cqlMode=true&amp;query=idn%3D1066678316", "Portal")</f>
        <v/>
      </c>
      <c r="G118" t="inlineStr">
        <is>
          <t>Aaf</t>
        </is>
      </c>
      <c r="H118" t="inlineStr">
        <is>
          <t>L-1537-315066954</t>
        </is>
      </c>
      <c r="I118" t="inlineStr">
        <is>
          <t>1066678316</t>
        </is>
      </c>
      <c r="J118" t="inlineStr">
        <is>
          <t>III 6, 15 h</t>
        </is>
      </c>
      <c r="K118" t="inlineStr">
        <is>
          <t>III 6, 15 h</t>
        </is>
      </c>
      <c r="L118" t="inlineStr">
        <is>
          <t>III 6, 15 h</t>
        </is>
      </c>
      <c r="M118" t="inlineStr"/>
      <c r="N118" t="inlineStr">
        <is>
          <t xml:space="preserve">DE NATVRA STIR||PIVM LIBRI TRES...|| Cum Indice ...|| copiosissimo.|| : </t>
        </is>
      </c>
      <c r="O118" t="inlineStr">
        <is>
          <t xml:space="preserve"> : </t>
        </is>
      </c>
      <c r="P118" t="inlineStr">
        <is>
          <t>X</t>
        </is>
      </c>
      <c r="Q118" t="inlineStr"/>
      <c r="R118" t="inlineStr">
        <is>
          <t>Pergamentband</t>
        </is>
      </c>
      <c r="S118" t="inlineStr">
        <is>
          <t>bis 35 cm</t>
        </is>
      </c>
      <c r="T118" t="inlineStr">
        <is>
          <t>180°</t>
        </is>
      </c>
      <c r="U118" t="inlineStr">
        <is>
          <t>hohler Rücken</t>
        </is>
      </c>
      <c r="V118" t="inlineStr"/>
      <c r="W118" t="inlineStr">
        <is>
          <t xml:space="preserve">Papierumschlag </t>
        </is>
      </c>
      <c r="X118" t="inlineStr">
        <is>
          <t>Ja</t>
        </is>
      </c>
      <c r="Y118" t="n">
        <v>1</v>
      </c>
      <c r="Z118" t="inlineStr"/>
      <c r="AA118" t="inlineStr"/>
      <c r="AB118" t="inlineStr"/>
      <c r="AC118" t="inlineStr"/>
      <c r="AD118" t="inlineStr"/>
      <c r="AE118" t="inlineStr"/>
      <c r="AF118" t="inlineStr"/>
      <c r="AG118" t="inlineStr"/>
      <c r="AH118" t="inlineStr"/>
      <c r="AI118" t="inlineStr">
        <is>
          <t>Pg</t>
        </is>
      </c>
      <c r="AJ118" t="inlineStr"/>
      <c r="AK118" t="inlineStr"/>
      <c r="AL118" t="inlineStr"/>
      <c r="AM118" t="inlineStr">
        <is>
          <t>h</t>
        </is>
      </c>
      <c r="AN118" t="inlineStr"/>
      <c r="AO118" t="inlineStr"/>
      <c r="AP118" t="inlineStr"/>
      <c r="AQ118" t="inlineStr"/>
      <c r="AR118" t="inlineStr"/>
      <c r="AS118" t="inlineStr">
        <is>
          <t>Pa</t>
        </is>
      </c>
      <c r="AT118" t="inlineStr"/>
      <c r="AU118" t="inlineStr"/>
      <c r="AV118" t="inlineStr"/>
      <c r="AW118" t="inlineStr"/>
      <c r="AX118" t="inlineStr"/>
      <c r="AY118" t="inlineStr"/>
      <c r="AZ118" t="inlineStr"/>
      <c r="BA118" t="inlineStr"/>
      <c r="BB118" t="inlineStr"/>
      <c r="BC118" t="inlineStr"/>
      <c r="BD118" t="inlineStr"/>
      <c r="BE118" t="inlineStr"/>
      <c r="BF118" t="inlineStr"/>
      <c r="BG118" t="n">
        <v>80</v>
      </c>
      <c r="BH118" t="inlineStr"/>
      <c r="BI118" t="inlineStr"/>
      <c r="BJ118" t="inlineStr"/>
      <c r="BK118" t="inlineStr"/>
      <c r="BL118" t="inlineStr"/>
      <c r="BM118" t="inlineStr">
        <is>
          <t>ja vor</t>
        </is>
      </c>
      <c r="BN118" t="n">
        <v>2</v>
      </c>
      <c r="BO118" t="inlineStr"/>
      <c r="BP118" t="inlineStr"/>
      <c r="BQ118" t="inlineStr"/>
      <c r="BR118" t="inlineStr"/>
      <c r="BS118" t="inlineStr"/>
      <c r="BT118" t="inlineStr">
        <is>
          <t>x sauer</t>
        </is>
      </c>
      <c r="BU118" t="inlineStr">
        <is>
          <t>x</t>
        </is>
      </c>
      <c r="BV118" t="inlineStr">
        <is>
          <t>fester Rücken inzwischen hohl</t>
        </is>
      </c>
      <c r="BW118" t="inlineStr"/>
      <c r="BX118" t="inlineStr"/>
      <c r="BY118" t="inlineStr"/>
      <c r="BZ118" t="inlineStr">
        <is>
          <t>x</t>
        </is>
      </c>
      <c r="CA118" t="inlineStr"/>
      <c r="CB118" t="inlineStr">
        <is>
          <t>x</t>
        </is>
      </c>
      <c r="CC118" t="inlineStr"/>
      <c r="CD118" t="inlineStr"/>
      <c r="CE118" t="inlineStr"/>
      <c r="CF118" t="inlineStr"/>
      <c r="CG118" t="inlineStr"/>
      <c r="CH118" t="inlineStr"/>
      <c r="CI118" t="inlineStr"/>
      <c r="CJ118" t="inlineStr"/>
      <c r="CK118" t="inlineStr"/>
      <c r="CL118" t="inlineStr"/>
      <c r="CM118" t="n">
        <v>2</v>
      </c>
      <c r="CN118" t="inlineStr">
        <is>
          <t>Fehlstelle mit JP ergänzen</t>
        </is>
      </c>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c r="DC118" t="inlineStr"/>
      <c r="DD118" t="inlineStr"/>
      <c r="DE118" t="inlineStr"/>
      <c r="DF118" t="inlineStr"/>
      <c r="DG118" t="inlineStr"/>
    </row>
    <row r="119">
      <c r="A119" t="inlineStr">
        <is>
          <t>III</t>
        </is>
      </c>
      <c r="B119" t="b">
        <v>1</v>
      </c>
      <c r="C119" t="inlineStr"/>
      <c r="D119" t="inlineStr"/>
      <c r="E119" t="inlineStr"/>
      <c r="F119">
        <f>HYPERLINK("https://portal.dnb.de/opac.htm?method=simpleSearch&amp;cqlMode=true&amp;query=idn%3D1248752589", "Portal")</f>
        <v/>
      </c>
      <c r="G119" t="inlineStr">
        <is>
          <t>Qd</t>
        </is>
      </c>
      <c r="H119" t="inlineStr">
        <is>
          <t>L-9999-756478634</t>
        </is>
      </c>
      <c r="I119" t="inlineStr">
        <is>
          <t>1248752589</t>
        </is>
      </c>
      <c r="J119" t="inlineStr">
        <is>
          <t>III 6, 15a</t>
        </is>
      </c>
      <c r="K119" t="inlineStr">
        <is>
          <t>III 6, 15a</t>
        </is>
      </c>
      <c r="L119" t="inlineStr">
        <is>
          <t>III 6, 15a</t>
        </is>
      </c>
      <c r="M119" t="inlineStr"/>
      <c r="N119" t="inlineStr">
        <is>
          <t xml:space="preserve">Sammelband : </t>
        </is>
      </c>
      <c r="O119" t="inlineStr">
        <is>
          <t xml:space="preserve"> : </t>
        </is>
      </c>
      <c r="P119" t="inlineStr">
        <is>
          <t>X</t>
        </is>
      </c>
      <c r="Q119" t="inlineStr">
        <is>
          <t>1000,00 EUR</t>
        </is>
      </c>
      <c r="R119" t="inlineStr">
        <is>
          <t>Ledereinband, Schließen, erhabene Buchbeschläge</t>
        </is>
      </c>
      <c r="S119" t="inlineStr">
        <is>
          <t>bis 25 cm</t>
        </is>
      </c>
      <c r="T119" t="inlineStr">
        <is>
          <t>80° bis 110°, einseitig digitalisierbar?</t>
        </is>
      </c>
      <c r="U119" t="inlineStr">
        <is>
          <t>fester Rücken mit Schmuckprägung</t>
        </is>
      </c>
      <c r="V119" t="inlineStr"/>
      <c r="W119" t="inlineStr">
        <is>
          <t>Kassette</t>
        </is>
      </c>
      <c r="X119" t="inlineStr">
        <is>
          <t>Nein</t>
        </is>
      </c>
      <c r="Y119" t="n">
        <v>0</v>
      </c>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inlineStr"/>
      <c r="BI119" t="inlineStr"/>
      <c r="BJ119" t="inlineStr"/>
      <c r="BK119" t="inlineStr"/>
      <c r="BL119" t="inlineStr"/>
      <c r="BM119" t="inlineStr"/>
      <c r="BN119" t="n">
        <v>0</v>
      </c>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c r="DC119" t="inlineStr"/>
      <c r="DD119" t="inlineStr"/>
      <c r="DE119" t="inlineStr"/>
      <c r="DF119" t="inlineStr"/>
      <c r="DG119" t="inlineStr"/>
    </row>
    <row r="120">
      <c r="A120" t="inlineStr">
        <is>
          <t>III</t>
        </is>
      </c>
      <c r="B120" t="b">
        <v>1</v>
      </c>
      <c r="C120" t="inlineStr">
        <is>
          <t>x</t>
        </is>
      </c>
      <c r="D120" t="inlineStr"/>
      <c r="E120" t="n">
        <v>96</v>
      </c>
      <c r="F120">
        <f>HYPERLINK("https://portal.dnb.de/opac.htm?method=simpleSearch&amp;cqlMode=true&amp;query=idn%3D1066962642", "Portal")</f>
        <v/>
      </c>
      <c r="G120" t="inlineStr">
        <is>
          <t>Aaf</t>
        </is>
      </c>
      <c r="H120" t="inlineStr">
        <is>
          <t>L-1528-315492996</t>
        </is>
      </c>
      <c r="I120" t="inlineStr">
        <is>
          <t>1066962642</t>
        </is>
      </c>
      <c r="J120" t="inlineStr">
        <is>
          <t>III 6, 16</t>
        </is>
      </c>
      <c r="K120" t="inlineStr">
        <is>
          <t>III 6, 16</t>
        </is>
      </c>
      <c r="L120" t="inlineStr">
        <is>
          <t>III 6, 16</t>
        </is>
      </c>
      <c r="M120" t="inlineStr"/>
      <c r="N120" t="inlineStr">
        <is>
          <t>OPERA|| Q. SEPTIMII FLOREN-||TIS TERTVLLIANI INTER LATINOS ECCLESIAE|| scriptores primi, sine quoru lectione nullum diem intermittebat olim di/||uus C</t>
        </is>
      </c>
      <c r="O120" t="inlineStr">
        <is>
          <t xml:space="preserve"> : </t>
        </is>
      </c>
      <c r="P120" t="inlineStr">
        <is>
          <t>X</t>
        </is>
      </c>
      <c r="Q120" t="inlineStr"/>
      <c r="R120" t="inlineStr">
        <is>
          <t>Ledereinband, Schließen, erhabene Buchbeschläge</t>
        </is>
      </c>
      <c r="S120" t="inlineStr">
        <is>
          <t>bis 35 cm</t>
        </is>
      </c>
      <c r="T120" t="inlineStr">
        <is>
          <t>180°</t>
        </is>
      </c>
      <c r="U120" t="inlineStr"/>
      <c r="V120" t="inlineStr"/>
      <c r="W120" t="inlineStr"/>
      <c r="X120" t="inlineStr"/>
      <c r="Y120" t="inlineStr"/>
      <c r="Z120" t="inlineStr"/>
      <c r="AA120" t="inlineStr">
        <is>
          <t>defekte Schließe in Sammelbox</t>
        </is>
      </c>
      <c r="AB120" t="inlineStr"/>
      <c r="AC120" t="inlineStr"/>
      <c r="AD120" t="inlineStr"/>
      <c r="AE120" t="inlineStr"/>
      <c r="AF120" t="inlineStr"/>
      <c r="AG120" t="inlineStr"/>
      <c r="AH120" t="inlineStr"/>
      <c r="AI120" t="inlineStr">
        <is>
          <t>HD</t>
        </is>
      </c>
      <c r="AJ120" t="inlineStr"/>
      <c r="AK120" t="inlineStr">
        <is>
          <t>x</t>
        </is>
      </c>
      <c r="AL120" t="inlineStr"/>
      <c r="AM120" t="inlineStr">
        <is>
          <t>f</t>
        </is>
      </c>
      <c r="AN120" t="inlineStr"/>
      <c r="AO120" t="inlineStr"/>
      <c r="AP120" t="inlineStr"/>
      <c r="AQ120" t="inlineStr"/>
      <c r="AR120" t="inlineStr"/>
      <c r="AS120" t="inlineStr">
        <is>
          <t>Pa</t>
        </is>
      </c>
      <c r="AT120" t="inlineStr"/>
      <c r="AU120" t="inlineStr"/>
      <c r="AV120" t="inlineStr"/>
      <c r="AW120" t="inlineStr"/>
      <c r="AX120" t="inlineStr"/>
      <c r="AY120" t="inlineStr"/>
      <c r="AZ120" t="inlineStr"/>
      <c r="BA120" t="inlineStr"/>
      <c r="BB120" t="inlineStr"/>
      <c r="BC120" t="inlineStr"/>
      <c r="BD120" t="inlineStr"/>
      <c r="BE120" t="inlineStr"/>
      <c r="BF120" t="inlineStr"/>
      <c r="BG120" t="n">
        <v>80</v>
      </c>
      <c r="BH120" t="inlineStr"/>
      <c r="BI120" t="inlineStr"/>
      <c r="BJ120" t="inlineStr"/>
      <c r="BK120" t="inlineStr"/>
      <c r="BL120" t="inlineStr"/>
      <c r="BM120" t="inlineStr">
        <is>
          <t>ja vor</t>
        </is>
      </c>
      <c r="BN120" t="n">
        <v>1</v>
      </c>
      <c r="BO120" t="inlineStr"/>
      <c r="BP120" t="inlineStr"/>
      <c r="BQ120" t="inlineStr"/>
      <c r="BR120" t="inlineStr">
        <is>
          <t>x</t>
        </is>
      </c>
      <c r="BS120" t="inlineStr"/>
      <c r="BT120" t="inlineStr"/>
      <c r="BU120" t="inlineStr"/>
      <c r="BV120" t="inlineStr"/>
      <c r="BW120" t="inlineStr"/>
      <c r="BX120" t="inlineStr"/>
      <c r="BY120" t="inlineStr"/>
      <c r="BZ120" t="inlineStr">
        <is>
          <t>x</t>
        </is>
      </c>
      <c r="CA120" t="inlineStr"/>
      <c r="CB120" t="inlineStr"/>
      <c r="CC120" t="inlineStr"/>
      <c r="CD120" t="inlineStr"/>
      <c r="CE120" t="inlineStr"/>
      <c r="CF120" t="inlineStr"/>
      <c r="CG120" t="inlineStr"/>
      <c r="CH120" t="inlineStr">
        <is>
          <t>o</t>
        </is>
      </c>
      <c r="CI120" t="inlineStr"/>
      <c r="CJ120" t="inlineStr"/>
      <c r="CK120" t="inlineStr"/>
      <c r="CL120" t="inlineStr"/>
      <c r="CM120" t="n">
        <v>1</v>
      </c>
      <c r="CN120" t="inlineStr">
        <is>
          <t>Material als "Brücke" einfügen</t>
        </is>
      </c>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c r="DC120" t="inlineStr"/>
      <c r="DD120" t="inlineStr"/>
      <c r="DE120" t="inlineStr"/>
      <c r="DF120" t="inlineStr"/>
      <c r="DG120" t="inlineStr"/>
    </row>
    <row r="121">
      <c r="A121" t="inlineStr">
        <is>
          <t>III</t>
        </is>
      </c>
      <c r="B121" t="b">
        <v>1</v>
      </c>
      <c r="C121" t="inlineStr"/>
      <c r="D121" t="inlineStr"/>
      <c r="E121" t="n">
        <v>97</v>
      </c>
      <c r="F121">
        <f>HYPERLINK("https://portal.dnb.de/opac.htm?method=simpleSearch&amp;cqlMode=true&amp;query=idn%3D1066962197", "Portal")</f>
        <v/>
      </c>
      <c r="G121" t="inlineStr">
        <is>
          <t>Aaf</t>
        </is>
      </c>
      <c r="H121" t="inlineStr">
        <is>
          <t>L-1519-315492597</t>
        </is>
      </c>
      <c r="I121" t="inlineStr">
        <is>
          <t>1066962197</t>
        </is>
      </c>
      <c r="J121" t="inlineStr">
        <is>
          <t>III 6, 17</t>
        </is>
      </c>
      <c r="K121" t="inlineStr">
        <is>
          <t>III 6, 17</t>
        </is>
      </c>
      <c r="L121" t="inlineStr">
        <is>
          <t>III 6, 17</t>
        </is>
      </c>
      <c r="M121" t="inlineStr"/>
      <c r="N121" t="inlineStr">
        <is>
          <t>DE ORIGI||NE GVELPHORVM, ET|| GIBELLINORVM, QVI||BVS OLIM GERMANIA,|| NVNC ITALIA EXAR||DET, LIBELLVS|| ERVDITVS.|| In quo ostenditur, quantum hac|| i</t>
        </is>
      </c>
      <c r="O121" t="inlineStr">
        <is>
          <t xml:space="preserve"> : </t>
        </is>
      </c>
      <c r="P121" t="inlineStr">
        <is>
          <t>X</t>
        </is>
      </c>
      <c r="Q121" t="inlineStr"/>
      <c r="R121" t="inlineStr">
        <is>
          <t>Gewebeeinband</t>
        </is>
      </c>
      <c r="S121" t="inlineStr">
        <is>
          <t>bis 25 cm</t>
        </is>
      </c>
      <c r="T121" t="inlineStr"/>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inlineStr"/>
      <c r="BI121" t="inlineStr"/>
      <c r="BJ121" t="inlineStr"/>
      <c r="BK121" t="inlineStr"/>
      <c r="BL121" t="inlineStr"/>
      <c r="BM121" t="inlineStr"/>
      <c r="BN121" t="n">
        <v>0</v>
      </c>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c r="DD121" t="inlineStr"/>
      <c r="DE121" t="inlineStr"/>
      <c r="DF121" t="inlineStr"/>
      <c r="DG121" t="inlineStr"/>
    </row>
    <row r="122">
      <c r="A122" t="inlineStr">
        <is>
          <t>III</t>
        </is>
      </c>
      <c r="B122" t="b">
        <v>1</v>
      </c>
      <c r="C122" t="inlineStr"/>
      <c r="D122" t="inlineStr"/>
      <c r="E122" t="n">
        <v>98</v>
      </c>
      <c r="F122">
        <f>HYPERLINK("https://portal.dnb.de/opac.htm?method=simpleSearch&amp;cqlMode=true&amp;query=idn%3D993882870", "Portal")</f>
        <v/>
      </c>
      <c r="G122" t="inlineStr">
        <is>
          <t>Aal</t>
        </is>
      </c>
      <c r="H122" t="inlineStr">
        <is>
          <t>L-1520-15394689X</t>
        </is>
      </c>
      <c r="I122" t="inlineStr">
        <is>
          <t>993882870</t>
        </is>
      </c>
      <c r="J122" t="inlineStr">
        <is>
          <t>III 6, 18</t>
        </is>
      </c>
      <c r="K122" t="inlineStr">
        <is>
          <t>III 6, 18</t>
        </is>
      </c>
      <c r="L122" t="inlineStr">
        <is>
          <t>III 6, 18</t>
        </is>
      </c>
      <c r="M122" t="inlineStr"/>
      <c r="N122" t="inlineStr">
        <is>
          <t>ALEXAN||DRI APHRODISEI, SVPER|| nonullis Physicis quaestio||nibus Solutionum|| Liber|| : ITEM|| Plutarchi Cheronei Ama-||toriae narrationes|| Angelo P</t>
        </is>
      </c>
      <c r="O122" t="inlineStr">
        <is>
          <t xml:space="preserve"> : </t>
        </is>
      </c>
      <c r="P122" t="inlineStr">
        <is>
          <t>X</t>
        </is>
      </c>
      <c r="Q122" t="inlineStr"/>
      <c r="R122" t="inlineStr">
        <is>
          <t>Gewebeeinband, Schließen, erhabene Buchbeschläge</t>
        </is>
      </c>
      <c r="S122" t="inlineStr">
        <is>
          <t>bis 25 cm</t>
        </is>
      </c>
      <c r="T122" t="inlineStr">
        <is>
          <t>180°</t>
        </is>
      </c>
      <c r="U122" t="inlineStr">
        <is>
          <t>hohler Rücken</t>
        </is>
      </c>
      <c r="V122" t="inlineStr"/>
      <c r="W122" t="inlineStr">
        <is>
          <t>Schuber</t>
        </is>
      </c>
      <c r="X122" t="inlineStr">
        <is>
          <t>Nein</t>
        </is>
      </c>
      <c r="Y122" t="n">
        <v>0</v>
      </c>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n">
        <v>0</v>
      </c>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c r="DD122" t="inlineStr"/>
      <c r="DE122" t="inlineStr"/>
      <c r="DF122" t="inlineStr"/>
      <c r="DG122" t="inlineStr"/>
    </row>
    <row r="123">
      <c r="A123" t="inlineStr">
        <is>
          <t>III</t>
        </is>
      </c>
      <c r="B123" t="b">
        <v>0</v>
      </c>
      <c r="C123" t="inlineStr"/>
      <c r="D123" t="inlineStr"/>
      <c r="E123" t="n">
        <v>99</v>
      </c>
      <c r="F123">
        <f>HYPERLINK("https://portal.dnb.de/opac.htm?method=simpleSearch&amp;cqlMode=true&amp;query=idn%3D1000071774", "Portal")</f>
        <v/>
      </c>
      <c r="G123" t="inlineStr"/>
      <c r="H123" t="inlineStr">
        <is>
          <t>L-1520-169970418</t>
        </is>
      </c>
      <c r="I123" t="inlineStr">
        <is>
          <t>1000071774</t>
        </is>
      </c>
      <c r="J123" t="inlineStr"/>
      <c r="K123" t="inlineStr"/>
      <c r="L123" t="inlineStr">
        <is>
          <t>III 6, 18</t>
        </is>
      </c>
      <c r="M123" t="inlineStr"/>
      <c r="N123" t="inlineStr"/>
      <c r="O123" t="inlineStr"/>
      <c r="P123" t="inlineStr"/>
      <c r="Q123" t="inlineStr"/>
      <c r="R123" t="inlineStr"/>
      <c r="S123" t="inlineStr"/>
      <c r="T123" t="inlineStr"/>
      <c r="U123" t="inlineStr"/>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inlineStr"/>
      <c r="BI123" t="inlineStr"/>
      <c r="BJ123" t="inlineStr"/>
      <c r="BK123" t="inlineStr"/>
      <c r="BL123" t="inlineStr"/>
      <c r="BM123" t="inlineStr"/>
      <c r="BN123" t="n">
        <v>0</v>
      </c>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row>
    <row r="124">
      <c r="A124" t="inlineStr">
        <is>
          <t>III</t>
        </is>
      </c>
      <c r="B124" t="b">
        <v>1</v>
      </c>
      <c r="C124" t="inlineStr">
        <is>
          <t>x</t>
        </is>
      </c>
      <c r="D124" t="inlineStr"/>
      <c r="E124" t="n">
        <v>159</v>
      </c>
      <c r="F124">
        <f>HYPERLINK("https://portal.dnb.de/opac.htm?method=simpleSearch&amp;cqlMode=true&amp;query=idn%3D999957643", "Portal")</f>
        <v/>
      </c>
      <c r="G124" t="inlineStr">
        <is>
          <t>Aal</t>
        </is>
      </c>
      <c r="H124" t="inlineStr">
        <is>
          <t>L-1521-169770265</t>
        </is>
      </c>
      <c r="I124" t="inlineStr">
        <is>
          <t>999957643</t>
        </is>
      </c>
      <c r="J124" t="inlineStr">
        <is>
          <t>III 6, 18 a</t>
        </is>
      </c>
      <c r="K124" t="inlineStr">
        <is>
          <t>III 6, 18 a</t>
        </is>
      </c>
      <c r="L124" t="inlineStr">
        <is>
          <t>III 6, 18 a</t>
        </is>
      </c>
      <c r="M124" t="inlineStr"/>
      <c r="N124" t="inlineStr">
        <is>
          <t xml:space="preserve">Cornucopiae sive linguae latinae commentarii, denuo diligentissime recogniti, atque ex archetypo emendati : </t>
        </is>
      </c>
      <c r="O124" t="inlineStr">
        <is>
          <t xml:space="preserve"> : </t>
        </is>
      </c>
      <c r="P124" t="inlineStr"/>
      <c r="Q124" t="inlineStr">
        <is>
          <t>800,00 EUR</t>
        </is>
      </c>
      <c r="R124" t="inlineStr"/>
      <c r="S124" t="inlineStr">
        <is>
          <t>bis 35 cm</t>
        </is>
      </c>
      <c r="T124" t="inlineStr"/>
      <c r="U124" t="inlineStr"/>
      <c r="V124" t="inlineStr"/>
      <c r="W124" t="inlineStr"/>
      <c r="X124" t="inlineStr"/>
      <c r="Y124" t="inlineStr"/>
      <c r="Z124" t="inlineStr"/>
      <c r="AA124" t="inlineStr"/>
      <c r="AB124" t="inlineStr"/>
      <c r="AC124" t="inlineStr"/>
      <c r="AD124" t="inlineStr"/>
      <c r="AE124" t="inlineStr"/>
      <c r="AF124" t="inlineStr"/>
      <c r="AG124" t="inlineStr"/>
      <c r="AH124" t="inlineStr"/>
      <c r="AI124" t="inlineStr">
        <is>
          <t>HD</t>
        </is>
      </c>
      <c r="AJ124" t="inlineStr"/>
      <c r="AK124" t="inlineStr"/>
      <c r="AL124" t="inlineStr"/>
      <c r="AM124" t="inlineStr">
        <is>
          <t>f</t>
        </is>
      </c>
      <c r="AN124" t="inlineStr"/>
      <c r="AO124" t="inlineStr"/>
      <c r="AP124" t="inlineStr"/>
      <c r="AQ124" t="inlineStr"/>
      <c r="AR124" t="inlineStr">
        <is>
          <t>x</t>
        </is>
      </c>
      <c r="AS124" t="inlineStr">
        <is>
          <t>Pa</t>
        </is>
      </c>
      <c r="AT124" t="inlineStr"/>
      <c r="AU124" t="inlineStr"/>
      <c r="AV124" t="inlineStr"/>
      <c r="AW124" t="inlineStr"/>
      <c r="AX124" t="inlineStr"/>
      <c r="AY124" t="inlineStr"/>
      <c r="AZ124" t="inlineStr"/>
      <c r="BA124" t="inlineStr"/>
      <c r="BB124" t="inlineStr"/>
      <c r="BC124" t="inlineStr"/>
      <c r="BD124" t="inlineStr"/>
      <c r="BE124" t="inlineStr"/>
      <c r="BF124" t="inlineStr"/>
      <c r="BG124" t="n">
        <v>80</v>
      </c>
      <c r="BH124" t="inlineStr"/>
      <c r="BI124" t="inlineStr"/>
      <c r="BJ124" t="inlineStr"/>
      <c r="BK124" t="inlineStr"/>
      <c r="BL124" t="inlineStr"/>
      <c r="BM124" t="inlineStr">
        <is>
          <t>ja vor</t>
        </is>
      </c>
      <c r="BN124" t="n">
        <v>2</v>
      </c>
      <c r="BO124" t="inlineStr"/>
      <c r="BP124" t="inlineStr"/>
      <c r="BQ124" t="inlineStr"/>
      <c r="BR124" t="inlineStr"/>
      <c r="BS124" t="inlineStr"/>
      <c r="BT124" t="inlineStr">
        <is>
          <t>x sauer</t>
        </is>
      </c>
      <c r="BU124" t="inlineStr">
        <is>
          <t>x</t>
        </is>
      </c>
      <c r="BV124" t="inlineStr"/>
      <c r="BW124" t="inlineStr"/>
      <c r="BX124" t="inlineStr"/>
      <c r="BY124" t="inlineStr">
        <is>
          <t>Box (wg. Schließe, sperrt)</t>
        </is>
      </c>
      <c r="BZ124" t="inlineStr"/>
      <c r="CA124" t="inlineStr"/>
      <c r="CB124" t="inlineStr">
        <is>
          <t>x</t>
        </is>
      </c>
      <c r="CC124" t="inlineStr"/>
      <c r="CD124" t="inlineStr"/>
      <c r="CE124" t="inlineStr"/>
      <c r="CF124" t="inlineStr"/>
      <c r="CG124" t="inlineStr"/>
      <c r="CH124" t="inlineStr"/>
      <c r="CI124" t="inlineStr"/>
      <c r="CJ124" t="inlineStr"/>
      <c r="CK124" t="inlineStr"/>
      <c r="CL124" t="inlineStr">
        <is>
          <t>x</t>
        </is>
      </c>
      <c r="CM124" t="n">
        <v>1</v>
      </c>
      <c r="CN124" t="inlineStr"/>
      <c r="CO124" t="inlineStr"/>
      <c r="CP124" t="inlineStr"/>
      <c r="CQ124" t="inlineStr"/>
      <c r="CR124" t="inlineStr"/>
      <c r="CS124" t="inlineStr"/>
      <c r="CT124" t="inlineStr"/>
      <c r="CU124" t="inlineStr"/>
      <c r="CV124" t="inlineStr"/>
      <c r="CW124" t="inlineStr"/>
      <c r="CX124" t="inlineStr">
        <is>
          <t>x</t>
        </is>
      </c>
      <c r="CY124" t="inlineStr"/>
      <c r="CZ124" t="inlineStr"/>
      <c r="DA124" t="inlineStr"/>
      <c r="DB124" t="inlineStr"/>
      <c r="DC124" t="inlineStr"/>
      <c r="DD124" t="inlineStr"/>
      <c r="DE124" t="inlineStr"/>
      <c r="DF124" t="n">
        <v>1</v>
      </c>
      <c r="DG124" t="inlineStr"/>
    </row>
    <row r="125">
      <c r="A125" t="inlineStr">
        <is>
          <t>III</t>
        </is>
      </c>
      <c r="B125" t="b">
        <v>1</v>
      </c>
      <c r="C125" t="inlineStr"/>
      <c r="D125" t="inlineStr"/>
      <c r="E125" t="n">
        <v>100</v>
      </c>
      <c r="F125">
        <f>HYPERLINK("https://portal.dnb.de/opac.htm?method=simpleSearch&amp;cqlMode=true&amp;query=idn%3D1066960356", "Portal")</f>
        <v/>
      </c>
      <c r="G125" t="inlineStr">
        <is>
          <t>Aaf</t>
        </is>
      </c>
      <c r="H125" t="inlineStr">
        <is>
          <t>L-1527-315490845</t>
        </is>
      </c>
      <c r="I125" t="inlineStr">
        <is>
          <t>1066960356</t>
        </is>
      </c>
      <c r="J125" t="inlineStr">
        <is>
          <t>III 6, 19</t>
        </is>
      </c>
      <c r="K125" t="inlineStr">
        <is>
          <t>III 6, 19</t>
        </is>
      </c>
      <c r="L125" t="inlineStr">
        <is>
          <t>III 6, 19</t>
        </is>
      </c>
      <c r="M125" t="inlineStr"/>
      <c r="N125" t="inlineStr">
        <is>
          <t>Das @der miszuer=||stand D. Martin Luthers/ vff die ewig=||bstendige wort/ Das ist mein leib/|| nit beston mag.|| Die ander billiche ant/||wort Joanni</t>
        </is>
      </c>
      <c r="O125" t="inlineStr">
        <is>
          <t xml:space="preserve"> : </t>
        </is>
      </c>
      <c r="P125" t="inlineStr">
        <is>
          <t>X</t>
        </is>
      </c>
      <c r="Q125" t="inlineStr"/>
      <c r="R125" t="inlineStr">
        <is>
          <t>Gewebeeinband, Schließen, erhabene Buchbeschläge</t>
        </is>
      </c>
      <c r="S125" t="inlineStr">
        <is>
          <t>bis 25 cm</t>
        </is>
      </c>
      <c r="T125" t="inlineStr">
        <is>
          <t>180°</t>
        </is>
      </c>
      <c r="U125" t="inlineStr">
        <is>
          <t>hohler Rücken</t>
        </is>
      </c>
      <c r="V125" t="inlineStr"/>
      <c r="W125" t="inlineStr">
        <is>
          <t>Schuber</t>
        </is>
      </c>
      <c r="X125" t="inlineStr">
        <is>
          <t>Nein</t>
        </is>
      </c>
      <c r="Y125" t="n">
        <v>0</v>
      </c>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inlineStr"/>
      <c r="BI125" t="inlineStr"/>
      <c r="BJ125" t="inlineStr"/>
      <c r="BK125" t="inlineStr"/>
      <c r="BL125" t="inlineStr"/>
      <c r="BM125" t="inlineStr"/>
      <c r="BN125" t="n">
        <v>0</v>
      </c>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c r="DC125" t="inlineStr"/>
      <c r="DD125" t="inlineStr"/>
      <c r="DE125" t="inlineStr"/>
      <c r="DF125" t="inlineStr"/>
      <c r="DG125" t="inlineStr"/>
    </row>
    <row r="126">
      <c r="A126" t="inlineStr">
        <is>
          <t>III</t>
        </is>
      </c>
      <c r="B126" t="b">
        <v>1</v>
      </c>
      <c r="C126" t="inlineStr">
        <is>
          <t>x</t>
        </is>
      </c>
      <c r="D126" t="inlineStr"/>
      <c r="E126" t="n">
        <v>101</v>
      </c>
      <c r="F126">
        <f>HYPERLINK("https://portal.dnb.de/opac.htm?method=simpleSearch&amp;cqlMode=true&amp;query=idn%3D1000078248", "Portal")</f>
        <v/>
      </c>
      <c r="G126" t="inlineStr">
        <is>
          <t>Aal</t>
        </is>
      </c>
      <c r="H126" t="inlineStr">
        <is>
          <t>L-1533-169972178</t>
        </is>
      </c>
      <c r="I126" t="inlineStr">
        <is>
          <t>1000078248</t>
        </is>
      </c>
      <c r="J126" t="inlineStr">
        <is>
          <t>III 6, 20</t>
        </is>
      </c>
      <c r="K126" t="inlineStr">
        <is>
          <t>III 6, 20</t>
        </is>
      </c>
      <c r="L126" t="inlineStr">
        <is>
          <t>III 6, 20</t>
        </is>
      </c>
      <c r="M126" t="inlineStr"/>
      <c r="N126" t="inlineStr">
        <is>
          <t>PLUTARCHU|| PARALLĒLA EN BIOIS ELLĒ||NŌNTE KAI RŌMAIŌN|| PLVTARCHI QVAE VOCANTVR PARAL||lela: hoc est, uitae illustrium uirorum graeci nominis ac||lat</t>
        </is>
      </c>
      <c r="O126" t="inlineStr">
        <is>
          <t xml:space="preserve"> : </t>
        </is>
      </c>
      <c r="P126" t="inlineStr"/>
      <c r="Q126" t="inlineStr"/>
      <c r="R126" t="inlineStr"/>
      <c r="S126" t="inlineStr">
        <is>
          <t>bis 35 cm</t>
        </is>
      </c>
      <c r="T126" t="inlineStr"/>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is>
          <t>HD</t>
        </is>
      </c>
      <c r="AJ126" t="inlineStr"/>
      <c r="AK126" t="inlineStr">
        <is>
          <t>x</t>
        </is>
      </c>
      <c r="AL126" t="inlineStr"/>
      <c r="AM126" t="inlineStr">
        <is>
          <t>f/V</t>
        </is>
      </c>
      <c r="AN126" t="inlineStr"/>
      <c r="AO126" t="inlineStr"/>
      <c r="AP126" t="inlineStr"/>
      <c r="AQ126" t="inlineStr"/>
      <c r="AR126" t="inlineStr"/>
      <c r="AS126" t="inlineStr">
        <is>
          <t>Pa</t>
        </is>
      </c>
      <c r="AT126" t="inlineStr"/>
      <c r="AU126" t="inlineStr"/>
      <c r="AV126" t="inlineStr"/>
      <c r="AW126" t="inlineStr"/>
      <c r="AX126" t="inlineStr"/>
      <c r="AY126" t="inlineStr"/>
      <c r="AZ126" t="inlineStr"/>
      <c r="BA126" t="inlineStr"/>
      <c r="BB126" t="inlineStr"/>
      <c r="BC126" t="inlineStr"/>
      <c r="BD126" t="inlineStr"/>
      <c r="BE126" t="inlineStr"/>
      <c r="BF126" t="inlineStr"/>
      <c r="BG126" t="n">
        <v>60</v>
      </c>
      <c r="BH126" t="inlineStr"/>
      <c r="BI126" t="inlineStr"/>
      <c r="BJ126" t="inlineStr"/>
      <c r="BK126" t="inlineStr"/>
      <c r="BL126" t="inlineStr"/>
      <c r="BM126" t="inlineStr">
        <is>
          <t>ja vor</t>
        </is>
      </c>
      <c r="BN126" t="n">
        <v>1.5</v>
      </c>
      <c r="BO126" t="inlineStr"/>
      <c r="BP126" t="inlineStr"/>
      <c r="BQ126" t="inlineStr"/>
      <c r="BR126" t="inlineStr">
        <is>
          <t>x</t>
        </is>
      </c>
      <c r="BS126" t="inlineStr"/>
      <c r="BT126" t="inlineStr"/>
      <c r="BU126" t="inlineStr"/>
      <c r="BV126" t="inlineStr"/>
      <c r="BW126" t="inlineStr"/>
      <c r="BX126" t="inlineStr"/>
      <c r="BY126" t="inlineStr"/>
      <c r="BZ126" t="inlineStr"/>
      <c r="CA126" t="inlineStr">
        <is>
          <t>x</t>
        </is>
      </c>
      <c r="CB126" t="inlineStr">
        <is>
          <t>x</t>
        </is>
      </c>
      <c r="CC126" t="inlineStr"/>
      <c r="CD126" t="inlineStr">
        <is>
          <t>v</t>
        </is>
      </c>
      <c r="CE126" t="inlineStr"/>
      <c r="CF126" t="inlineStr"/>
      <c r="CG126" t="inlineStr"/>
      <c r="CH126" t="inlineStr"/>
      <c r="CI126" t="inlineStr"/>
      <c r="CJ126" t="inlineStr"/>
      <c r="CK126" t="inlineStr"/>
      <c r="CL126" t="inlineStr"/>
      <c r="CM126" t="n">
        <v>1.5</v>
      </c>
      <c r="CN126" t="inlineStr">
        <is>
          <t>Rücken/Gelenk sichern, Ecke belassen</t>
        </is>
      </c>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c r="DC126" t="inlineStr"/>
      <c r="DD126" t="inlineStr"/>
      <c r="DE126" t="inlineStr"/>
      <c r="DF126" t="inlineStr"/>
      <c r="DG126" t="inlineStr"/>
    </row>
    <row r="127">
      <c r="A127" t="inlineStr">
        <is>
          <t>III</t>
        </is>
      </c>
      <c r="B127" t="b">
        <v>1</v>
      </c>
      <c r="C127" t="inlineStr"/>
      <c r="D127" t="inlineStr"/>
      <c r="E127" t="n">
        <v>102</v>
      </c>
      <c r="F127">
        <f>HYPERLINK("https://portal.dnb.de/opac.htm?method=simpleSearch&amp;cqlMode=true&amp;query=idn%3D1066960089", "Portal")</f>
        <v/>
      </c>
      <c r="G127" t="inlineStr">
        <is>
          <t>Aaf</t>
        </is>
      </c>
      <c r="H127" t="inlineStr">
        <is>
          <t>L-1519-315490616</t>
        </is>
      </c>
      <c r="I127" t="inlineStr">
        <is>
          <t>1066960089</t>
        </is>
      </c>
      <c r="J127" t="inlineStr">
        <is>
          <t>III 6, 21</t>
        </is>
      </c>
      <c r="K127" t="inlineStr">
        <is>
          <t>III 6, 21</t>
        </is>
      </c>
      <c r="L127" t="inlineStr">
        <is>
          <t>III 6, 21</t>
        </is>
      </c>
      <c r="M127" t="inlineStr"/>
      <c r="N127" t="inlineStr">
        <is>
          <t xml:space="preserve">Modus eligendi|| Creandi in coronandi Imperator? cu|| forma iuram?ti necnń tituli omnium|| Regu Patriarcharu &amp; Car.|| : </t>
        </is>
      </c>
      <c r="O127" t="inlineStr">
        <is>
          <t xml:space="preserve"> : </t>
        </is>
      </c>
      <c r="P127" t="inlineStr">
        <is>
          <t>X</t>
        </is>
      </c>
      <c r="Q127" t="inlineStr"/>
      <c r="R127" t="inlineStr">
        <is>
          <t>Gewebeeinband</t>
        </is>
      </c>
      <c r="S127" t="inlineStr">
        <is>
          <t>bis 25 cm</t>
        </is>
      </c>
      <c r="T127" t="inlineStr">
        <is>
          <t>180°</t>
        </is>
      </c>
      <c r="U127" t="inlineStr">
        <is>
          <t>hohler Rücken</t>
        </is>
      </c>
      <c r="V127" t="inlineStr"/>
      <c r="W127" t="inlineStr"/>
      <c r="X127" t="inlineStr"/>
      <c r="Y127" t="n">
        <v>2</v>
      </c>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inlineStr"/>
      <c r="BI127" t="inlineStr"/>
      <c r="BJ127" t="inlineStr"/>
      <c r="BK127" t="inlineStr"/>
      <c r="BL127" t="inlineStr"/>
      <c r="BM127" t="inlineStr"/>
      <c r="BN127" t="n">
        <v>0</v>
      </c>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c r="DC127" t="inlineStr"/>
      <c r="DD127" t="inlineStr"/>
      <c r="DE127" t="inlineStr"/>
      <c r="DF127" t="inlineStr"/>
      <c r="DG127" t="inlineStr"/>
    </row>
    <row r="128">
      <c r="A128" t="inlineStr">
        <is>
          <t>III</t>
        </is>
      </c>
      <c r="B128" t="b">
        <v>1</v>
      </c>
      <c r="C128" t="inlineStr"/>
      <c r="D128" t="inlineStr"/>
      <c r="E128" t="n">
        <v>103</v>
      </c>
      <c r="F128">
        <f>HYPERLINK("https://portal.dnb.de/opac.htm?method=simpleSearch&amp;cqlMode=true&amp;query=idn%3D1066941599", "Portal")</f>
        <v/>
      </c>
      <c r="G128" t="inlineStr">
        <is>
          <t>Aaf</t>
        </is>
      </c>
      <c r="H128" t="inlineStr">
        <is>
          <t>L-1522-315469250</t>
        </is>
      </c>
      <c r="I128" t="inlineStr">
        <is>
          <t>1066941599</t>
        </is>
      </c>
      <c r="J128" t="inlineStr">
        <is>
          <t>III 6, 22</t>
        </is>
      </c>
      <c r="K128" t="inlineStr">
        <is>
          <t>III 6, 22</t>
        </is>
      </c>
      <c r="L128" t="inlineStr">
        <is>
          <t>III 6, 22</t>
        </is>
      </c>
      <c r="M128" t="inlineStr"/>
      <c r="N128" t="inlineStr">
        <is>
          <t xml:space="preserve">Der @Ewangelisch burger.|| : </t>
        </is>
      </c>
      <c r="O128" t="inlineStr">
        <is>
          <t xml:space="preserve"> : </t>
        </is>
      </c>
      <c r="P128" t="inlineStr">
        <is>
          <t>X</t>
        </is>
      </c>
      <c r="Q128" t="inlineStr"/>
      <c r="R128" t="inlineStr">
        <is>
          <t>Gewebeeinband</t>
        </is>
      </c>
      <c r="S128" t="inlineStr">
        <is>
          <t>bis 25 cm</t>
        </is>
      </c>
      <c r="T128" t="inlineStr">
        <is>
          <t>180°</t>
        </is>
      </c>
      <c r="U128" t="inlineStr">
        <is>
          <t>hohler Rücken</t>
        </is>
      </c>
      <c r="V128" t="inlineStr"/>
      <c r="W128" t="inlineStr"/>
      <c r="X128" t="inlineStr"/>
      <c r="Y128" t="n">
        <v>0</v>
      </c>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inlineStr"/>
      <c r="BI128" t="inlineStr"/>
      <c r="BJ128" t="inlineStr"/>
      <c r="BK128" t="inlineStr"/>
      <c r="BL128" t="inlineStr"/>
      <c r="BM128" t="inlineStr"/>
      <c r="BN128" t="n">
        <v>0</v>
      </c>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c r="DC128" t="inlineStr"/>
      <c r="DD128" t="inlineStr"/>
      <c r="DE128" t="inlineStr"/>
      <c r="DF128" t="inlineStr"/>
      <c r="DG128" t="inlineStr"/>
    </row>
    <row r="129">
      <c r="A129" t="inlineStr">
        <is>
          <t>III</t>
        </is>
      </c>
      <c r="B129" t="b">
        <v>1</v>
      </c>
      <c r="C129" t="inlineStr"/>
      <c r="D129" t="inlineStr"/>
      <c r="E129" t="n">
        <v>104</v>
      </c>
      <c r="F129">
        <f>HYPERLINK("https://portal.dnb.de/opac.htm?method=simpleSearch&amp;cqlMode=true&amp;query=idn%3D1066958599", "Portal")</f>
        <v/>
      </c>
      <c r="G129" t="inlineStr">
        <is>
          <t>Aaf</t>
        </is>
      </c>
      <c r="H129" t="inlineStr">
        <is>
          <t>L-1522-315489200</t>
        </is>
      </c>
      <c r="I129" t="inlineStr">
        <is>
          <t>1066958599</t>
        </is>
      </c>
      <c r="J129" t="inlineStr">
        <is>
          <t>III 6, 25</t>
        </is>
      </c>
      <c r="K129" t="inlineStr">
        <is>
          <t>III 6, 25</t>
        </is>
      </c>
      <c r="L129" t="inlineStr">
        <is>
          <t>III 6, 25</t>
        </is>
      </c>
      <c r="M129" t="inlineStr"/>
      <c r="N129" t="inlineStr">
        <is>
          <t xml:space="preserve">DE VOTIS|| MONA/||STICIS, MARTINI|| LVTHERI IV/||DICIVM.|| : </t>
        </is>
      </c>
      <c r="O129" t="inlineStr">
        <is>
          <t xml:space="preserve"> : </t>
        </is>
      </c>
      <c r="P129" t="inlineStr"/>
      <c r="Q129" t="inlineStr"/>
      <c r="R129" t="inlineStr"/>
      <c r="S129" t="inlineStr"/>
      <c r="T129" t="inlineStr"/>
      <c r="U129" t="inlineStr"/>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inlineStr"/>
      <c r="BI129" t="inlineStr"/>
      <c r="BJ129" t="inlineStr"/>
      <c r="BK129" t="inlineStr"/>
      <c r="BL129" t="inlineStr"/>
      <c r="BM129" t="inlineStr"/>
      <c r="BN129" t="n">
        <v>0</v>
      </c>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row>
    <row r="130">
      <c r="A130" t="inlineStr">
        <is>
          <t>III</t>
        </is>
      </c>
      <c r="B130" t="b">
        <v>1</v>
      </c>
      <c r="C130" t="inlineStr"/>
      <c r="D130" t="inlineStr"/>
      <c r="E130" t="n">
        <v>105</v>
      </c>
      <c r="F130">
        <f>HYPERLINK("https://portal.dnb.de/opac.htm?method=simpleSearch&amp;cqlMode=true&amp;query=idn%3D1066959501", "Portal")</f>
        <v/>
      </c>
      <c r="G130" t="inlineStr">
        <is>
          <t>Aaf</t>
        </is>
      </c>
      <c r="H130" t="inlineStr">
        <is>
          <t>L-1530-315490063</t>
        </is>
      </c>
      <c r="I130" t="inlineStr">
        <is>
          <t>1066959501</t>
        </is>
      </c>
      <c r="J130" t="inlineStr">
        <is>
          <t>III 6, 26</t>
        </is>
      </c>
      <c r="K130" t="inlineStr">
        <is>
          <t>III 6, 26</t>
        </is>
      </c>
      <c r="L130" t="inlineStr">
        <is>
          <t>III 6, 26</t>
        </is>
      </c>
      <c r="M130" t="inlineStr"/>
      <c r="N130" t="inlineStr">
        <is>
          <t>VRBANI|| GRAMMATICAE INSTITV||tiones, Graecae, nunc denuo summa di||ligentia excussae, &amp; à mendis|| ... uindicatae.|| ...||(AVREA CARMINA PYTHA||GORAE</t>
        </is>
      </c>
      <c r="O130" t="inlineStr">
        <is>
          <t xml:space="preserve"> : </t>
        </is>
      </c>
      <c r="P130" t="inlineStr">
        <is>
          <t>X</t>
        </is>
      </c>
      <c r="Q130" t="inlineStr"/>
      <c r="R130" t="inlineStr">
        <is>
          <t>Gewebeeinband, Schließen, erhabene Buchbeschläge</t>
        </is>
      </c>
      <c r="S130" t="inlineStr">
        <is>
          <t>bis 25 cm</t>
        </is>
      </c>
      <c r="T130" t="inlineStr">
        <is>
          <t>180°</t>
        </is>
      </c>
      <c r="U130" t="inlineStr">
        <is>
          <t>hohler Rücken</t>
        </is>
      </c>
      <c r="V130" t="inlineStr"/>
      <c r="W130" t="inlineStr">
        <is>
          <t>Buchschuh</t>
        </is>
      </c>
      <c r="X130" t="inlineStr">
        <is>
          <t>Nein</t>
        </is>
      </c>
      <c r="Y130" t="n">
        <v>0</v>
      </c>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inlineStr"/>
      <c r="BI130" t="inlineStr"/>
      <c r="BJ130" t="inlineStr"/>
      <c r="BK130" t="inlineStr"/>
      <c r="BL130" t="inlineStr"/>
      <c r="BM130" t="inlineStr"/>
      <c r="BN130" t="n">
        <v>0</v>
      </c>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c r="DD130" t="inlineStr"/>
      <c r="DE130" t="inlineStr"/>
      <c r="DF130" t="inlineStr"/>
      <c r="DG130" t="inlineStr"/>
    </row>
    <row r="131">
      <c r="A131" t="inlineStr">
        <is>
          <t>III</t>
        </is>
      </c>
      <c r="B131" t="b">
        <v>1</v>
      </c>
      <c r="C131" t="inlineStr"/>
      <c r="D131" t="inlineStr"/>
      <c r="E131" t="n">
        <v>162</v>
      </c>
      <c r="F131">
        <f>HYPERLINK("https://portal.dnb.de/opac.htm?method=simpleSearch&amp;cqlMode=true&amp;query=idn%3D997607521", "Portal")</f>
        <v/>
      </c>
      <c r="G131" t="inlineStr">
        <is>
          <t>Aa</t>
        </is>
      </c>
      <c r="H131" t="inlineStr">
        <is>
          <t>L-2009-324233</t>
        </is>
      </c>
      <c r="I131" t="inlineStr">
        <is>
          <t>997607521</t>
        </is>
      </c>
      <c r="J131" t="inlineStr">
        <is>
          <t>III 6, 26 a</t>
        </is>
      </c>
      <c r="K131" t="inlineStr">
        <is>
          <t>III 6, 26 a</t>
        </is>
      </c>
      <c r="L131" t="inlineStr">
        <is>
          <t>III 6, 26 a</t>
        </is>
      </c>
      <c r="M131" t="inlineStr"/>
      <c r="N131" t="inlineStr">
        <is>
          <t>Underrichtung Warumb die ee uß menschlichem gsatz in vyl grad verbotten sey, und das die vereeungen göttlich geschehen, und aber dem menschen ungöttli</t>
        </is>
      </c>
      <c r="O131" t="inlineStr">
        <is>
          <t xml:space="preserve"> : </t>
        </is>
      </c>
      <c r="P131" t="inlineStr"/>
      <c r="Q131" t="inlineStr"/>
      <c r="R131" t="inlineStr">
        <is>
          <t>Broschur</t>
        </is>
      </c>
      <c r="S131" t="inlineStr">
        <is>
          <t>bis 25 cm</t>
        </is>
      </c>
      <c r="T131" t="inlineStr">
        <is>
          <t>180°</t>
        </is>
      </c>
      <c r="U131" t="inlineStr"/>
      <c r="V131" t="inlineStr"/>
      <c r="W131" t="inlineStr">
        <is>
          <t xml:space="preserve">Papierumschlag </t>
        </is>
      </c>
      <c r="X131" t="inlineStr">
        <is>
          <t>Nein</t>
        </is>
      </c>
      <c r="Y131" t="n">
        <v>0</v>
      </c>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inlineStr"/>
      <c r="BI131" t="inlineStr"/>
      <c r="BJ131" t="inlineStr"/>
      <c r="BK131" t="inlineStr"/>
      <c r="BL131" t="inlineStr"/>
      <c r="BM131" t="inlineStr"/>
      <c r="BN131" t="n">
        <v>0</v>
      </c>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c r="DC131" t="inlineStr"/>
      <c r="DD131" t="inlineStr"/>
      <c r="DE131" t="inlineStr"/>
      <c r="DF131" t="inlineStr"/>
      <c r="DG131" t="inlineStr"/>
    </row>
    <row r="132">
      <c r="A132" t="inlineStr">
        <is>
          <t>III</t>
        </is>
      </c>
      <c r="B132" t="b">
        <v>1</v>
      </c>
      <c r="C132" t="inlineStr"/>
      <c r="D132" t="inlineStr"/>
      <c r="E132" t="n">
        <v>107</v>
      </c>
      <c r="F132">
        <f>HYPERLINK("https://portal.dnb.de/opac.htm?method=simpleSearch&amp;cqlMode=true&amp;query=idn%3D1066861765", "Portal")</f>
        <v/>
      </c>
      <c r="G132" t="inlineStr">
        <is>
          <t>Aaf</t>
        </is>
      </c>
      <c r="H132" t="inlineStr">
        <is>
          <t>L-1540-315320400</t>
        </is>
      </c>
      <c r="I132" t="inlineStr">
        <is>
          <t>1066861765</t>
        </is>
      </c>
      <c r="J132" t="inlineStr">
        <is>
          <t>III 6, 27</t>
        </is>
      </c>
      <c r="K132" t="inlineStr">
        <is>
          <t>III 6, 27</t>
        </is>
      </c>
      <c r="L132" t="inlineStr">
        <is>
          <t>III 6, 27</t>
        </is>
      </c>
      <c r="M132" t="inlineStr"/>
      <c r="N132" t="inlineStr">
        <is>
          <t>DIVI CAECILII CY=||PRIANI EPISCOPI CARTHAGINENSIS ET|| martyris opera iam quartum accuratiori uigilantia à men||dis repurgata,per DES.ERASMVM ROTEROD.</t>
        </is>
      </c>
      <c r="O132" t="inlineStr">
        <is>
          <t xml:space="preserve"> : </t>
        </is>
      </c>
      <c r="P132" t="inlineStr">
        <is>
          <t>X</t>
        </is>
      </c>
      <c r="Q132" t="inlineStr"/>
      <c r="R132" t="inlineStr">
        <is>
          <t>Ledereinband, Schließen, erhabene Buchbeschläge</t>
        </is>
      </c>
      <c r="S132" t="inlineStr">
        <is>
          <t>bis 35 cm</t>
        </is>
      </c>
      <c r="T132" t="inlineStr">
        <is>
          <t>80° bis 110°, einseitig digitalisierbar?</t>
        </is>
      </c>
      <c r="U132" t="inlineStr">
        <is>
          <t>fester Rücken mit Schmuckprägung</t>
        </is>
      </c>
      <c r="V132" t="inlineStr"/>
      <c r="W132" t="inlineStr">
        <is>
          <t>Buchschuh</t>
        </is>
      </c>
      <c r="X132" t="inlineStr">
        <is>
          <t>Nein</t>
        </is>
      </c>
      <c r="Y132" t="n">
        <v>0</v>
      </c>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c r="BH132" t="inlineStr"/>
      <c r="BI132" t="inlineStr"/>
      <c r="BJ132" t="inlineStr"/>
      <c r="BK132" t="inlineStr"/>
      <c r="BL132" t="inlineStr"/>
      <c r="BM132" t="inlineStr"/>
      <c r="BN132" t="n">
        <v>0</v>
      </c>
      <c r="BO132" t="inlineStr"/>
      <c r="BP132" t="inlineStr"/>
      <c r="BQ132" t="inlineStr"/>
      <c r="BR132" t="inlineStr"/>
      <c r="BS132" t="inlineStr"/>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c r="DD132" t="inlineStr"/>
      <c r="DE132" t="inlineStr"/>
      <c r="DF132" t="inlineStr"/>
      <c r="DG132" t="inlineStr"/>
    </row>
    <row r="133">
      <c r="A133" t="inlineStr">
        <is>
          <t>III</t>
        </is>
      </c>
      <c r="B133" t="b">
        <v>1</v>
      </c>
      <c r="C133" t="inlineStr"/>
      <c r="D133" t="inlineStr"/>
      <c r="E133" t="n">
        <v>164</v>
      </c>
      <c r="F133">
        <f>HYPERLINK("https://portal.dnb.de/opac.htm?method=simpleSearch&amp;cqlMode=true&amp;query=idn%3D995417059", "Portal")</f>
        <v/>
      </c>
      <c r="G133" t="inlineStr">
        <is>
          <t>Afl</t>
        </is>
      </c>
      <c r="H133" t="inlineStr">
        <is>
          <t>L-1544-159504325</t>
        </is>
      </c>
      <c r="I133" t="inlineStr">
        <is>
          <t>995417059</t>
        </is>
      </c>
      <c r="J133" t="inlineStr">
        <is>
          <t>III 6, 27 a</t>
        </is>
      </c>
      <c r="K133" t="inlineStr">
        <is>
          <t>III 6, 27 a</t>
        </is>
      </c>
      <c r="L133" t="inlineStr">
        <is>
          <t>III 6, 27 a - 1</t>
        </is>
      </c>
      <c r="M133" t="inlineStr"/>
      <c r="N133" t="inlineStr">
        <is>
          <t>Euripidoy|| Tragōdiai|| ok||tōkaideka|| ekabē</t>
        </is>
      </c>
      <c r="O133" t="inlineStr">
        <is>
          <t xml:space="preserve">[1] : </t>
        </is>
      </c>
      <c r="P133" t="inlineStr">
        <is>
          <t>X</t>
        </is>
      </c>
      <c r="Q133" t="inlineStr">
        <is>
          <t>600,00 EUR</t>
        </is>
      </c>
      <c r="R133" t="inlineStr">
        <is>
          <t>Ledereinband</t>
        </is>
      </c>
      <c r="S133" t="inlineStr">
        <is>
          <t>bis 25 cm</t>
        </is>
      </c>
      <c r="T133" t="inlineStr">
        <is>
          <t>80° bis 110°, einseitig digitalisierbar?</t>
        </is>
      </c>
      <c r="U133" t="inlineStr">
        <is>
          <t>fester Rücken mit Schmuckprägung</t>
        </is>
      </c>
      <c r="V133" t="inlineStr"/>
      <c r="W133" t="inlineStr">
        <is>
          <t>Kassette</t>
        </is>
      </c>
      <c r="X133" t="inlineStr">
        <is>
          <t>Nein</t>
        </is>
      </c>
      <c r="Y133" t="n">
        <v>0</v>
      </c>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inlineStr"/>
      <c r="BI133" t="inlineStr"/>
      <c r="BJ133" t="inlineStr"/>
      <c r="BK133" t="inlineStr"/>
      <c r="BL133" t="inlineStr"/>
      <c r="BM133" t="inlineStr"/>
      <c r="BN133" t="n">
        <v>0</v>
      </c>
      <c r="BO133" t="inlineStr"/>
      <c r="BP133" t="inlineStr"/>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c r="DC133" t="inlineStr"/>
      <c r="DD133" t="inlineStr"/>
      <c r="DE133" t="inlineStr"/>
      <c r="DF133" t="inlineStr"/>
      <c r="DG133" t="inlineStr"/>
    </row>
    <row r="134">
      <c r="A134" t="inlineStr">
        <is>
          <t>III</t>
        </is>
      </c>
      <c r="B134" t="b">
        <v>1</v>
      </c>
      <c r="C134" t="inlineStr">
        <is>
          <t>x</t>
        </is>
      </c>
      <c r="D134" t="inlineStr"/>
      <c r="E134" t="n">
        <v>163</v>
      </c>
      <c r="F134">
        <f>HYPERLINK("https://portal.dnb.de/opac.htm?method=simpleSearch&amp;cqlMode=true&amp;query=idn%3D995434395", "Portal")</f>
        <v/>
      </c>
      <c r="G134" t="inlineStr">
        <is>
          <t>Afl</t>
        </is>
      </c>
      <c r="H134" t="inlineStr">
        <is>
          <t>L-1544-15952167X</t>
        </is>
      </c>
      <c r="I134" t="inlineStr">
        <is>
          <t>995434395</t>
        </is>
      </c>
      <c r="J134" t="inlineStr">
        <is>
          <t>III 6, 27 a</t>
        </is>
      </c>
      <c r="K134" t="inlineStr">
        <is>
          <t>III 6, 27 a</t>
        </is>
      </c>
      <c r="L134" t="inlineStr">
        <is>
          <t>III 6, 27 a - 2</t>
        </is>
      </c>
      <c r="M134" t="inlineStr"/>
      <c r="N134" t="inlineStr">
        <is>
          <t>Euripidoy|| Tragōdiai|| ok||tōkaideka|| ekabē</t>
        </is>
      </c>
      <c r="O134" t="inlineStr">
        <is>
          <t xml:space="preserve">[2] : </t>
        </is>
      </c>
      <c r="P134" t="inlineStr"/>
      <c r="Q134" t="inlineStr"/>
      <c r="R134" t="inlineStr">
        <is>
          <t>Papier- oder Pappeinband</t>
        </is>
      </c>
      <c r="S134" t="inlineStr">
        <is>
          <t>bis 25 cm</t>
        </is>
      </c>
      <c r="T134" t="inlineStr">
        <is>
          <t>80° bis 110°, einseitig digitalisierbar?</t>
        </is>
      </c>
      <c r="U134" t="inlineStr">
        <is>
          <t>welliger Buchblock</t>
        </is>
      </c>
      <c r="V134" t="inlineStr"/>
      <c r="W134" t="inlineStr">
        <is>
          <t xml:space="preserve">Papierumschlag </t>
        </is>
      </c>
      <c r="X134" t="inlineStr">
        <is>
          <t>Ja</t>
        </is>
      </c>
      <c r="Y134" t="n">
        <v>2</v>
      </c>
      <c r="Z134" t="inlineStr"/>
      <c r="AA134" t="inlineStr"/>
      <c r="AB134" t="inlineStr"/>
      <c r="AC134" t="inlineStr"/>
      <c r="AD134" t="inlineStr"/>
      <c r="AE134" t="inlineStr"/>
      <c r="AF134" t="inlineStr"/>
      <c r="AG134" t="inlineStr"/>
      <c r="AH134" t="inlineStr"/>
      <c r="AI134" t="inlineStr">
        <is>
          <t>Pg (Mak.)</t>
        </is>
      </c>
      <c r="AJ134" t="inlineStr"/>
      <c r="AK134" t="inlineStr"/>
      <c r="AL134" t="inlineStr"/>
      <c r="AM134" t="inlineStr">
        <is>
          <t>f</t>
        </is>
      </c>
      <c r="AN134" t="inlineStr"/>
      <c r="AO134" t="inlineStr"/>
      <c r="AP134" t="inlineStr"/>
      <c r="AQ134" t="inlineStr"/>
      <c r="AR134" t="inlineStr"/>
      <c r="AS134" t="inlineStr">
        <is>
          <t>Pa</t>
        </is>
      </c>
      <c r="AT134" t="inlineStr"/>
      <c r="AU134" t="inlineStr"/>
      <c r="AV134" t="inlineStr"/>
      <c r="AW134" t="inlineStr"/>
      <c r="AX134" t="inlineStr"/>
      <c r="AY134" t="inlineStr"/>
      <c r="AZ134" t="inlineStr"/>
      <c r="BA134" t="inlineStr"/>
      <c r="BB134" t="inlineStr"/>
      <c r="BC134" t="inlineStr"/>
      <c r="BD134" t="inlineStr"/>
      <c r="BE134" t="inlineStr"/>
      <c r="BF134" t="inlineStr"/>
      <c r="BG134" t="n">
        <v>45</v>
      </c>
      <c r="BH134" t="inlineStr"/>
      <c r="BI134" t="inlineStr"/>
      <c r="BJ134" t="inlineStr"/>
      <c r="BK134" t="inlineStr"/>
      <c r="BL134" t="inlineStr"/>
      <c r="BM134" t="inlineStr">
        <is>
          <t>ja vor</t>
        </is>
      </c>
      <c r="BN134" t="n">
        <v>3</v>
      </c>
      <c r="BO134" t="inlineStr"/>
      <c r="BP134" t="inlineStr"/>
      <c r="BQ134" t="inlineStr"/>
      <c r="BR134" t="inlineStr"/>
      <c r="BS134" t="inlineStr"/>
      <c r="BT134" t="inlineStr">
        <is>
          <t>x sauer</t>
        </is>
      </c>
      <c r="BU134" t="inlineStr">
        <is>
          <t>x</t>
        </is>
      </c>
      <c r="BV134" t="inlineStr"/>
      <c r="BW134" t="inlineStr"/>
      <c r="BX134" t="inlineStr"/>
      <c r="BY134" t="inlineStr">
        <is>
          <t>Box (Pg. Mak.)</t>
        </is>
      </c>
      <c r="BZ134" t="inlineStr">
        <is>
          <t>x</t>
        </is>
      </c>
      <c r="CA134" t="inlineStr"/>
      <c r="CB134" t="inlineStr">
        <is>
          <t>x</t>
        </is>
      </c>
      <c r="CC134" t="inlineStr"/>
      <c r="CD134" t="inlineStr">
        <is>
          <t>v/h</t>
        </is>
      </c>
      <c r="CE134" t="inlineStr"/>
      <c r="CF134" t="inlineStr"/>
      <c r="CG134" t="inlineStr"/>
      <c r="CH134" t="inlineStr"/>
      <c r="CI134" t="inlineStr">
        <is>
          <t>x</t>
        </is>
      </c>
      <c r="CJ134" t="inlineStr"/>
      <c r="CK134" t="inlineStr"/>
      <c r="CL134" t="inlineStr"/>
      <c r="CM134" t="n">
        <v>3</v>
      </c>
      <c r="CN134" t="inlineStr">
        <is>
          <t>nur das Nötigste: Ecken stabilisieren, loses Material an Rücken und Ecken zurückkleben/sichern, ggf. teils mit JP überfangen</t>
        </is>
      </c>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c r="DC134" t="inlineStr"/>
      <c r="DD134" t="inlineStr"/>
      <c r="DE134" t="inlineStr"/>
      <c r="DF134" t="inlineStr"/>
      <c r="DG134" t="inlineStr"/>
    </row>
    <row r="135">
      <c r="A135" t="inlineStr">
        <is>
          <t>III</t>
        </is>
      </c>
      <c r="B135" t="b">
        <v>1</v>
      </c>
      <c r="C135" t="inlineStr"/>
      <c r="D135" t="inlineStr"/>
      <c r="E135" t="n">
        <v>166</v>
      </c>
      <c r="F135">
        <f>HYPERLINK("https://portal.dnb.de/opac.htm?method=simpleSearch&amp;cqlMode=true&amp;query=idn%3D997624930", "Portal")</f>
        <v/>
      </c>
      <c r="G135" t="inlineStr">
        <is>
          <t>Aal</t>
        </is>
      </c>
      <c r="H135" t="inlineStr">
        <is>
          <t>L-1536-164449248</t>
        </is>
      </c>
      <c r="I135" t="inlineStr">
        <is>
          <t>997624930</t>
        </is>
      </c>
      <c r="J135" t="inlineStr">
        <is>
          <t>III 6, 27 b</t>
        </is>
      </c>
      <c r="K135" t="inlineStr">
        <is>
          <t>III 6, 27 b</t>
        </is>
      </c>
      <c r="L135" t="inlineStr">
        <is>
          <t>III 6, 27 b</t>
        </is>
      </c>
      <c r="M135" t="inlineStr"/>
      <c r="N135" t="inlineStr">
        <is>
          <t xml:space="preserve">D. Joannis Chryso||stomi Enarrationes, partim antehac, par||tim nunc primum traductae  : </t>
        </is>
      </c>
      <c r="O135" t="inlineStr">
        <is>
          <t xml:space="preserve"> : </t>
        </is>
      </c>
      <c r="P135" t="inlineStr"/>
      <c r="Q135" t="inlineStr"/>
      <c r="R135" t="inlineStr"/>
      <c r="S135" t="inlineStr">
        <is>
          <t>bis 35 cm</t>
        </is>
      </c>
      <c r="T135" t="inlineStr"/>
      <c r="U135" t="inlineStr"/>
      <c r="V135" t="inlineStr"/>
      <c r="W135" t="inlineStr"/>
      <c r="X135" t="inlineStr"/>
      <c r="Y135" t="inlineStr"/>
      <c r="Z135" t="inlineStr"/>
      <c r="AA135" t="inlineStr"/>
      <c r="AB135" t="inlineStr"/>
      <c r="AC135" t="inlineStr"/>
      <c r="AD135" t="inlineStr"/>
      <c r="AE135" t="inlineStr"/>
      <c r="AF135" t="inlineStr"/>
      <c r="AG135" t="inlineStr"/>
      <c r="AH135" t="inlineStr"/>
      <c r="AI135" t="inlineStr">
        <is>
          <t>HD</t>
        </is>
      </c>
      <c r="AJ135" t="inlineStr"/>
      <c r="AK135" t="inlineStr"/>
      <c r="AL135" t="inlineStr">
        <is>
          <t>x</t>
        </is>
      </c>
      <c r="AM135" t="inlineStr">
        <is>
          <t>f</t>
        </is>
      </c>
      <c r="AN135" t="inlineStr"/>
      <c r="AO135" t="inlineStr"/>
      <c r="AP135" t="inlineStr"/>
      <c r="AQ135" t="inlineStr"/>
      <c r="AR135" t="inlineStr"/>
      <c r="AS135" t="inlineStr">
        <is>
          <t>Pa</t>
        </is>
      </c>
      <c r="AT135" t="inlineStr"/>
      <c r="AU135" t="inlineStr"/>
      <c r="AV135" t="inlineStr"/>
      <c r="AW135" t="inlineStr"/>
      <c r="AX135" t="inlineStr"/>
      <c r="AY135" t="inlineStr"/>
      <c r="AZ135" t="inlineStr"/>
      <c r="BA135" t="inlineStr"/>
      <c r="BB135" t="inlineStr"/>
      <c r="BC135" t="inlineStr"/>
      <c r="BD135" t="inlineStr"/>
      <c r="BE135" t="inlineStr"/>
      <c r="BF135" t="inlineStr"/>
      <c r="BG135" t="n">
        <v>110</v>
      </c>
      <c r="BH135" t="inlineStr"/>
      <c r="BI135" t="inlineStr"/>
      <c r="BJ135" t="inlineStr"/>
      <c r="BK135" t="inlineStr">
        <is>
          <t>x</t>
        </is>
      </c>
      <c r="BL135" t="inlineStr"/>
      <c r="BM135" t="inlineStr">
        <is>
          <t>n</t>
        </is>
      </c>
      <c r="BN135" t="n">
        <v>0</v>
      </c>
      <c r="BO135" t="inlineStr"/>
      <c r="BP135" t="inlineStr">
        <is>
          <t>Gewebe mit Papier</t>
        </is>
      </c>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c r="DC135" t="inlineStr"/>
      <c r="DD135" t="inlineStr"/>
      <c r="DE135" t="inlineStr"/>
      <c r="DF135" t="inlineStr"/>
      <c r="DG135" t="inlineStr"/>
    </row>
    <row r="136">
      <c r="A136" t="inlineStr">
        <is>
          <t>III</t>
        </is>
      </c>
      <c r="B136" t="b">
        <v>1</v>
      </c>
      <c r="C136" t="inlineStr"/>
      <c r="D136" t="inlineStr"/>
      <c r="E136" t="n">
        <v>168</v>
      </c>
      <c r="F136">
        <f>HYPERLINK("https://portal.dnb.de/opac.htm?method=simpleSearch&amp;cqlMode=true&amp;query=idn%3D99713237X", "Portal")</f>
        <v/>
      </c>
      <c r="G136" t="inlineStr">
        <is>
          <t>Aal</t>
        </is>
      </c>
      <c r="H136" t="inlineStr">
        <is>
          <t>L-1557-163414513</t>
        </is>
      </c>
      <c r="I136" t="inlineStr">
        <is>
          <t>99713237X</t>
        </is>
      </c>
      <c r="J136" t="inlineStr">
        <is>
          <t>III 6, 27 c</t>
        </is>
      </c>
      <c r="K136" t="inlineStr">
        <is>
          <t>III 6, 27 c</t>
        </is>
      </c>
      <c r="L136" t="inlineStr">
        <is>
          <t>III 6, 27 c</t>
        </is>
      </c>
      <c r="M136" t="inlineStr"/>
      <c r="N136" t="inlineStr">
        <is>
          <t xml:space="preserve">Herodotu lo-||goi ennea, hoiper epi-||kaluntai musai : Ad haec, ... Georgii Gemisti, qvi et Pletho|| dicitur, de ijs quae post pugnam ad Manti-||neam </t>
        </is>
      </c>
      <c r="O136" t="inlineStr">
        <is>
          <t xml:space="preserve"> : </t>
        </is>
      </c>
      <c r="P136" t="inlineStr">
        <is>
          <t>X</t>
        </is>
      </c>
      <c r="Q136" t="inlineStr"/>
      <c r="R136" t="inlineStr">
        <is>
          <t>Halbpergamentband</t>
        </is>
      </c>
      <c r="S136" t="inlineStr">
        <is>
          <t>bis 35 cm</t>
        </is>
      </c>
      <c r="T136" t="inlineStr">
        <is>
          <t>180°</t>
        </is>
      </c>
      <c r="U136" t="inlineStr">
        <is>
          <t>hohler Rücken, welliger Buchblock</t>
        </is>
      </c>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n">
        <v>0</v>
      </c>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c r="DD136" t="inlineStr"/>
      <c r="DE136" t="inlineStr"/>
      <c r="DF136" t="inlineStr"/>
      <c r="DG136" t="inlineStr"/>
    </row>
    <row r="137">
      <c r="A137" t="inlineStr">
        <is>
          <t>III</t>
        </is>
      </c>
      <c r="B137" t="b">
        <v>0</v>
      </c>
      <c r="C137" t="inlineStr"/>
      <c r="D137" t="inlineStr"/>
      <c r="E137" t="n">
        <v>169</v>
      </c>
      <c r="F137">
        <f>HYPERLINK("https://portal.dnb.de/opac.htm?method=simpleSearch&amp;cqlMode=true&amp;query=idn%3D996432566", "Portal")</f>
        <v/>
      </c>
      <c r="G137" t="inlineStr"/>
      <c r="H137" t="inlineStr">
        <is>
          <t>L-1556-162142099</t>
        </is>
      </c>
      <c r="I137" t="inlineStr">
        <is>
          <t>996432566</t>
        </is>
      </c>
      <c r="J137" t="inlineStr"/>
      <c r="K137" t="inlineStr"/>
      <c r="L137" t="inlineStr">
        <is>
          <t>III 6, 27 d</t>
        </is>
      </c>
      <c r="M137" t="inlineStr"/>
      <c r="N137" t="inlineStr"/>
      <c r="O137" t="inlineStr"/>
      <c r="P137" t="inlineStr"/>
      <c r="Q137" t="inlineStr"/>
      <c r="R137" t="inlineStr"/>
      <c r="S137" t="inlineStr"/>
      <c r="T137" t="inlineStr"/>
      <c r="U137" t="inlineStr"/>
      <c r="V137" t="inlineStr"/>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inlineStr"/>
      <c r="BI137" t="inlineStr"/>
      <c r="BJ137" t="inlineStr"/>
      <c r="BK137" t="inlineStr"/>
      <c r="BL137" t="inlineStr"/>
      <c r="BM137" t="inlineStr"/>
      <c r="BN137" t="n">
        <v>0</v>
      </c>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c r="DC137" t="inlineStr"/>
      <c r="DD137" t="inlineStr"/>
      <c r="DE137" t="inlineStr"/>
      <c r="DF137" t="inlineStr"/>
      <c r="DG137" t="inlineStr"/>
    </row>
    <row r="138">
      <c r="A138" t="inlineStr">
        <is>
          <t>III</t>
        </is>
      </c>
      <c r="B138" t="b">
        <v>1</v>
      </c>
      <c r="C138" t="inlineStr"/>
      <c r="D138" t="inlineStr"/>
      <c r="E138" t="n">
        <v>171</v>
      </c>
      <c r="F138">
        <f>HYPERLINK("https://portal.dnb.de/opac.htm?method=simpleSearch&amp;cqlMode=true&amp;query=idn%3D998780650", "Portal")</f>
        <v/>
      </c>
      <c r="G138" t="inlineStr">
        <is>
          <t>Afl</t>
        </is>
      </c>
      <c r="H138" t="inlineStr">
        <is>
          <t>L-1556-166924229</t>
        </is>
      </c>
      <c r="I138" t="inlineStr">
        <is>
          <t>998780650</t>
        </is>
      </c>
      <c r="J138" t="inlineStr">
        <is>
          <t>III 6, 27 d</t>
        </is>
      </c>
      <c r="K138" t="inlineStr">
        <is>
          <t>III 6, 27 d</t>
        </is>
      </c>
      <c r="L138" t="inlineStr">
        <is>
          <t>III 6, 27 d - 2</t>
        </is>
      </c>
      <c r="M138" t="inlineStr"/>
      <c r="N138" t="inlineStr">
        <is>
          <t>[T[iti] Livii Patavini Historiarum ab urbe condita libri]</t>
        </is>
      </c>
      <c r="O138" t="inlineStr">
        <is>
          <t>[2]. : Decadis tertiae liber I - X</t>
        </is>
      </c>
      <c r="P138" t="inlineStr">
        <is>
          <t>X</t>
        </is>
      </c>
      <c r="Q138" t="inlineStr"/>
      <c r="R138" t="inlineStr">
        <is>
          <t>Ledereinband, Schließen, erhabene Buchbeschläge</t>
        </is>
      </c>
      <c r="S138" t="inlineStr">
        <is>
          <t>bis 25 cm</t>
        </is>
      </c>
      <c r="T138" t="inlineStr">
        <is>
          <t>80° bis 110°, einseitig digitalisierbar?</t>
        </is>
      </c>
      <c r="U138" t="inlineStr">
        <is>
          <t>fester Rücken mit Schmuckprägung, welliger Buchblock</t>
        </is>
      </c>
      <c r="V138" t="inlineStr"/>
      <c r="W138" t="inlineStr">
        <is>
          <t>Kassette</t>
        </is>
      </c>
      <c r="X138" t="inlineStr">
        <is>
          <t>Nein</t>
        </is>
      </c>
      <c r="Y138" t="n">
        <v>0</v>
      </c>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inlineStr"/>
      <c r="BI138" t="inlineStr"/>
      <c r="BJ138" t="inlineStr"/>
      <c r="BK138" t="inlineStr"/>
      <c r="BL138" t="inlineStr"/>
      <c r="BM138" t="inlineStr"/>
      <c r="BN138" t="n">
        <v>0</v>
      </c>
      <c r="BO138" t="inlineStr"/>
      <c r="BP138" t="inlineStr"/>
      <c r="BQ138" t="inlineStr"/>
      <c r="BR138" t="inlineStr"/>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c r="DC138" t="inlineStr"/>
      <c r="DD138" t="inlineStr"/>
      <c r="DE138" t="inlineStr"/>
      <c r="DF138" t="inlineStr"/>
      <c r="DG138" t="inlineStr"/>
    </row>
    <row r="139">
      <c r="A139" t="inlineStr">
        <is>
          <t>III</t>
        </is>
      </c>
      <c r="B139" t="b">
        <v>1</v>
      </c>
      <c r="C139" t="inlineStr"/>
      <c r="D139" t="inlineStr"/>
      <c r="E139" t="n">
        <v>170</v>
      </c>
      <c r="F139">
        <f>HYPERLINK("https://portal.dnb.de/opac.htm?method=simpleSearch&amp;cqlMode=true&amp;query=idn%3D998780723", "Portal")</f>
        <v/>
      </c>
      <c r="G139" t="inlineStr">
        <is>
          <t>Afl</t>
        </is>
      </c>
      <c r="H139" t="inlineStr">
        <is>
          <t>L-1556-16692430X</t>
        </is>
      </c>
      <c r="I139" t="inlineStr">
        <is>
          <t>998780723</t>
        </is>
      </c>
      <c r="J139" t="inlineStr">
        <is>
          <t>III 6, 27 d</t>
        </is>
      </c>
      <c r="K139" t="inlineStr">
        <is>
          <t>III 6, 27 d</t>
        </is>
      </c>
      <c r="L139" t="inlineStr">
        <is>
          <t>III 6, 27 d - 3</t>
        </is>
      </c>
      <c r="M139" t="inlineStr"/>
      <c r="N139" t="inlineStr">
        <is>
          <t>[T[iti] Livii Patavini Historiarum ab urbe condita libri]</t>
        </is>
      </c>
      <c r="O139" t="inlineStr">
        <is>
          <t>[3]. : Decadis quartae liber I - X</t>
        </is>
      </c>
      <c r="P139" t="inlineStr">
        <is>
          <t>X</t>
        </is>
      </c>
      <c r="Q139" t="inlineStr"/>
      <c r="R139" t="inlineStr">
        <is>
          <t>Ledereinband, Schließen, erhabene Buchbeschläge</t>
        </is>
      </c>
      <c r="S139" t="inlineStr">
        <is>
          <t>bis 25 cm</t>
        </is>
      </c>
      <c r="T139" t="inlineStr">
        <is>
          <t>80° bis 110°, einseitig digitalisierbar?</t>
        </is>
      </c>
      <c r="U139" t="inlineStr">
        <is>
          <t>fester Rücken mit Schmuckprägung, welliger Buchblock</t>
        </is>
      </c>
      <c r="V139" t="inlineStr"/>
      <c r="W139" t="inlineStr">
        <is>
          <t>Kassette</t>
        </is>
      </c>
      <c r="X139" t="inlineStr">
        <is>
          <t>Nein</t>
        </is>
      </c>
      <c r="Y139" t="n">
        <v>0</v>
      </c>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inlineStr"/>
      <c r="BI139" t="inlineStr"/>
      <c r="BJ139" t="inlineStr"/>
      <c r="BK139" t="inlineStr"/>
      <c r="BL139" t="inlineStr"/>
      <c r="BM139" t="inlineStr"/>
      <c r="BN139" t="n">
        <v>0</v>
      </c>
      <c r="BO139" t="inlineStr"/>
      <c r="BP139" t="inlineStr"/>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c r="DC139" t="inlineStr"/>
      <c r="DD139" t="inlineStr"/>
      <c r="DE139" t="inlineStr"/>
      <c r="DF139" t="inlineStr"/>
      <c r="DG139" t="inlineStr"/>
    </row>
    <row r="140">
      <c r="A140" t="inlineStr">
        <is>
          <t>III</t>
        </is>
      </c>
      <c r="B140" t="b">
        <v>1</v>
      </c>
      <c r="C140" t="inlineStr"/>
      <c r="D140" t="inlineStr"/>
      <c r="E140" t="n">
        <v>172</v>
      </c>
      <c r="F140">
        <f>HYPERLINK("https://portal.dnb.de/opac.htm?method=simpleSearch&amp;cqlMode=true&amp;query=idn%3D998780944", "Portal")</f>
        <v/>
      </c>
      <c r="G140" t="inlineStr">
        <is>
          <t>Afl</t>
        </is>
      </c>
      <c r="H140" t="inlineStr">
        <is>
          <t>L-1556-166924490</t>
        </is>
      </c>
      <c r="I140" t="inlineStr">
        <is>
          <t>998780944</t>
        </is>
      </c>
      <c r="J140" t="inlineStr">
        <is>
          <t>III 6, 27 d</t>
        </is>
      </c>
      <c r="K140" t="inlineStr">
        <is>
          <t>III 6, 27 d</t>
        </is>
      </c>
      <c r="L140" t="inlineStr">
        <is>
          <t>III 6, 27 d - 4</t>
        </is>
      </c>
      <c r="M140" t="inlineStr"/>
      <c r="N140" t="inlineStr">
        <is>
          <t>[T[iti] Livii Patavini Historiarum ab urbe condita libri]</t>
        </is>
      </c>
      <c r="O140" t="inlineStr">
        <is>
          <t>[4]. : Decadis quintae liber I - V</t>
        </is>
      </c>
      <c r="P140" t="inlineStr">
        <is>
          <t>X</t>
        </is>
      </c>
      <c r="Q140" t="inlineStr"/>
      <c r="R140" t="inlineStr">
        <is>
          <t>Ledereinband, Schließen, erhabene Buchbeschläge</t>
        </is>
      </c>
      <c r="S140" t="inlineStr">
        <is>
          <t>bis 25 cm</t>
        </is>
      </c>
      <c r="T140" t="inlineStr">
        <is>
          <t>80° bis 110°, einseitig digitalisierbar?</t>
        </is>
      </c>
      <c r="U140" t="inlineStr">
        <is>
          <t>fester Rücken mit Schmuckprägung, welliger Buchblock, Tintenfraß</t>
        </is>
      </c>
      <c r="V140" t="inlineStr"/>
      <c r="W140" t="inlineStr">
        <is>
          <t>Kassette</t>
        </is>
      </c>
      <c r="X140" t="inlineStr">
        <is>
          <t>Nein</t>
        </is>
      </c>
      <c r="Y140" t="n">
        <v>0</v>
      </c>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n">
        <v>0</v>
      </c>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c r="DC140" t="inlineStr"/>
      <c r="DD140" t="inlineStr"/>
      <c r="DE140" t="inlineStr"/>
      <c r="DF140" t="inlineStr"/>
      <c r="DG140" t="inlineStr"/>
    </row>
    <row r="141">
      <c r="A141" t="inlineStr">
        <is>
          <t>III</t>
        </is>
      </c>
      <c r="B141" t="b">
        <v>1</v>
      </c>
      <c r="C141" t="inlineStr"/>
      <c r="D141" t="inlineStr"/>
      <c r="E141" t="n">
        <v>173</v>
      </c>
      <c r="F141">
        <f>HYPERLINK("https://portal.dnb.de/opac.htm?method=simpleSearch&amp;cqlMode=true&amp;query=idn%3D1002374065", "Portal")</f>
        <v/>
      </c>
      <c r="G141" t="inlineStr">
        <is>
          <t>Aal</t>
        </is>
      </c>
      <c r="H141" t="inlineStr">
        <is>
          <t>L-1540-17709835X</t>
        </is>
      </c>
      <c r="I141" t="inlineStr">
        <is>
          <t>1002374065</t>
        </is>
      </c>
      <c r="J141" t="inlineStr">
        <is>
          <t>III 6, 27e</t>
        </is>
      </c>
      <c r="K141" t="inlineStr">
        <is>
          <t>III 6, 27e</t>
        </is>
      </c>
      <c r="L141" t="inlineStr">
        <is>
          <t>III 6, 27 e</t>
        </is>
      </c>
      <c r="M141" t="inlineStr"/>
      <c r="N141" t="inlineStr">
        <is>
          <t xml:space="preserve">Thukydidēs me-||ta scholiōn palaiōn, kai pany ōphelimōn,||  ... : </t>
        </is>
      </c>
      <c r="O141" t="inlineStr">
        <is>
          <t xml:space="preserve"> : </t>
        </is>
      </c>
      <c r="P141" t="inlineStr">
        <is>
          <t>X</t>
        </is>
      </c>
      <c r="Q141" t="inlineStr"/>
      <c r="R141" t="inlineStr">
        <is>
          <t>Papier- oder Pappeinband</t>
        </is>
      </c>
      <c r="S141" t="inlineStr">
        <is>
          <t>bis 35 cm</t>
        </is>
      </c>
      <c r="T141" t="inlineStr">
        <is>
          <t>180°</t>
        </is>
      </c>
      <c r="U141" t="inlineStr">
        <is>
          <t>hohler Rücken</t>
        </is>
      </c>
      <c r="V141" t="inlineStr"/>
      <c r="W141" t="inlineStr">
        <is>
          <t xml:space="preserve">Papierumschlag </t>
        </is>
      </c>
      <c r="X141" t="inlineStr">
        <is>
          <t>Ja</t>
        </is>
      </c>
      <c r="Y141" t="n">
        <v>0</v>
      </c>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inlineStr"/>
      <c r="BI141" t="inlineStr"/>
      <c r="BJ141" t="inlineStr"/>
      <c r="BK141" t="inlineStr"/>
      <c r="BL141" t="inlineStr"/>
      <c r="BM141" t="inlineStr"/>
      <c r="BN141" t="n">
        <v>0</v>
      </c>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row>
    <row r="142">
      <c r="A142" t="inlineStr">
        <is>
          <t>III</t>
        </is>
      </c>
      <c r="B142" t="b">
        <v>1</v>
      </c>
      <c r="C142" t="inlineStr"/>
      <c r="D142" t="inlineStr"/>
      <c r="E142" t="n">
        <v>109</v>
      </c>
      <c r="F142">
        <f>HYPERLINK("https://portal.dnb.de/opac.htm?method=simpleSearch&amp;cqlMode=true&amp;query=idn%3D1066957924", "Portal")</f>
        <v/>
      </c>
      <c r="G142" t="inlineStr">
        <is>
          <t>Aaf</t>
        </is>
      </c>
      <c r="H142" t="inlineStr">
        <is>
          <t>L-1557-315488565</t>
        </is>
      </c>
      <c r="I142" t="inlineStr">
        <is>
          <t>1066957924</t>
        </is>
      </c>
      <c r="J142" t="inlineStr">
        <is>
          <t>III 6, 28</t>
        </is>
      </c>
      <c r="K142" t="inlineStr">
        <is>
          <t>III 6, 28</t>
        </is>
      </c>
      <c r="L142" t="inlineStr">
        <is>
          <t>III 6, 28</t>
        </is>
      </c>
      <c r="M142" t="inlineStr"/>
      <c r="N142" t="inlineStr">
        <is>
          <t>L. ANNAEI SENECAE|| Philosophi Stoicorum omnium acutissi-||mi opera quae extant omnia, Coelii Secun||di Curionis uigilantissima cura castigata,|| &amp; in</t>
        </is>
      </c>
      <c r="O142" t="inlineStr">
        <is>
          <t xml:space="preserve"> : </t>
        </is>
      </c>
      <c r="P142" t="inlineStr">
        <is>
          <t>X</t>
        </is>
      </c>
      <c r="Q142" t="inlineStr"/>
      <c r="R142" t="inlineStr">
        <is>
          <t>Halbpergamentband, Schließen, erhabene Buchbeschläge</t>
        </is>
      </c>
      <c r="S142" t="inlineStr">
        <is>
          <t>bis 35 cm</t>
        </is>
      </c>
      <c r="T142" t="inlineStr">
        <is>
          <t>180°</t>
        </is>
      </c>
      <c r="U142" t="inlineStr">
        <is>
          <t>hohler Rücken</t>
        </is>
      </c>
      <c r="V142" t="inlineStr"/>
      <c r="W142" t="inlineStr">
        <is>
          <t>Buchschuh</t>
        </is>
      </c>
      <c r="X142" t="inlineStr">
        <is>
          <t>Nein</t>
        </is>
      </c>
      <c r="Y142" t="n">
        <v>0</v>
      </c>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inlineStr"/>
      <c r="BI142" t="inlineStr"/>
      <c r="BJ142" t="inlineStr"/>
      <c r="BK142" t="inlineStr"/>
      <c r="BL142" t="inlineStr"/>
      <c r="BM142" t="inlineStr"/>
      <c r="BN142" t="n">
        <v>0</v>
      </c>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row>
    <row r="143">
      <c r="A143" t="inlineStr">
        <is>
          <t>III</t>
        </is>
      </c>
      <c r="B143" t="b">
        <v>1</v>
      </c>
      <c r="C143" t="inlineStr"/>
      <c r="D143" t="inlineStr"/>
      <c r="E143" t="n">
        <v>110</v>
      </c>
      <c r="F143">
        <f>HYPERLINK("https://portal.dnb.de/opac.htm?method=simpleSearch&amp;cqlMode=true&amp;query=idn%3D1066871612", "Portal")</f>
        <v/>
      </c>
      <c r="G143" t="inlineStr">
        <is>
          <t>Aaf</t>
        </is>
      </c>
      <c r="H143" t="inlineStr">
        <is>
          <t>L-1560-315329416</t>
        </is>
      </c>
      <c r="I143" t="inlineStr">
        <is>
          <t>1066871612</t>
        </is>
      </c>
      <c r="J143" t="inlineStr">
        <is>
          <t>III 6, 29</t>
        </is>
      </c>
      <c r="K143" t="inlineStr">
        <is>
          <t>III 6, 29</t>
        </is>
      </c>
      <c r="L143" t="inlineStr">
        <is>
          <t>III 6, 29</t>
        </is>
      </c>
      <c r="M143" t="inlineStr"/>
      <c r="N143" t="inlineStr">
        <is>
          <t>D.EPIPHANII EPI/||scopi Constantiae Cypri, contra|| octoaginta haereses opus, Panarium, siue|| Arcula, aut Capsula Medica appellatum,|| continens libr</t>
        </is>
      </c>
      <c r="O143" t="inlineStr">
        <is>
          <t xml:space="preserve"> : </t>
        </is>
      </c>
      <c r="P143" t="inlineStr">
        <is>
          <t>X</t>
        </is>
      </c>
      <c r="Q143" t="inlineStr"/>
      <c r="R143" t="inlineStr">
        <is>
          <t>Pergamentband, Schließen, erhabene Buchbeschläge</t>
        </is>
      </c>
      <c r="S143" t="inlineStr">
        <is>
          <t>bis 35 cm</t>
        </is>
      </c>
      <c r="T143" t="inlineStr">
        <is>
          <t>180°</t>
        </is>
      </c>
      <c r="U143" t="inlineStr">
        <is>
          <t>hohler Rücken, welliger Buchblock</t>
        </is>
      </c>
      <c r="V143" t="inlineStr"/>
      <c r="W143" t="inlineStr">
        <is>
          <t>Buchschuh</t>
        </is>
      </c>
      <c r="X143" t="inlineStr">
        <is>
          <t>Nein</t>
        </is>
      </c>
      <c r="Y143" t="n">
        <v>0</v>
      </c>
      <c r="Z143" t="inlineStr"/>
      <c r="AA143" t="inlineStr">
        <is>
          <t>gereinigt</t>
        </is>
      </c>
      <c r="AB143" t="inlineStr"/>
      <c r="AC143" t="inlineStr"/>
      <c r="AD143" t="inlineStr"/>
      <c r="AE143" t="inlineStr"/>
      <c r="AF143" t="inlineStr"/>
      <c r="AG143" t="inlineStr"/>
      <c r="AH143" t="inlineStr"/>
      <c r="AI143" t="inlineStr"/>
      <c r="AJ143" t="inlineStr"/>
      <c r="AK143" t="inlineStr"/>
      <c r="AL143" t="inlineStr"/>
      <c r="AM143" t="inlineStr"/>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c r="BB143" t="inlineStr"/>
      <c r="BC143" t="inlineStr"/>
      <c r="BD143" t="inlineStr"/>
      <c r="BE143" t="inlineStr"/>
      <c r="BF143" t="inlineStr"/>
      <c r="BG143" t="inlineStr"/>
      <c r="BH143" t="inlineStr"/>
      <c r="BI143" t="inlineStr"/>
      <c r="BJ143" t="inlineStr"/>
      <c r="BK143" t="inlineStr"/>
      <c r="BL143" t="inlineStr"/>
      <c r="BM143" t="inlineStr"/>
      <c r="BN143" t="n">
        <v>0</v>
      </c>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c r="DC143" t="inlineStr"/>
      <c r="DD143" t="inlineStr"/>
      <c r="DE143" t="inlineStr"/>
      <c r="DF143" t="inlineStr"/>
      <c r="DG143" t="inlineStr"/>
    </row>
    <row r="144">
      <c r="A144" t="inlineStr">
        <is>
          <t>III</t>
        </is>
      </c>
      <c r="B144" t="b">
        <v>1</v>
      </c>
      <c r="C144" t="inlineStr"/>
      <c r="D144" t="inlineStr"/>
      <c r="E144" t="inlineStr"/>
      <c r="F144">
        <f>HYPERLINK("https://portal.dnb.de/opac.htm?method=simpleSearch&amp;cqlMode=true&amp;query=idn%3D1155441567", "Portal")</f>
        <v/>
      </c>
      <c r="G144" t="inlineStr">
        <is>
          <t>Qd</t>
        </is>
      </c>
      <c r="H144" t="inlineStr">
        <is>
          <t>L-1549-441874363</t>
        </is>
      </c>
      <c r="I144" t="inlineStr">
        <is>
          <t>1155441567</t>
        </is>
      </c>
      <c r="J144" t="inlineStr">
        <is>
          <t>III 6, 29 a</t>
        </is>
      </c>
      <c r="K144" t="inlineStr">
        <is>
          <t>III 6, 29 a</t>
        </is>
      </c>
      <c r="L144" t="inlineStr">
        <is>
          <t>III 6, 29 a</t>
        </is>
      </c>
      <c r="M144" t="inlineStr"/>
      <c r="N144" t="inlineStr">
        <is>
          <t xml:space="preserve">Druckwerk des 16. Jahrhunderts mit einem bei der Restaurierung teilweise abgenommenen Einband aus der Makulatur anderer Druckwerke : </t>
        </is>
      </c>
      <c r="O144" t="inlineStr">
        <is>
          <t xml:space="preserve"> : </t>
        </is>
      </c>
      <c r="P144" t="inlineStr"/>
      <c r="Q144" t="inlineStr"/>
      <c r="R144" t="inlineStr"/>
      <c r="S144" t="inlineStr">
        <is>
          <t>bis 35 cm</t>
        </is>
      </c>
      <c r="T144" t="inlineStr"/>
      <c r="U144" t="inlineStr"/>
      <c r="V144" t="inlineStr"/>
      <c r="W144" t="inlineStr"/>
      <c r="X144" t="inlineStr"/>
      <c r="Y144" t="inlineStr"/>
      <c r="Z144" t="inlineStr"/>
      <c r="AA144" t="inlineStr"/>
      <c r="AB144" t="inlineStr"/>
      <c r="AC144" t="inlineStr"/>
      <c r="AD144" t="inlineStr"/>
      <c r="AE144" t="inlineStr"/>
      <c r="AF144" t="inlineStr"/>
      <c r="AG144" t="inlineStr"/>
      <c r="AH144" t="inlineStr"/>
      <c r="AI144" t="inlineStr">
        <is>
          <t>HD</t>
        </is>
      </c>
      <c r="AJ144" t="inlineStr"/>
      <c r="AK144" t="inlineStr"/>
      <c r="AL144" t="inlineStr">
        <is>
          <t>x</t>
        </is>
      </c>
      <c r="AM144" t="inlineStr">
        <is>
          <t>f</t>
        </is>
      </c>
      <c r="AN144" t="inlineStr"/>
      <c r="AO144" t="inlineStr"/>
      <c r="AP144" t="inlineStr"/>
      <c r="AQ144" t="inlineStr"/>
      <c r="AR144" t="inlineStr"/>
      <c r="AS144" t="inlineStr">
        <is>
          <t>Pa</t>
        </is>
      </c>
      <c r="AT144" t="inlineStr"/>
      <c r="AU144" t="inlineStr"/>
      <c r="AV144" t="inlineStr"/>
      <c r="AW144" t="inlineStr"/>
      <c r="AX144" t="inlineStr"/>
      <c r="AY144" t="inlineStr"/>
      <c r="AZ144" t="inlineStr"/>
      <c r="BA144" t="inlineStr"/>
      <c r="BB144" t="inlineStr"/>
      <c r="BC144" t="inlineStr"/>
      <c r="BD144" t="inlineStr"/>
      <c r="BE144" t="inlineStr"/>
      <c r="BF144" t="inlineStr"/>
      <c r="BG144" t="n">
        <v>110</v>
      </c>
      <c r="BH144" t="inlineStr"/>
      <c r="BI144" t="inlineStr"/>
      <c r="BJ144" t="inlineStr"/>
      <c r="BK144" t="inlineStr"/>
      <c r="BL144" t="inlineStr"/>
      <c r="BM144" t="inlineStr">
        <is>
          <t>n</t>
        </is>
      </c>
      <c r="BN144" t="n">
        <v>0</v>
      </c>
      <c r="BO144" t="inlineStr"/>
      <c r="BP144" t="inlineStr">
        <is>
          <t>Gewebe</t>
        </is>
      </c>
      <c r="BQ144" t="inlineStr"/>
      <c r="BR144" t="inlineStr"/>
      <c r="BS144" t="inlineStr"/>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c r="DC144" t="inlineStr"/>
      <c r="DD144" t="inlineStr"/>
      <c r="DE144" t="inlineStr"/>
      <c r="DF144" t="inlineStr"/>
      <c r="DG144" t="inlineStr"/>
    </row>
    <row r="145">
      <c r="A145" t="inlineStr">
        <is>
          <t>III</t>
        </is>
      </c>
      <c r="B145" t="b">
        <v>1</v>
      </c>
      <c r="C145" t="inlineStr">
        <is>
          <t>x</t>
        </is>
      </c>
      <c r="D145" t="inlineStr"/>
      <c r="E145" t="n">
        <v>111</v>
      </c>
      <c r="F145">
        <f>HYPERLINK("https://portal.dnb.de/opac.htm?method=simpleSearch&amp;cqlMode=true&amp;query=idn%3D1066848572", "Portal")</f>
        <v/>
      </c>
      <c r="G145" t="inlineStr">
        <is>
          <t>Aaf</t>
        </is>
      </c>
      <c r="H145" t="inlineStr">
        <is>
          <t>L-1533-315307676</t>
        </is>
      </c>
      <c r="I145" t="inlineStr">
        <is>
          <t>1066848572</t>
        </is>
      </c>
      <c r="J145" t="inlineStr">
        <is>
          <t>III 6, 30</t>
        </is>
      </c>
      <c r="K145" t="inlineStr">
        <is>
          <t>III 6, 30</t>
        </is>
      </c>
      <c r="L145" t="inlineStr">
        <is>
          <t>III 6, 30</t>
        </is>
      </c>
      <c r="M145" t="inlineStr"/>
      <c r="N145" t="inlineStr">
        <is>
          <t xml:space="preserve">DE STV||DIO LITERARVM RECTE ET|| COMMODE INSTITVENDO, AD IN=||uictissimum, &amp; potentissimum principem : </t>
        </is>
      </c>
      <c r="O145" t="inlineStr">
        <is>
          <t xml:space="preserve"> : </t>
        </is>
      </c>
      <c r="P145" t="inlineStr">
        <is>
          <t>X</t>
        </is>
      </c>
      <c r="Q145" t="inlineStr"/>
      <c r="R145" t="inlineStr">
        <is>
          <t>Papier- oder Pappeinband</t>
        </is>
      </c>
      <c r="S145" t="inlineStr">
        <is>
          <t>bis 25 cm</t>
        </is>
      </c>
      <c r="T145" t="inlineStr">
        <is>
          <t>180°</t>
        </is>
      </c>
      <c r="U145" t="inlineStr"/>
      <c r="V145" t="inlineStr"/>
      <c r="W145" t="inlineStr"/>
      <c r="X145" t="inlineStr"/>
      <c r="Y145" t="inlineStr"/>
      <c r="Z145" t="inlineStr"/>
      <c r="AA145" t="inlineStr"/>
      <c r="AB145" t="inlineStr"/>
      <c r="AC145" t="inlineStr"/>
      <c r="AD145" t="inlineStr"/>
      <c r="AE145" t="inlineStr"/>
      <c r="AF145" t="inlineStr"/>
      <c r="AG145" t="inlineStr"/>
      <c r="AH145" t="inlineStr"/>
      <c r="AI145" t="inlineStr">
        <is>
          <t>Pa</t>
        </is>
      </c>
      <c r="AJ145" t="inlineStr"/>
      <c r="AK145" t="inlineStr"/>
      <c r="AL145" t="inlineStr"/>
      <c r="AM145" t="inlineStr"/>
      <c r="AN145" t="inlineStr"/>
      <c r="AO145" t="inlineStr"/>
      <c r="AP145" t="inlineStr"/>
      <c r="AQ145" t="inlineStr"/>
      <c r="AR145" t="inlineStr"/>
      <c r="AS145" t="inlineStr">
        <is>
          <t>Pa</t>
        </is>
      </c>
      <c r="AT145" t="inlineStr"/>
      <c r="AU145" t="inlineStr"/>
      <c r="AV145" t="inlineStr"/>
      <c r="AW145" t="inlineStr"/>
      <c r="AX145" t="inlineStr"/>
      <c r="AY145" t="inlineStr"/>
      <c r="AZ145" t="inlineStr"/>
      <c r="BA145" t="inlineStr"/>
      <c r="BB145" t="inlineStr"/>
      <c r="BC145" t="inlineStr"/>
      <c r="BD145" t="inlineStr"/>
      <c r="BE145" t="inlineStr"/>
      <c r="BF145" t="inlineStr"/>
      <c r="BG145" t="n">
        <v>110</v>
      </c>
      <c r="BH145" t="inlineStr"/>
      <c r="BI145" t="inlineStr"/>
      <c r="BJ145" t="inlineStr"/>
      <c r="BK145" t="inlineStr"/>
      <c r="BL145" t="inlineStr"/>
      <c r="BM145" t="inlineStr">
        <is>
          <t>ja vor</t>
        </is>
      </c>
      <c r="BN145" t="n">
        <v>1.5</v>
      </c>
      <c r="BO145" t="inlineStr"/>
      <c r="BP145" t="inlineStr"/>
      <c r="BQ145" t="inlineStr"/>
      <c r="BR145" t="inlineStr"/>
      <c r="BS145" t="inlineStr"/>
      <c r="BT145" t="inlineStr"/>
      <c r="BU145" t="inlineStr"/>
      <c r="BV145" t="inlineStr"/>
      <c r="BW145" t="inlineStr"/>
      <c r="BX145" t="inlineStr"/>
      <c r="BY145" t="inlineStr"/>
      <c r="BZ145" t="inlineStr">
        <is>
          <t>x</t>
        </is>
      </c>
      <c r="CA145" t="inlineStr"/>
      <c r="CB145" t="inlineStr"/>
      <c r="CC145" t="inlineStr"/>
      <c r="CD145" t="inlineStr">
        <is>
          <t>v</t>
        </is>
      </c>
      <c r="CE145" t="inlineStr"/>
      <c r="CF145" t="inlineStr">
        <is>
          <t>x</t>
        </is>
      </c>
      <c r="CG145" t="inlineStr"/>
      <c r="CH145" t="inlineStr"/>
      <c r="CI145" t="inlineStr"/>
      <c r="CJ145" t="inlineStr"/>
      <c r="CK145" t="inlineStr"/>
      <c r="CL145" t="inlineStr"/>
      <c r="CM145" t="n">
        <v>1.5</v>
      </c>
      <c r="CN145" t="inlineStr">
        <is>
          <t>Hülse, Ecken stabilisieren</t>
        </is>
      </c>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c r="DC145" t="inlineStr"/>
      <c r="DD145" t="inlineStr"/>
      <c r="DE145" t="inlineStr"/>
      <c r="DF145" t="inlineStr"/>
      <c r="DG145" t="inlineStr"/>
    </row>
    <row r="146">
      <c r="A146" t="inlineStr">
        <is>
          <t>III</t>
        </is>
      </c>
      <c r="B146" t="b">
        <v>1</v>
      </c>
      <c r="C146" t="inlineStr"/>
      <c r="D146" t="inlineStr"/>
      <c r="E146" t="n">
        <v>112</v>
      </c>
      <c r="F146">
        <f>HYPERLINK("https://portal.dnb.de/opac.htm?method=simpleSearch&amp;cqlMode=true&amp;query=idn%3D1066963002", "Portal")</f>
        <v/>
      </c>
      <c r="G146" t="inlineStr">
        <is>
          <t>Aaf</t>
        </is>
      </c>
      <c r="H146" t="inlineStr">
        <is>
          <t>L-1534-315493275</t>
        </is>
      </c>
      <c r="I146" t="inlineStr">
        <is>
          <t>1066963002</t>
        </is>
      </c>
      <c r="J146" t="inlineStr">
        <is>
          <t>III 6, 31</t>
        </is>
      </c>
      <c r="K146" t="inlineStr">
        <is>
          <t>III 6, 31</t>
        </is>
      </c>
      <c r="L146" t="inlineStr">
        <is>
          <t>III 6, 31</t>
        </is>
      </c>
      <c r="M146" t="inlineStr"/>
      <c r="N146" t="inlineStr">
        <is>
          <t>P. VERGILII|| MARONIS|| BVCOLICORVM, GEORGICO=||RVM, ET AENEIDOS.|| Cum accurata simul &amp; fideli Seruij|| Mauri Honorati expositione,|| PARS PRIMA.|| :</t>
        </is>
      </c>
      <c r="O146" t="inlineStr">
        <is>
          <t xml:space="preserve"> : </t>
        </is>
      </c>
      <c r="P146" t="inlineStr">
        <is>
          <t>X</t>
        </is>
      </c>
      <c r="Q146" t="inlineStr"/>
      <c r="R146" t="inlineStr">
        <is>
          <t>Ledereinband, Schließen, erhabene Buchbeschläge</t>
        </is>
      </c>
      <c r="S146" t="inlineStr">
        <is>
          <t>bis 25 cm</t>
        </is>
      </c>
      <c r="T146" t="inlineStr">
        <is>
          <t>80° bis 110°, einseitig digitalisierbar?</t>
        </is>
      </c>
      <c r="U146" t="inlineStr">
        <is>
          <t>hohler Rücken, welliger Buchblock</t>
        </is>
      </c>
      <c r="V146" t="inlineStr"/>
      <c r="W146" t="inlineStr">
        <is>
          <t>Buchschuh</t>
        </is>
      </c>
      <c r="X146" t="inlineStr">
        <is>
          <t>Nein</t>
        </is>
      </c>
      <c r="Y146" t="n">
        <v>1</v>
      </c>
      <c r="Z146" t="inlineStr"/>
      <c r="AA146" t="inlineStr">
        <is>
          <t>gereinigt</t>
        </is>
      </c>
      <c r="AB146" t="inlineStr"/>
      <c r="AC146" t="inlineStr"/>
      <c r="AD146" t="inlineStr"/>
      <c r="AE146" t="inlineStr"/>
      <c r="AF146" t="inlineStr"/>
      <c r="AG146" t="inlineStr"/>
      <c r="AH146" t="inlineStr"/>
      <c r="AI146" t="inlineStr">
        <is>
          <t>HD</t>
        </is>
      </c>
      <c r="AJ146" t="inlineStr"/>
      <c r="AK146" t="inlineStr">
        <is>
          <t>x</t>
        </is>
      </c>
      <c r="AL146" t="inlineStr"/>
      <c r="AM146" t="inlineStr">
        <is>
          <t>h</t>
        </is>
      </c>
      <c r="AN146" t="inlineStr"/>
      <c r="AO146" t="inlineStr"/>
      <c r="AP146" t="inlineStr"/>
      <c r="AQ146" t="inlineStr"/>
      <c r="AR146" t="inlineStr"/>
      <c r="AS146" t="inlineStr">
        <is>
          <t>Pa</t>
        </is>
      </c>
      <c r="AT146" t="inlineStr"/>
      <c r="AU146" t="inlineStr"/>
      <c r="AV146" t="inlineStr"/>
      <c r="AW146" t="inlineStr"/>
      <c r="AX146" t="inlineStr"/>
      <c r="AY146" t="inlineStr"/>
      <c r="AZ146" t="inlineStr"/>
      <c r="BA146" t="inlineStr"/>
      <c r="BB146" t="inlineStr"/>
      <c r="BC146" t="inlineStr"/>
      <c r="BD146" t="inlineStr"/>
      <c r="BE146" t="inlineStr"/>
      <c r="BF146" t="inlineStr"/>
      <c r="BG146" t="n">
        <v>80</v>
      </c>
      <c r="BH146" t="inlineStr"/>
      <c r="BI146" t="inlineStr"/>
      <c r="BJ146" t="inlineStr"/>
      <c r="BK146" t="inlineStr"/>
      <c r="BL146" t="inlineStr"/>
      <c r="BM146" t="inlineStr">
        <is>
          <t>n</t>
        </is>
      </c>
      <c r="BN146" t="n">
        <v>0</v>
      </c>
      <c r="BO146" t="inlineStr"/>
      <c r="BP146" t="inlineStr"/>
      <c r="BQ146" t="inlineStr"/>
      <c r="BR146" t="inlineStr">
        <is>
          <t>x</t>
        </is>
      </c>
      <c r="BS146" t="inlineStr"/>
      <c r="BT146" t="inlineStr"/>
      <c r="BU146" t="inlineStr"/>
      <c r="BV146" t="inlineStr">
        <is>
          <t>fester Rücken inzwischen hohl</t>
        </is>
      </c>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c r="DC146" t="inlineStr"/>
      <c r="DD146" t="inlineStr"/>
      <c r="DE146" t="inlineStr"/>
      <c r="DF146" t="inlineStr"/>
      <c r="DG146" t="inlineStr"/>
    </row>
    <row r="147">
      <c r="A147" t="inlineStr">
        <is>
          <t>III</t>
        </is>
      </c>
      <c r="B147" t="b">
        <v>1</v>
      </c>
      <c r="C147" t="inlineStr">
        <is>
          <t>x</t>
        </is>
      </c>
      <c r="D147" t="inlineStr"/>
      <c r="E147" t="n">
        <v>113</v>
      </c>
      <c r="F147">
        <f>HYPERLINK("https://portal.dnb.de/opac.htm?method=simpleSearch&amp;cqlMode=true&amp;query=idn%3D1066849153", "Portal")</f>
        <v/>
      </c>
      <c r="G147" t="inlineStr">
        <is>
          <t>Aaf</t>
        </is>
      </c>
      <c r="H147" t="inlineStr">
        <is>
          <t>L-1540-315308206</t>
        </is>
      </c>
      <c r="I147" t="inlineStr">
        <is>
          <t>1066849153</t>
        </is>
      </c>
      <c r="J147" t="inlineStr">
        <is>
          <t>III 6, 32</t>
        </is>
      </c>
      <c r="K147" t="inlineStr">
        <is>
          <t>III 6, 32</t>
        </is>
      </c>
      <c r="L147" t="inlineStr">
        <is>
          <t>III 6, 32</t>
        </is>
      </c>
      <c r="M147" t="inlineStr"/>
      <c r="N147" t="inlineStr">
        <is>
          <t xml:space="preserve">DICTIONARIVM|| LATINAE LINGVAE : </t>
        </is>
      </c>
      <c r="O147" t="inlineStr">
        <is>
          <t xml:space="preserve"> : </t>
        </is>
      </c>
      <c r="P147" t="inlineStr"/>
      <c r="Q147" t="inlineStr"/>
      <c r="R147" t="inlineStr"/>
      <c r="S147" t="inlineStr">
        <is>
          <t>bis 35 cm</t>
        </is>
      </c>
      <c r="T147" t="inlineStr"/>
      <c r="U147" t="inlineStr"/>
      <c r="V147" t="inlineStr"/>
      <c r="W147" t="inlineStr"/>
      <c r="X147" t="inlineStr"/>
      <c r="Y147" t="inlineStr"/>
      <c r="Z147" t="inlineStr"/>
      <c r="AA147" t="inlineStr"/>
      <c r="AB147" t="inlineStr"/>
      <c r="AC147" t="inlineStr"/>
      <c r="AD147" t="inlineStr"/>
      <c r="AE147" t="inlineStr"/>
      <c r="AF147" t="inlineStr"/>
      <c r="AG147" t="inlineStr"/>
      <c r="AH147" t="inlineStr"/>
      <c r="AI147" t="inlineStr">
        <is>
          <t>HD</t>
        </is>
      </c>
      <c r="AJ147" t="inlineStr"/>
      <c r="AK147" t="inlineStr">
        <is>
          <t>x</t>
        </is>
      </c>
      <c r="AL147" t="inlineStr">
        <is>
          <t>x</t>
        </is>
      </c>
      <c r="AM147" t="inlineStr">
        <is>
          <t>f</t>
        </is>
      </c>
      <c r="AN147" t="inlineStr"/>
      <c r="AO147" t="inlineStr"/>
      <c r="AP147" t="inlineStr"/>
      <c r="AQ147" t="inlineStr"/>
      <c r="AR147" t="inlineStr"/>
      <c r="AS147" t="inlineStr">
        <is>
          <t>Pa</t>
        </is>
      </c>
      <c r="AT147" t="inlineStr"/>
      <c r="AU147" t="inlineStr"/>
      <c r="AV147" t="inlineStr"/>
      <c r="AW147" t="inlineStr"/>
      <c r="AX147" t="inlineStr"/>
      <c r="AY147" t="inlineStr"/>
      <c r="AZ147" t="inlineStr"/>
      <c r="BA147" t="inlineStr"/>
      <c r="BB147" t="inlineStr"/>
      <c r="BC147" t="inlineStr"/>
      <c r="BD147" t="inlineStr"/>
      <c r="BE147" t="inlineStr"/>
      <c r="BF147" t="inlineStr"/>
      <c r="BG147" t="n">
        <v>45</v>
      </c>
      <c r="BH147" t="inlineStr"/>
      <c r="BI147" t="inlineStr"/>
      <c r="BJ147" t="inlineStr"/>
      <c r="BK147" t="inlineStr"/>
      <c r="BL147" t="inlineStr"/>
      <c r="BM147" t="inlineStr">
        <is>
          <t>ja vor</t>
        </is>
      </c>
      <c r="BN147" t="n">
        <v>0.5</v>
      </c>
      <c r="BO147" t="inlineStr"/>
      <c r="BP147" t="inlineStr"/>
      <c r="BQ147" t="inlineStr"/>
      <c r="BR147" t="inlineStr"/>
      <c r="BS147" t="inlineStr">
        <is>
          <t>x</t>
        </is>
      </c>
      <c r="BT147" t="inlineStr"/>
      <c r="BU147" t="inlineStr"/>
      <c r="BV147" t="inlineStr">
        <is>
          <t>fester Rücken inzwischen fast vollständig hohl</t>
        </is>
      </c>
      <c r="BW147" t="inlineStr"/>
      <c r="BX147" t="inlineStr"/>
      <c r="BY147" t="inlineStr"/>
      <c r="BZ147" t="inlineStr"/>
      <c r="CA147" t="inlineStr">
        <is>
          <t>x</t>
        </is>
      </c>
      <c r="CB147" t="inlineStr">
        <is>
          <t>x</t>
        </is>
      </c>
      <c r="CC147" t="inlineStr"/>
      <c r="CD147" t="inlineStr"/>
      <c r="CE147" t="inlineStr"/>
      <c r="CF147" t="inlineStr"/>
      <c r="CG147" t="inlineStr"/>
      <c r="CH147" t="inlineStr"/>
      <c r="CI147" t="inlineStr"/>
      <c r="CJ147" t="inlineStr"/>
      <c r="CK147" t="inlineStr"/>
      <c r="CL147" t="inlineStr"/>
      <c r="CM147" t="n">
        <v>0.5</v>
      </c>
      <c r="CN147" t="inlineStr">
        <is>
          <t>Gelenk ggf. mit JP überfangen</t>
        </is>
      </c>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c r="DC147" t="inlineStr"/>
      <c r="DD147" t="inlineStr"/>
      <c r="DE147" t="inlineStr"/>
      <c r="DF147" t="inlineStr"/>
      <c r="DG147" t="inlineStr"/>
    </row>
    <row r="148">
      <c r="A148" t="inlineStr">
        <is>
          <t>III</t>
        </is>
      </c>
      <c r="B148" t="b">
        <v>1</v>
      </c>
      <c r="C148" t="inlineStr"/>
      <c r="D148" t="inlineStr"/>
      <c r="E148" t="n">
        <v>175</v>
      </c>
      <c r="F148">
        <f>HYPERLINK("https://portal.dnb.de/opac.htm?method=simpleSearch&amp;cqlMode=true&amp;query=idn%3D1000202720", "Portal")</f>
        <v/>
      </c>
      <c r="G148" t="inlineStr">
        <is>
          <t>Aal</t>
        </is>
      </c>
      <c r="H148" t="inlineStr">
        <is>
          <t>L-1538-170205894</t>
        </is>
      </c>
      <c r="I148" t="inlineStr">
        <is>
          <t>1000202720</t>
        </is>
      </c>
      <c r="J148" t="inlineStr">
        <is>
          <t>III 6, 32a</t>
        </is>
      </c>
      <c r="K148" t="inlineStr">
        <is>
          <t>III 6, 32a</t>
        </is>
      </c>
      <c r="L148" t="inlineStr">
        <is>
          <t>III 6, 32 a</t>
        </is>
      </c>
      <c r="M148" t="inlineStr"/>
      <c r="N148" t="inlineStr">
        <is>
          <t xml:space="preserve">Clavdii Ptolemaei Magnae constructionis, id est perfectae coelestium motuum pertractationis, lib[ri] XIII : </t>
        </is>
      </c>
      <c r="O148" t="inlineStr">
        <is>
          <t xml:space="preserve"> : </t>
        </is>
      </c>
      <c r="P148" t="inlineStr">
        <is>
          <t>X</t>
        </is>
      </c>
      <c r="Q148" t="inlineStr"/>
      <c r="R148" t="inlineStr">
        <is>
          <t>Papier- oder Pappeinband</t>
        </is>
      </c>
      <c r="S148" t="inlineStr">
        <is>
          <t>bis 35 cm</t>
        </is>
      </c>
      <c r="T148" t="inlineStr">
        <is>
          <t>180°</t>
        </is>
      </c>
      <c r="U148" t="inlineStr">
        <is>
          <t>hohler Rücken</t>
        </is>
      </c>
      <c r="V148" t="inlineStr"/>
      <c r="W148" t="inlineStr"/>
      <c r="X148" t="inlineStr"/>
      <c r="Y148" t="n">
        <v>0</v>
      </c>
      <c r="Z148" t="inlineStr"/>
      <c r="AA148" t="inlineStr"/>
      <c r="AB148" t="inlineStr"/>
      <c r="AC148" t="inlineStr"/>
      <c r="AD148" t="inlineStr"/>
      <c r="AE148" t="inlineStr"/>
      <c r="AF148" t="inlineStr"/>
      <c r="AG148" t="inlineStr"/>
      <c r="AH148" t="inlineStr"/>
      <c r="AI148" t="inlineStr">
        <is>
          <t>Pa</t>
        </is>
      </c>
      <c r="AJ148" t="inlineStr"/>
      <c r="AK148" t="inlineStr"/>
      <c r="AL148" t="inlineStr"/>
      <c r="AM148" t="inlineStr">
        <is>
          <t>h/E</t>
        </is>
      </c>
      <c r="AN148" t="inlineStr"/>
      <c r="AO148" t="inlineStr"/>
      <c r="AP148" t="inlineStr"/>
      <c r="AQ148" t="inlineStr"/>
      <c r="AR148" t="inlineStr"/>
      <c r="AS148" t="inlineStr">
        <is>
          <t>Pa</t>
        </is>
      </c>
      <c r="AT148" t="inlineStr"/>
      <c r="AU148" t="inlineStr"/>
      <c r="AV148" t="inlineStr"/>
      <c r="AW148" t="inlineStr"/>
      <c r="AX148" t="inlineStr"/>
      <c r="AY148" t="inlineStr"/>
      <c r="AZ148" t="inlineStr"/>
      <c r="BA148" t="inlineStr"/>
      <c r="BB148" t="inlineStr"/>
      <c r="BC148" t="inlineStr"/>
      <c r="BD148" t="inlineStr"/>
      <c r="BE148" t="inlineStr"/>
      <c r="BF148" t="inlineStr"/>
      <c r="BG148" t="n">
        <v>110</v>
      </c>
      <c r="BH148" t="inlineStr"/>
      <c r="BI148" t="inlineStr"/>
      <c r="BJ148" t="inlineStr"/>
      <c r="BK148" t="inlineStr"/>
      <c r="BL148" t="inlineStr"/>
      <c r="BM148" t="inlineStr">
        <is>
          <t>n</t>
        </is>
      </c>
      <c r="BN148" t="n">
        <v>0</v>
      </c>
      <c r="BO148" t="inlineStr"/>
      <c r="BP148" t="inlineStr"/>
      <c r="BQ148" t="inlineStr"/>
      <c r="BR148" t="inlineStr"/>
      <c r="BS148" t="inlineStr"/>
      <c r="BT148" t="inlineStr"/>
      <c r="BU148" t="inlineStr"/>
      <c r="BV148" t="inlineStr">
        <is>
          <t>Schaden stabil</t>
        </is>
      </c>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c r="DC148" t="inlineStr"/>
      <c r="DD148" t="inlineStr"/>
      <c r="DE148" t="inlineStr"/>
      <c r="DF148" t="inlineStr"/>
      <c r="DG148" t="inlineStr"/>
    </row>
    <row r="149">
      <c r="A149" t="inlineStr">
        <is>
          <t>III</t>
        </is>
      </c>
      <c r="B149" t="b">
        <v>1</v>
      </c>
      <c r="C149" t="inlineStr">
        <is>
          <t>x</t>
        </is>
      </c>
      <c r="D149" t="inlineStr"/>
      <c r="E149" t="n">
        <v>176</v>
      </c>
      <c r="F149">
        <f>HYPERLINK("https://portal.dnb.de/opac.htm?method=simpleSearch&amp;cqlMode=true&amp;query=idn%3D1002030188", "Portal")</f>
        <v/>
      </c>
      <c r="G149" t="inlineStr">
        <is>
          <t>Aal</t>
        </is>
      </c>
      <c r="H149" t="inlineStr">
        <is>
          <t>L-1539-176023844</t>
        </is>
      </c>
      <c r="I149" t="inlineStr">
        <is>
          <t>1002030188</t>
        </is>
      </c>
      <c r="J149" t="inlineStr">
        <is>
          <t>III 6, 32b</t>
        </is>
      </c>
      <c r="K149" t="inlineStr">
        <is>
          <t>III 6, 32b</t>
        </is>
      </c>
      <c r="L149" t="inlineStr">
        <is>
          <t>III 6, 32 b</t>
        </is>
      </c>
      <c r="M149" t="inlineStr"/>
      <c r="N149" t="inlineStr">
        <is>
          <t>Strabonis|| Geographicorvm|| Lib. XVII|| Olim, ut putatur, à Guarino Veronensi ac Gre=||rio Trifernate Latinitate donati, iam denuo à|| Conrado Heresb</t>
        </is>
      </c>
      <c r="O149" t="inlineStr">
        <is>
          <t xml:space="preserve"> : </t>
        </is>
      </c>
      <c r="P149" t="inlineStr"/>
      <c r="Q149" t="inlineStr"/>
      <c r="R149" t="inlineStr"/>
      <c r="S149" t="inlineStr">
        <is>
          <t>bis 35 cm</t>
        </is>
      </c>
      <c r="T149" t="inlineStr"/>
      <c r="U149" t="inlineStr"/>
      <c r="V149" t="inlineStr"/>
      <c r="W149" t="inlineStr"/>
      <c r="X149" t="inlineStr"/>
      <c r="Y149" t="inlineStr"/>
      <c r="Z149" t="inlineStr"/>
      <c r="AA149" t="inlineStr"/>
      <c r="AB149" t="inlineStr"/>
      <c r="AC149" t="inlineStr"/>
      <c r="AD149" t="inlineStr"/>
      <c r="AE149" t="inlineStr"/>
      <c r="AF149" t="inlineStr"/>
      <c r="AG149" t="inlineStr"/>
      <c r="AH149" t="inlineStr"/>
      <c r="AI149" t="inlineStr">
        <is>
          <t>HPg</t>
        </is>
      </c>
      <c r="AJ149" t="inlineStr"/>
      <c r="AK149" t="inlineStr"/>
      <c r="AL149" t="inlineStr"/>
      <c r="AM149" t="inlineStr">
        <is>
          <t>h/E</t>
        </is>
      </c>
      <c r="AN149" t="inlineStr"/>
      <c r="AO149" t="inlineStr"/>
      <c r="AP149" t="inlineStr"/>
      <c r="AQ149" t="inlineStr"/>
      <c r="AR149" t="inlineStr"/>
      <c r="AS149" t="inlineStr">
        <is>
          <t>Pa</t>
        </is>
      </c>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is>
          <t>max 110</t>
        </is>
      </c>
      <c r="BH149" t="inlineStr"/>
      <c r="BI149" t="inlineStr"/>
      <c r="BJ149" t="inlineStr"/>
      <c r="BK149" t="inlineStr"/>
      <c r="BL149" t="inlineStr">
        <is>
          <t>x</t>
        </is>
      </c>
      <c r="BM149" t="inlineStr">
        <is>
          <t>ja vor</t>
        </is>
      </c>
      <c r="BN149" t="n">
        <v>5</v>
      </c>
      <c r="BO149" t="inlineStr"/>
      <c r="BP149" t="inlineStr"/>
      <c r="BQ149" t="inlineStr"/>
      <c r="BR149" t="inlineStr"/>
      <c r="BS149" t="inlineStr"/>
      <c r="BT149" t="inlineStr">
        <is>
          <t>x sauer</t>
        </is>
      </c>
      <c r="BU149" t="inlineStr">
        <is>
          <t>x</t>
        </is>
      </c>
      <c r="BV149" t="inlineStr"/>
      <c r="BW149" t="inlineStr"/>
      <c r="BX149" t="inlineStr"/>
      <c r="BY149" t="inlineStr">
        <is>
          <t>Umschlag (abriebgefährdet)</t>
        </is>
      </c>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is>
          <t>x</t>
        </is>
      </c>
      <c r="CX149" t="inlineStr"/>
      <c r="CY149" t="inlineStr"/>
      <c r="CZ149" t="inlineStr"/>
      <c r="DA149" t="inlineStr"/>
      <c r="DB149" t="inlineStr"/>
      <c r="DC149" t="inlineStr"/>
      <c r="DD149" t="inlineStr"/>
      <c r="DE149" t="inlineStr"/>
      <c r="DF149" t="n">
        <v>5</v>
      </c>
      <c r="DG149" t="inlineStr">
        <is>
          <t>ca. 100-120 Seiten sind am Vorderschnitt sehr wattig --&gt; Nachleimen (Sprühen)</t>
        </is>
      </c>
    </row>
    <row r="150">
      <c r="A150" t="inlineStr">
        <is>
          <t>III</t>
        </is>
      </c>
      <c r="B150" t="b">
        <v>1</v>
      </c>
      <c r="C150" t="inlineStr"/>
      <c r="D150" t="inlineStr"/>
      <c r="E150" t="n">
        <v>114</v>
      </c>
      <c r="F150">
        <f>HYPERLINK("https://portal.dnb.de/opac.htm?method=simpleSearch&amp;cqlMode=true&amp;query=idn%3D1066963029", "Portal")</f>
        <v/>
      </c>
      <c r="G150" t="inlineStr">
        <is>
          <t>Aaf</t>
        </is>
      </c>
      <c r="H150" t="inlineStr">
        <is>
          <t>L-1538-315493291</t>
        </is>
      </c>
      <c r="I150" t="inlineStr">
        <is>
          <t>1066963029</t>
        </is>
      </c>
      <c r="J150" t="inlineStr">
        <is>
          <t>III 6, 33</t>
        </is>
      </c>
      <c r="K150" t="inlineStr">
        <is>
          <t>III 6, 33</t>
        </is>
      </c>
      <c r="L150" t="inlineStr">
        <is>
          <t>III 6, 33</t>
        </is>
      </c>
      <c r="M150" t="inlineStr"/>
      <c r="N150" t="inlineStr">
        <is>
          <t xml:space="preserve">IOANNIS|| LODOVICI VIVIS VALEN-||TINI DECLAMATIONES SEX.|| SYLLANAE QVINQVE.|| SEXTA, qua respondet Parieti|| palmato Quintiliani.|| EIVSDEM ... DE|| </t>
        </is>
      </c>
      <c r="O150" t="inlineStr">
        <is>
          <t xml:space="preserve"> : </t>
        </is>
      </c>
      <c r="P150" t="inlineStr">
        <is>
          <t>X</t>
        </is>
      </c>
      <c r="Q150" t="inlineStr"/>
      <c r="R150" t="inlineStr">
        <is>
          <t>Halbledereinband</t>
        </is>
      </c>
      <c r="S150" t="inlineStr">
        <is>
          <t>bis 25 cm</t>
        </is>
      </c>
      <c r="T150" t="inlineStr"/>
      <c r="U150" t="inlineStr"/>
      <c r="V150" t="inlineStr"/>
      <c r="W150" t="inlineStr"/>
      <c r="X150" t="inlineStr"/>
      <c r="Y150" t="inlineStr"/>
      <c r="Z150" t="inlineStr"/>
      <c r="AA150" t="inlineStr"/>
      <c r="AB150" t="inlineStr"/>
      <c r="AC150" t="inlineStr"/>
      <c r="AD150" t="inlineStr"/>
      <c r="AE150" t="inlineStr"/>
      <c r="AF150" t="inlineStr"/>
      <c r="AG150" t="inlineStr"/>
      <c r="AH150" t="inlineStr"/>
      <c r="AI150" t="inlineStr">
        <is>
          <t>L</t>
        </is>
      </c>
      <c r="AJ150" t="inlineStr"/>
      <c r="AK150" t="inlineStr"/>
      <c r="AL150" t="inlineStr"/>
      <c r="AM150" t="inlineStr">
        <is>
          <t>f/V</t>
        </is>
      </c>
      <c r="AN150" t="inlineStr"/>
      <c r="AO150" t="inlineStr"/>
      <c r="AP150" t="inlineStr"/>
      <c r="AQ150" t="inlineStr"/>
      <c r="AR150" t="inlineStr"/>
      <c r="AS150" t="inlineStr">
        <is>
          <t>Pa</t>
        </is>
      </c>
      <c r="AT150" t="inlineStr"/>
      <c r="AU150" t="inlineStr"/>
      <c r="AV150" t="inlineStr"/>
      <c r="AW150" t="inlineStr"/>
      <c r="AX150" t="inlineStr"/>
      <c r="AY150" t="inlineStr"/>
      <c r="AZ150" t="inlineStr"/>
      <c r="BA150" t="inlineStr"/>
      <c r="BB150" t="inlineStr"/>
      <c r="BC150" t="inlineStr"/>
      <c r="BD150" t="inlineStr"/>
      <c r="BE150" t="inlineStr"/>
      <c r="BF150" t="inlineStr"/>
      <c r="BG150" t="n">
        <v>0</v>
      </c>
      <c r="BH150" t="inlineStr">
        <is>
          <t xml:space="preserve">
wegen Rücken</t>
        </is>
      </c>
      <c r="BI150" t="inlineStr"/>
      <c r="BJ150" t="inlineStr"/>
      <c r="BK150" t="inlineStr"/>
      <c r="BL150" t="inlineStr"/>
      <c r="BM150" t="inlineStr">
        <is>
          <t>n</t>
        </is>
      </c>
      <c r="BN150" t="n">
        <v>0</v>
      </c>
      <c r="BO150" t="inlineStr"/>
      <c r="BP150" t="inlineStr"/>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c r="DC150" t="inlineStr"/>
      <c r="DD150" t="inlineStr"/>
      <c r="DE150" t="inlineStr"/>
      <c r="DF150" t="inlineStr"/>
      <c r="DG150" t="inlineStr"/>
    </row>
    <row r="151">
      <c r="A151" t="inlineStr">
        <is>
          <t>III</t>
        </is>
      </c>
      <c r="B151" t="b">
        <v>1</v>
      </c>
      <c r="C151" t="inlineStr"/>
      <c r="D151" t="inlineStr"/>
      <c r="E151" t="n">
        <v>177</v>
      </c>
      <c r="F151">
        <f>HYPERLINK("https://portal.dnb.de/opac.htm?method=simpleSearch&amp;cqlMode=true&amp;query=idn%3D1066964424", "Portal")</f>
        <v/>
      </c>
      <c r="G151" t="inlineStr">
        <is>
          <t>Aaf</t>
        </is>
      </c>
      <c r="H151" t="inlineStr">
        <is>
          <t>L-1538-315494654</t>
        </is>
      </c>
      <c r="I151" t="inlineStr">
        <is>
          <t>1066964424</t>
        </is>
      </c>
      <c r="J151" t="inlineStr">
        <is>
          <t>III 6, 33 a</t>
        </is>
      </c>
      <c r="K151" t="inlineStr">
        <is>
          <t>III 6, 33 a</t>
        </is>
      </c>
      <c r="L151" t="inlineStr">
        <is>
          <t>III 6, 33 a</t>
        </is>
      </c>
      <c r="M151" t="inlineStr"/>
      <c r="N151" t="inlineStr">
        <is>
          <t xml:space="preserve">LEXIKON|| BARINU PHABO||RINU KAMERTOS TU TES NUKAIRIAS|| EPISKOPU, TO MEGA KAI PANY OPHELIMON,|| : </t>
        </is>
      </c>
      <c r="O151" t="inlineStr">
        <is>
          <t xml:space="preserve"> : </t>
        </is>
      </c>
      <c r="P151" t="inlineStr"/>
      <c r="Q151" t="inlineStr"/>
      <c r="R151" t="inlineStr"/>
      <c r="S151" t="inlineStr">
        <is>
          <t>bis 35 cm</t>
        </is>
      </c>
      <c r="T151" t="inlineStr"/>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is>
          <t>HD</t>
        </is>
      </c>
      <c r="AJ151" t="inlineStr"/>
      <c r="AK151" t="inlineStr"/>
      <c r="AL151" t="inlineStr"/>
      <c r="AM151" t="inlineStr">
        <is>
          <t>f</t>
        </is>
      </c>
      <c r="AN151" t="inlineStr"/>
      <c r="AO151" t="inlineStr"/>
      <c r="AP151" t="inlineStr"/>
      <c r="AQ151" t="inlineStr"/>
      <c r="AR151" t="inlineStr">
        <is>
          <t>x</t>
        </is>
      </c>
      <c r="AS151" t="inlineStr">
        <is>
          <t>Pa</t>
        </is>
      </c>
      <c r="AT151" t="inlineStr"/>
      <c r="AU151" t="inlineStr"/>
      <c r="AV151" t="inlineStr"/>
      <c r="AW151" t="inlineStr"/>
      <c r="AX151" t="inlineStr"/>
      <c r="AY151" t="inlineStr"/>
      <c r="AZ151" t="inlineStr"/>
      <c r="BA151" t="inlineStr"/>
      <c r="BB151" t="inlineStr"/>
      <c r="BC151" t="inlineStr"/>
      <c r="BD151" t="inlineStr"/>
      <c r="BE151" t="inlineStr"/>
      <c r="BF151" t="inlineStr"/>
      <c r="BG151" t="n">
        <v>60</v>
      </c>
      <c r="BH151" t="inlineStr"/>
      <c r="BI151" t="inlineStr"/>
      <c r="BJ151" t="inlineStr"/>
      <c r="BK151" t="inlineStr"/>
      <c r="BL151" t="inlineStr">
        <is>
          <t>x</t>
        </is>
      </c>
      <c r="BM151" t="inlineStr">
        <is>
          <t>n</t>
        </is>
      </c>
      <c r="BN151" t="n">
        <v>0</v>
      </c>
      <c r="BO151" t="inlineStr"/>
      <c r="BP151" t="inlineStr">
        <is>
          <t>Gewebe</t>
        </is>
      </c>
      <c r="BQ151" t="inlineStr"/>
      <c r="BR151" t="inlineStr"/>
      <c r="BS151" t="inlineStr"/>
      <c r="BT151" t="inlineStr"/>
      <c r="BU151" t="inlineStr"/>
      <c r="BV151" t="inlineStr">
        <is>
          <t>Blatt mit Notizen zum Buch ist hinten eingeklebt</t>
        </is>
      </c>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row>
    <row r="152">
      <c r="A152" t="inlineStr">
        <is>
          <t>III</t>
        </is>
      </c>
      <c r="B152" t="b">
        <v>1</v>
      </c>
      <c r="C152" t="inlineStr">
        <is>
          <t>x</t>
        </is>
      </c>
      <c r="D152" t="inlineStr"/>
      <c r="E152" t="n">
        <v>178</v>
      </c>
      <c r="F152">
        <f>HYPERLINK("https://portal.dnb.de/opac.htm?method=simpleSearch&amp;cqlMode=true&amp;query=idn%3D995382972", "Portal")</f>
        <v/>
      </c>
      <c r="G152" t="inlineStr">
        <is>
          <t>Aal</t>
        </is>
      </c>
      <c r="H152" t="inlineStr">
        <is>
          <t>L-1543-159380235</t>
        </is>
      </c>
      <c r="I152" t="inlineStr">
        <is>
          <t>995382972</t>
        </is>
      </c>
      <c r="J152" t="inlineStr">
        <is>
          <t>III 6, 33 b</t>
        </is>
      </c>
      <c r="K152" t="inlineStr">
        <is>
          <t>III 6, 33 b</t>
        </is>
      </c>
      <c r="L152" t="inlineStr">
        <is>
          <t>III 6, 33 b</t>
        </is>
      </c>
      <c r="M152" t="inlineStr"/>
      <c r="N152" t="inlineStr">
        <is>
          <t xml:space="preserve">D. Epiphanii Epi||scopi Constantiae Cypri, contra octoaginta [sic!] haereses|| opvs, panarivm, sive arcvla, avt ca||psula Medica appellatum continens </t>
        </is>
      </c>
      <c r="O152" t="inlineStr">
        <is>
          <t xml:space="preserve"> : </t>
        </is>
      </c>
      <c r="P152" t="inlineStr"/>
      <c r="Q152" t="inlineStr"/>
      <c r="R152" t="inlineStr"/>
      <c r="S152" t="inlineStr">
        <is>
          <t>bis 42 cm</t>
        </is>
      </c>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is>
          <t>HD</t>
        </is>
      </c>
      <c r="AJ152" t="inlineStr"/>
      <c r="AK152" t="inlineStr"/>
      <c r="AL152" t="inlineStr"/>
      <c r="AM152" t="inlineStr">
        <is>
          <t>f</t>
        </is>
      </c>
      <c r="AN152" t="inlineStr"/>
      <c r="AO152" t="inlineStr"/>
      <c r="AP152" t="inlineStr"/>
      <c r="AQ152" t="inlineStr"/>
      <c r="AR152" t="inlineStr"/>
      <c r="AS152" t="inlineStr">
        <is>
          <t>Pa</t>
        </is>
      </c>
      <c r="AT152" t="inlineStr"/>
      <c r="AU152" t="inlineStr"/>
      <c r="AV152" t="inlineStr"/>
      <c r="AW152" t="inlineStr"/>
      <c r="AX152" t="inlineStr"/>
      <c r="AY152" t="inlineStr"/>
      <c r="AZ152" t="inlineStr"/>
      <c r="BA152" t="inlineStr"/>
      <c r="BB152" t="inlineStr"/>
      <c r="BC152" t="inlineStr"/>
      <c r="BD152" t="inlineStr"/>
      <c r="BE152" t="inlineStr"/>
      <c r="BF152" t="inlineStr"/>
      <c r="BG152" t="n">
        <v>60</v>
      </c>
      <c r="BH152" t="inlineStr"/>
      <c r="BI152" t="inlineStr"/>
      <c r="BJ152" t="inlineStr"/>
      <c r="BK152" t="inlineStr"/>
      <c r="BL152" t="inlineStr"/>
      <c r="BM152" t="inlineStr">
        <is>
          <t>ja vor</t>
        </is>
      </c>
      <c r="BN152" t="n">
        <v>2</v>
      </c>
      <c r="BO152" t="inlineStr"/>
      <c r="BP152" t="inlineStr"/>
      <c r="BQ152" t="inlineStr"/>
      <c r="BR152" t="inlineStr"/>
      <c r="BS152" t="inlineStr"/>
      <c r="BT152" t="inlineStr">
        <is>
          <t>x sauer</t>
        </is>
      </c>
      <c r="BU152" t="inlineStr">
        <is>
          <t>x</t>
        </is>
      </c>
      <c r="BV152" t="inlineStr"/>
      <c r="BW152" t="inlineStr"/>
      <c r="BX152" t="inlineStr"/>
      <c r="BY152" t="inlineStr">
        <is>
          <t>Box (sperrt)</t>
        </is>
      </c>
      <c r="BZ152" t="inlineStr"/>
      <c r="CA152" t="inlineStr">
        <is>
          <t>x</t>
        </is>
      </c>
      <c r="CB152" t="inlineStr">
        <is>
          <t>x</t>
        </is>
      </c>
      <c r="CC152" t="inlineStr"/>
      <c r="CD152" t="inlineStr">
        <is>
          <t>v</t>
        </is>
      </c>
      <c r="CE152" t="inlineStr"/>
      <c r="CF152" t="inlineStr"/>
      <c r="CG152" t="inlineStr"/>
      <c r="CH152" t="inlineStr"/>
      <c r="CI152" t="inlineStr"/>
      <c r="CJ152" t="inlineStr"/>
      <c r="CK152" t="inlineStr"/>
      <c r="CL152" t="inlineStr"/>
      <c r="CM152" t="n">
        <v>2</v>
      </c>
      <c r="CN152" t="inlineStr">
        <is>
          <t>Gelenk evtl. mit Leder anstatt JP unterlegen wegen Flexibilität</t>
        </is>
      </c>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c r="DC152" t="inlineStr"/>
      <c r="DD152" t="inlineStr"/>
      <c r="DE152" t="inlineStr"/>
      <c r="DF152" t="inlineStr"/>
      <c r="DG152" t="inlineStr"/>
    </row>
    <row r="153">
      <c r="A153" t="inlineStr">
        <is>
          <t>III</t>
        </is>
      </c>
      <c r="B153" t="b">
        <v>1</v>
      </c>
      <c r="C153" t="inlineStr">
        <is>
          <t>x</t>
        </is>
      </c>
      <c r="D153" t="inlineStr"/>
      <c r="E153" t="n">
        <v>115</v>
      </c>
      <c r="F153">
        <f>HYPERLINK("https://portal.dnb.de/opac.htm?method=simpleSearch&amp;cqlMode=true&amp;query=idn%3D1066959285", "Portal")</f>
        <v/>
      </c>
      <c r="G153" t="inlineStr">
        <is>
          <t>Aaf</t>
        </is>
      </c>
      <c r="H153" t="inlineStr">
        <is>
          <t>L-1543-315489871</t>
        </is>
      </c>
      <c r="I153" t="inlineStr">
        <is>
          <t>1066959285</t>
        </is>
      </c>
      <c r="J153" t="inlineStr">
        <is>
          <t>III 6, 34</t>
        </is>
      </c>
      <c r="K153" t="inlineStr">
        <is>
          <t>III 6, 34</t>
        </is>
      </c>
      <c r="L153" t="inlineStr">
        <is>
          <t>III 6, 34</t>
        </is>
      </c>
      <c r="M153" t="inlineStr"/>
      <c r="N153" t="inlineStr">
        <is>
          <t>DEn @Nieuwen Herbarius/|| dat is/ dboeck vanden cruy=||den/ int welcke met groote neersti=||cheyt bescreuen is niet alleen die gantse historie ...|| v</t>
        </is>
      </c>
      <c r="O153" t="inlineStr">
        <is>
          <t xml:space="preserve"> : </t>
        </is>
      </c>
      <c r="P153" t="inlineStr">
        <is>
          <t>X</t>
        </is>
      </c>
      <c r="Q153" t="inlineStr"/>
      <c r="R153" t="inlineStr">
        <is>
          <t>Halbledereinband, Schließen, erhabene Buchbeschläge</t>
        </is>
      </c>
      <c r="S153" t="inlineStr">
        <is>
          <t>bis 35 cm</t>
        </is>
      </c>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is>
          <t>HL</t>
        </is>
      </c>
      <c r="AJ153" t="inlineStr"/>
      <c r="AK153" t="inlineStr">
        <is>
          <t>x</t>
        </is>
      </c>
      <c r="AL153" t="inlineStr"/>
      <c r="AM153" t="inlineStr">
        <is>
          <t>f/V</t>
        </is>
      </c>
      <c r="AN153" t="inlineStr"/>
      <c r="AO153" t="inlineStr"/>
      <c r="AP153" t="inlineStr"/>
      <c r="AQ153" t="inlineStr"/>
      <c r="AR153" t="inlineStr"/>
      <c r="AS153" t="inlineStr">
        <is>
          <t>Pa</t>
        </is>
      </c>
      <c r="AT153" t="inlineStr"/>
      <c r="AU153" t="inlineStr"/>
      <c r="AV153" t="inlineStr"/>
      <c r="AW153" t="inlineStr"/>
      <c r="AX153" t="inlineStr"/>
      <c r="AY153" t="inlineStr"/>
      <c r="AZ153" t="inlineStr"/>
      <c r="BA153" t="inlineStr"/>
      <c r="BB153" t="inlineStr"/>
      <c r="BC153" t="inlineStr"/>
      <c r="BD153" t="inlineStr"/>
      <c r="BE153" t="inlineStr"/>
      <c r="BF153" t="inlineStr"/>
      <c r="BG153" t="n">
        <v>45</v>
      </c>
      <c r="BH153" t="inlineStr"/>
      <c r="BI153" t="inlineStr"/>
      <c r="BJ153" t="inlineStr"/>
      <c r="BK153" t="inlineStr"/>
      <c r="BL153" t="inlineStr"/>
      <c r="BM153" t="inlineStr">
        <is>
          <t>ja vor</t>
        </is>
      </c>
      <c r="BN153" t="n">
        <v>6</v>
      </c>
      <c r="BO153" t="inlineStr"/>
      <c r="BP153" t="inlineStr"/>
      <c r="BQ153" t="inlineStr"/>
      <c r="BR153" t="inlineStr">
        <is>
          <t>x</t>
        </is>
      </c>
      <c r="BS153" t="inlineStr"/>
      <c r="BT153" t="inlineStr"/>
      <c r="BU153" t="inlineStr"/>
      <c r="BV153" t="inlineStr"/>
      <c r="BW153" t="inlineStr"/>
      <c r="BX153" t="inlineStr"/>
      <c r="BY153" t="inlineStr"/>
      <c r="BZ153" t="inlineStr">
        <is>
          <t>x</t>
        </is>
      </c>
      <c r="CA153" t="inlineStr">
        <is>
          <t>x</t>
        </is>
      </c>
      <c r="CB153" t="inlineStr">
        <is>
          <t>x</t>
        </is>
      </c>
      <c r="CC153" t="inlineStr"/>
      <c r="CD153" t="inlineStr">
        <is>
          <t>v/h</t>
        </is>
      </c>
      <c r="CE153" t="inlineStr"/>
      <c r="CF153" t="inlineStr"/>
      <c r="CG153" t="inlineStr"/>
      <c r="CH153" t="inlineStr"/>
      <c r="CI153" t="inlineStr"/>
      <c r="CJ153" t="inlineStr"/>
      <c r="CK153" t="inlineStr"/>
      <c r="CL153" t="inlineStr"/>
      <c r="CM153" t="n">
        <v>6</v>
      </c>
      <c r="CN153" t="inlineStr">
        <is>
          <t>loses Material fixieren, Gelenke mit JP unterlegen</t>
        </is>
      </c>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row>
    <row r="154">
      <c r="A154" t="inlineStr">
        <is>
          <t>III</t>
        </is>
      </c>
      <c r="B154" t="b">
        <v>1</v>
      </c>
      <c r="C154" t="inlineStr"/>
      <c r="D154" t="inlineStr"/>
      <c r="E154" t="n">
        <v>180</v>
      </c>
      <c r="F154">
        <f>HYPERLINK("https://portal.dnb.de/opac.htm?method=simpleSearch&amp;cqlMode=true&amp;query=idn%3D1002740738", "Portal")</f>
        <v/>
      </c>
      <c r="G154" t="inlineStr">
        <is>
          <t>Aal</t>
        </is>
      </c>
      <c r="H154" t="inlineStr">
        <is>
          <t>L-1553-177913002</t>
        </is>
      </c>
      <c r="I154" t="inlineStr">
        <is>
          <t>1002740738</t>
        </is>
      </c>
      <c r="J154" t="inlineStr">
        <is>
          <t>III 6, 34a</t>
        </is>
      </c>
      <c r="K154" t="inlineStr">
        <is>
          <t>III 6, 34a</t>
        </is>
      </c>
      <c r="L154" t="inlineStr">
        <is>
          <t>III 6, 34 a</t>
        </is>
      </c>
      <c r="M154" t="inlineStr"/>
      <c r="N154" t="inlineStr">
        <is>
          <t>Polydori Vergilii|| Vrbinatis de rerum inuen=||toribus libri octo : eiusdem in dominicam precem|| commentariolum</t>
        </is>
      </c>
      <c r="O154" t="inlineStr">
        <is>
          <t xml:space="preserve"> : </t>
        </is>
      </c>
      <c r="P154" t="inlineStr">
        <is>
          <t>X</t>
        </is>
      </c>
      <c r="Q154" t="inlineStr">
        <is>
          <t>439,00 EUR</t>
        </is>
      </c>
      <c r="R154" t="inlineStr">
        <is>
          <t>Ledereinband, Schließen, erhabene Buchbeschläge</t>
        </is>
      </c>
      <c r="S154" t="inlineStr">
        <is>
          <t>bis 25 cm</t>
        </is>
      </c>
      <c r="T154" t="inlineStr">
        <is>
          <t>80° bis 110°, einseitig digitalisierbar?</t>
        </is>
      </c>
      <c r="U154" t="inlineStr">
        <is>
          <t>welliger Buchblock</t>
        </is>
      </c>
      <c r="V154" t="inlineStr"/>
      <c r="W154" t="inlineStr">
        <is>
          <t>Kassette</t>
        </is>
      </c>
      <c r="X154" t="inlineStr">
        <is>
          <t>Nein</t>
        </is>
      </c>
      <c r="Y154" t="n">
        <v>0</v>
      </c>
      <c r="Z154" t="inlineStr"/>
      <c r="AA154" t="inlineStr">
        <is>
          <t>gereinigt</t>
        </is>
      </c>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n">
        <v>0</v>
      </c>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c r="DD154" t="inlineStr"/>
      <c r="DE154" t="inlineStr"/>
      <c r="DF154" t="inlineStr"/>
      <c r="DG154" t="inlineStr"/>
    </row>
    <row r="155">
      <c r="A155" t="inlineStr">
        <is>
          <t>III</t>
        </is>
      </c>
      <c r="B155" t="b">
        <v>1</v>
      </c>
      <c r="C155" t="inlineStr"/>
      <c r="D155" t="inlineStr"/>
      <c r="E155" t="n">
        <v>181</v>
      </c>
      <c r="F155">
        <f>HYPERLINK("https://portal.dnb.de/opac.htm?method=simpleSearch&amp;cqlMode=true&amp;query=idn%3D1000079600", "Portal")</f>
        <v/>
      </c>
      <c r="G155" t="inlineStr">
        <is>
          <t>Aal</t>
        </is>
      </c>
      <c r="H155" t="inlineStr">
        <is>
          <t>L-1549-169972550</t>
        </is>
      </c>
      <c r="I155" t="inlineStr">
        <is>
          <t>1000079600</t>
        </is>
      </c>
      <c r="J155" t="inlineStr">
        <is>
          <t>III 6, 34b</t>
        </is>
      </c>
      <c r="K155" t="inlineStr">
        <is>
          <t>III 6, 34b</t>
        </is>
      </c>
      <c r="L155" t="inlineStr">
        <is>
          <t>III 6, 34 b</t>
        </is>
      </c>
      <c r="M155" t="inlineStr"/>
      <c r="N155" t="inlineStr">
        <is>
          <t xml:space="preserve">Plutarchi Chero||nei Graecorum Romanorum-||que illustrium vitae||... : </t>
        </is>
      </c>
      <c r="O155" t="inlineStr">
        <is>
          <t xml:space="preserve"> : </t>
        </is>
      </c>
      <c r="P155" t="inlineStr"/>
      <c r="Q155" t="inlineStr"/>
      <c r="R155" t="inlineStr"/>
      <c r="S155" t="inlineStr">
        <is>
          <t>bis 42 cm</t>
        </is>
      </c>
      <c r="T155" t="inlineStr"/>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is>
          <t>HD</t>
        </is>
      </c>
      <c r="AJ155" t="inlineStr"/>
      <c r="AK155" t="inlineStr"/>
      <c r="AL155" t="inlineStr"/>
      <c r="AM155" t="inlineStr">
        <is>
          <t>f</t>
        </is>
      </c>
      <c r="AN155" t="inlineStr"/>
      <c r="AO155" t="inlineStr"/>
      <c r="AP155" t="inlineStr"/>
      <c r="AQ155" t="inlineStr"/>
      <c r="AR155" t="inlineStr"/>
      <c r="AS155" t="inlineStr">
        <is>
          <t>Pa</t>
        </is>
      </c>
      <c r="AT155" t="inlineStr"/>
      <c r="AU155" t="inlineStr"/>
      <c r="AV155" t="inlineStr"/>
      <c r="AW155" t="inlineStr"/>
      <c r="AX155" t="inlineStr"/>
      <c r="AY155" t="inlineStr"/>
      <c r="AZ155" t="inlineStr"/>
      <c r="BA155" t="inlineStr"/>
      <c r="BB155" t="inlineStr"/>
      <c r="BC155" t="inlineStr"/>
      <c r="BD155" t="inlineStr"/>
      <c r="BE155" t="inlineStr"/>
      <c r="BF155" t="inlineStr"/>
      <c r="BG155" t="n">
        <v>60</v>
      </c>
      <c r="BH155" t="inlineStr"/>
      <c r="BI155" t="inlineStr"/>
      <c r="BJ155" t="inlineStr"/>
      <c r="BK155" t="inlineStr"/>
      <c r="BL155" t="inlineStr"/>
      <c r="BM155" t="inlineStr">
        <is>
          <t>n</t>
        </is>
      </c>
      <c r="BN155" t="n">
        <v>0</v>
      </c>
      <c r="BO155" t="inlineStr"/>
      <c r="BP155" t="inlineStr"/>
      <c r="BQ155" t="inlineStr">
        <is>
          <t>x</t>
        </is>
      </c>
      <c r="BR155" t="inlineStr"/>
      <c r="BS155" t="inlineStr"/>
      <c r="BT155" t="inlineStr"/>
      <c r="BU155" t="inlineStr">
        <is>
          <t>x</t>
        </is>
      </c>
      <c r="BV155" t="inlineStr">
        <is>
          <t>Schuber etwas eng --&gt; Reibung --&gt; besser Box</t>
        </is>
      </c>
      <c r="BW155" t="inlineStr"/>
      <c r="BX155" t="inlineStr"/>
      <c r="BY155" t="inlineStr">
        <is>
          <t>Box (sperrt)</t>
        </is>
      </c>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c r="DC155" t="inlineStr"/>
      <c r="DD155" t="inlineStr"/>
      <c r="DE155" t="inlineStr"/>
      <c r="DF155" t="inlineStr"/>
      <c r="DG155" t="inlineStr"/>
    </row>
    <row r="156">
      <c r="A156" t="inlineStr">
        <is>
          <t>III</t>
        </is>
      </c>
      <c r="B156" t="b">
        <v>1</v>
      </c>
      <c r="C156" t="inlineStr"/>
      <c r="D156" t="inlineStr"/>
      <c r="E156" t="n">
        <v>182</v>
      </c>
      <c r="F156">
        <f>HYPERLINK("https://portal.dnb.de/opac.htm?method=simpleSearch&amp;cqlMode=true&amp;query=idn%3D1003588670", "Portal")</f>
        <v/>
      </c>
      <c r="G156" t="inlineStr">
        <is>
          <t>Afl</t>
        </is>
      </c>
      <c r="H156" t="inlineStr">
        <is>
          <t>L-1551-180257552</t>
        </is>
      </c>
      <c r="I156" t="inlineStr">
        <is>
          <t>1003588670</t>
        </is>
      </c>
      <c r="J156" t="inlineStr">
        <is>
          <t>III 6, 34c</t>
        </is>
      </c>
      <c r="K156" t="inlineStr">
        <is>
          <t>III 6, 34c</t>
        </is>
      </c>
      <c r="L156" t="inlineStr">
        <is>
          <t>III 6, 34 c</t>
        </is>
      </c>
      <c r="M156" t="inlineStr"/>
      <c r="N156" t="inlineStr">
        <is>
          <t>Xenophontis ... opera, quae quidem Graece extant, omnia, iam partin olim, partim nunc primum ... in latinam linguam conversa atque nunc postremum</t>
        </is>
      </c>
      <c r="O156" t="inlineStr">
        <is>
          <t xml:space="preserve">(P. 1) : </t>
        </is>
      </c>
      <c r="P156" t="inlineStr"/>
      <c r="Q156" t="inlineStr"/>
      <c r="R156" t="inlineStr">
        <is>
          <t>Ledereinband</t>
        </is>
      </c>
      <c r="S156" t="inlineStr">
        <is>
          <t>bis 25 cm</t>
        </is>
      </c>
      <c r="T156" t="inlineStr">
        <is>
          <t>nur sehr geringer Öffnungswinkel</t>
        </is>
      </c>
      <c r="U156" t="inlineStr">
        <is>
          <t>fester Rücken mit Schmuckprägung, Schrift bis in den Falz</t>
        </is>
      </c>
      <c r="V156" t="inlineStr"/>
      <c r="W156" t="inlineStr">
        <is>
          <t>Kassette</t>
        </is>
      </c>
      <c r="X156" t="inlineStr">
        <is>
          <t>Nein</t>
        </is>
      </c>
      <c r="Y156" t="n">
        <v>0</v>
      </c>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inlineStr"/>
      <c r="BI156" t="inlineStr"/>
      <c r="BJ156" t="inlineStr"/>
      <c r="BK156" t="inlineStr"/>
      <c r="BL156" t="inlineStr"/>
      <c r="BM156" t="inlineStr"/>
      <c r="BN156" t="n">
        <v>0</v>
      </c>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c r="DC156" t="inlineStr"/>
      <c r="DD156" t="inlineStr"/>
      <c r="DE156" t="inlineStr"/>
      <c r="DF156" t="inlineStr"/>
      <c r="DG156" t="inlineStr"/>
    </row>
    <row r="157">
      <c r="A157" t="inlineStr">
        <is>
          <t>III</t>
        </is>
      </c>
      <c r="B157" t="b">
        <v>1</v>
      </c>
      <c r="C157" t="inlineStr"/>
      <c r="D157" t="inlineStr"/>
      <c r="E157" t="n">
        <v>116</v>
      </c>
      <c r="F157">
        <f>HYPERLINK("https://portal.dnb.de/opac.htm?method=simpleSearch&amp;cqlMode=true&amp;query=idn%3D1066959897", "Portal")</f>
        <v/>
      </c>
      <c r="G157" t="inlineStr">
        <is>
          <t>Aaf</t>
        </is>
      </c>
      <c r="H157" t="inlineStr">
        <is>
          <t>L-1543-315490411</t>
        </is>
      </c>
      <c r="I157" t="inlineStr">
        <is>
          <t>1066959897</t>
        </is>
      </c>
      <c r="J157" t="inlineStr">
        <is>
          <t>III 6, 35</t>
        </is>
      </c>
      <c r="K157" t="inlineStr">
        <is>
          <t>III 6, 35</t>
        </is>
      </c>
      <c r="L157" t="inlineStr">
        <is>
          <t>III 6, 35</t>
        </is>
      </c>
      <c r="M157" t="inlineStr"/>
      <c r="N157" t="inlineStr">
        <is>
          <t xml:space="preserve">MARCELLI : </t>
        </is>
      </c>
      <c r="O157" t="inlineStr">
        <is>
          <t xml:space="preserve"> : </t>
        </is>
      </c>
      <c r="P157" t="inlineStr">
        <is>
          <t>X</t>
        </is>
      </c>
      <c r="Q157" t="inlineStr"/>
      <c r="R157" t="inlineStr">
        <is>
          <t>Ledereinband, Schließen, erhabene Buchbeschläge</t>
        </is>
      </c>
      <c r="S157" t="inlineStr">
        <is>
          <t>bis 25 cm</t>
        </is>
      </c>
      <c r="T157" t="inlineStr">
        <is>
          <t>nur sehr geringer Öffnungswinkel</t>
        </is>
      </c>
      <c r="U157" t="inlineStr">
        <is>
          <t>fester Rücken mit Schmuckprägung, Schrift bis in den Falz</t>
        </is>
      </c>
      <c r="V157" t="inlineStr"/>
      <c r="W157" t="inlineStr">
        <is>
          <t>Kassette</t>
        </is>
      </c>
      <c r="X157" t="inlineStr">
        <is>
          <t>Nein</t>
        </is>
      </c>
      <c r="Y157" t="n">
        <v>0</v>
      </c>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n">
        <v>0</v>
      </c>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c r="DD157" t="inlineStr"/>
      <c r="DE157" t="inlineStr"/>
      <c r="DF157" t="inlineStr"/>
      <c r="DG157" t="inlineStr"/>
    </row>
    <row r="158">
      <c r="A158" t="inlineStr">
        <is>
          <t>III</t>
        </is>
      </c>
      <c r="B158" t="b">
        <v>1</v>
      </c>
      <c r="C158" t="inlineStr"/>
      <c r="D158" t="inlineStr"/>
      <c r="E158" t="n">
        <v>117</v>
      </c>
      <c r="F158">
        <f>HYPERLINK("https://portal.dnb.de/opac.htm?method=simpleSearch&amp;cqlMode=true&amp;query=idn%3D1066964203", "Portal")</f>
        <v/>
      </c>
      <c r="G158" t="inlineStr">
        <is>
          <t>Aaf</t>
        </is>
      </c>
      <c r="H158" t="inlineStr">
        <is>
          <t>L-1543-315494433</t>
        </is>
      </c>
      <c r="I158" t="inlineStr">
        <is>
          <t>1066964203</t>
        </is>
      </c>
      <c r="J158" t="inlineStr">
        <is>
          <t>III 6, 36</t>
        </is>
      </c>
      <c r="K158" t="inlineStr">
        <is>
          <t>III 6, 36</t>
        </is>
      </c>
      <c r="L158" t="inlineStr">
        <is>
          <t>III 6, 36</t>
        </is>
      </c>
      <c r="M158" t="inlineStr"/>
      <c r="N158" t="inlineStr">
        <is>
          <t>VOn der waren|| Christenlichen/ vñ erdach=||ten Entchristische? Kirch?/ der? Haubt|| Statthalter/ Gwalt vnd Schlüssel. Auch was|| ein K#[ae]tzer/ rech</t>
        </is>
      </c>
      <c r="O158" t="inlineStr">
        <is>
          <t xml:space="preserve"> : </t>
        </is>
      </c>
      <c r="P158" t="inlineStr"/>
      <c r="Q158" t="inlineStr"/>
      <c r="R158" t="inlineStr"/>
      <c r="S158" t="inlineStr"/>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n">
        <v>0</v>
      </c>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c r="DD158" t="inlineStr"/>
      <c r="DE158" t="inlineStr"/>
      <c r="DF158" t="inlineStr"/>
      <c r="DG158" t="inlineStr"/>
    </row>
    <row r="159">
      <c r="A159" t="inlineStr">
        <is>
          <t>III</t>
        </is>
      </c>
      <c r="B159" t="b">
        <v>1</v>
      </c>
      <c r="C159" t="inlineStr"/>
      <c r="D159" t="inlineStr"/>
      <c r="E159" t="n">
        <v>183</v>
      </c>
      <c r="F159">
        <f>HYPERLINK("https://portal.dnb.de/opac.htm?method=simpleSearch&amp;cqlMode=true&amp;query=idn%3D1003299857", "Portal")</f>
        <v/>
      </c>
      <c r="G159" t="inlineStr">
        <is>
          <t>Aal</t>
        </is>
      </c>
      <c r="H159" t="inlineStr">
        <is>
          <t>L-1538-179398717</t>
        </is>
      </c>
      <c r="I159" t="inlineStr">
        <is>
          <t>1003299857</t>
        </is>
      </c>
      <c r="J159" t="inlineStr">
        <is>
          <t>III 6, 36a</t>
        </is>
      </c>
      <c r="K159" t="inlineStr">
        <is>
          <t>III 6, 36a</t>
        </is>
      </c>
      <c r="L159" t="inlineStr">
        <is>
          <t>III 6, 36 a</t>
        </is>
      </c>
      <c r="M159" t="inlineStr"/>
      <c r="N159" t="inlineStr">
        <is>
          <t xml:space="preserve">EN DAMVS LECTOR|| CONCILIA||TIONEM SACRAE SCRIPTVRAE|| &amp; Patrum, iam denuo reuisam &amp; auctam, ...|| : </t>
        </is>
      </c>
      <c r="O159" t="inlineStr">
        <is>
          <t xml:space="preserve"> : </t>
        </is>
      </c>
      <c r="P159" t="inlineStr"/>
      <c r="Q159" t="inlineStr"/>
      <c r="R159" t="inlineStr"/>
      <c r="S159" t="inlineStr"/>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n">
        <v>0</v>
      </c>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c r="DC159" t="inlineStr"/>
      <c r="DD159" t="inlineStr"/>
      <c r="DE159" t="inlineStr"/>
      <c r="DF159" t="inlineStr"/>
      <c r="DG159" t="inlineStr"/>
    </row>
    <row r="160">
      <c r="A160" t="inlineStr">
        <is>
          <t>III</t>
        </is>
      </c>
      <c r="B160" t="b">
        <v>1</v>
      </c>
      <c r="C160" t="inlineStr">
        <is>
          <t>x</t>
        </is>
      </c>
      <c r="D160" t="inlineStr"/>
      <c r="E160" t="n">
        <v>118</v>
      </c>
      <c r="F160">
        <f>HYPERLINK("https://portal.dnb.de/opac.htm?method=simpleSearch&amp;cqlMode=true&amp;query=idn%3D997291915", "Portal")</f>
        <v/>
      </c>
      <c r="G160" t="inlineStr">
        <is>
          <t>Afl</t>
        </is>
      </c>
      <c r="H160" t="inlineStr">
        <is>
          <t>L-1551-163598088</t>
        </is>
      </c>
      <c r="I160" t="inlineStr">
        <is>
          <t>997291915</t>
        </is>
      </c>
      <c r="J160" t="inlineStr">
        <is>
          <t>III 6, 37</t>
        </is>
      </c>
      <c r="K160" t="inlineStr">
        <is>
          <t>III 6, 37</t>
        </is>
      </c>
      <c r="L160" t="inlineStr">
        <is>
          <t>III 6, 37</t>
        </is>
      </c>
      <c r="M160" t="inlineStr"/>
      <c r="N160" t="inlineStr">
        <is>
          <t>Poetarvm Omnivm Secv-||lorvm Longe Principis|| HOMERI,|| Omnia qvae qvi||dem extant opera graece,|| Adiecta versione latina ad verbvm,|| ...</t>
        </is>
      </c>
      <c r="O160" t="inlineStr">
        <is>
          <t>[2.] : Odyssea</t>
        </is>
      </c>
      <c r="P160" t="inlineStr"/>
      <c r="Q160" t="inlineStr"/>
      <c r="R160" t="inlineStr"/>
      <c r="S160" t="inlineStr">
        <is>
          <t>bis 35 cm</t>
        </is>
      </c>
      <c r="T160" t="inlineStr"/>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is>
          <t>Pg</t>
        </is>
      </c>
      <c r="AJ160" t="inlineStr"/>
      <c r="AK160" t="inlineStr">
        <is>
          <t>x</t>
        </is>
      </c>
      <c r="AL160" t="inlineStr"/>
      <c r="AM160" t="inlineStr">
        <is>
          <t>h</t>
        </is>
      </c>
      <c r="AN160" t="inlineStr">
        <is>
          <t>x</t>
        </is>
      </c>
      <c r="AO160" t="inlineStr"/>
      <c r="AP160" t="inlineStr"/>
      <c r="AQ160" t="inlineStr"/>
      <c r="AR160" t="inlineStr"/>
      <c r="AS160" t="inlineStr">
        <is>
          <t>Pa</t>
        </is>
      </c>
      <c r="AT160" t="inlineStr"/>
      <c r="AU160" t="inlineStr"/>
      <c r="AV160" t="inlineStr"/>
      <c r="AW160" t="inlineStr"/>
      <c r="AX160" t="inlineStr"/>
      <c r="AY160" t="inlineStr"/>
      <c r="AZ160" t="inlineStr"/>
      <c r="BA160" t="inlineStr"/>
      <c r="BB160" t="inlineStr"/>
      <c r="BC160" t="inlineStr"/>
      <c r="BD160" t="inlineStr"/>
      <c r="BE160" t="inlineStr"/>
      <c r="BF160" t="inlineStr"/>
      <c r="BG160" t="n">
        <v>110</v>
      </c>
      <c r="BH160" t="inlineStr"/>
      <c r="BI160" t="inlineStr"/>
      <c r="BJ160" t="inlineStr"/>
      <c r="BK160" t="inlineStr"/>
      <c r="BL160" t="inlineStr"/>
      <c r="BM160" t="inlineStr">
        <is>
          <t>ja vor</t>
        </is>
      </c>
      <c r="BN160" t="n">
        <v>0.5</v>
      </c>
      <c r="BO160" t="inlineStr"/>
      <c r="BP160" t="inlineStr"/>
      <c r="BQ160" t="inlineStr"/>
      <c r="BR160" t="inlineStr">
        <is>
          <t>x</t>
        </is>
      </c>
      <c r="BS160" t="inlineStr"/>
      <c r="BT160" t="inlineStr"/>
      <c r="BU160" t="inlineStr"/>
      <c r="BV160" t="inlineStr"/>
      <c r="BW160" t="inlineStr"/>
      <c r="BX160" t="inlineStr"/>
      <c r="BY160" t="inlineStr"/>
      <c r="BZ160" t="inlineStr">
        <is>
          <t>x</t>
        </is>
      </c>
      <c r="CA160" t="inlineStr"/>
      <c r="CB160" t="inlineStr">
        <is>
          <t>x</t>
        </is>
      </c>
      <c r="CC160" t="inlineStr"/>
      <c r="CD160" t="inlineStr"/>
      <c r="CE160" t="inlineStr"/>
      <c r="CF160" t="inlineStr"/>
      <c r="CG160" t="inlineStr"/>
      <c r="CH160" t="inlineStr"/>
      <c r="CI160" t="inlineStr"/>
      <c r="CJ160" t="inlineStr"/>
      <c r="CK160" t="inlineStr"/>
      <c r="CL160" t="inlineStr"/>
      <c r="CM160" t="n">
        <v>0.5</v>
      </c>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c r="DC160" t="inlineStr"/>
      <c r="DD160" t="inlineStr"/>
      <c r="DE160" t="inlineStr"/>
      <c r="DF160" t="inlineStr"/>
      <c r="DG160" t="inlineStr"/>
    </row>
    <row r="161">
      <c r="A161" t="inlineStr">
        <is>
          <t>III</t>
        </is>
      </c>
      <c r="B161" t="b">
        <v>1</v>
      </c>
      <c r="C161" t="inlineStr"/>
      <c r="D161" t="inlineStr"/>
      <c r="E161" t="inlineStr"/>
      <c r="F161">
        <f>HYPERLINK("https://portal.dnb.de/opac.htm?method=simpleSearch&amp;cqlMode=true&amp;query=idn%3D997291877", "Portal")</f>
        <v/>
      </c>
      <c r="G161" t="inlineStr"/>
      <c r="H161" t="inlineStr">
        <is>
          <t>L-1551-163598045</t>
        </is>
      </c>
      <c r="I161" t="inlineStr">
        <is>
          <t>997291877</t>
        </is>
      </c>
      <c r="J161" t="inlineStr"/>
      <c r="K161" t="inlineStr">
        <is>
          <t>III 6, 37</t>
        </is>
      </c>
      <c r="L161" t="inlineStr">
        <is>
          <t>III 6, 37</t>
        </is>
      </c>
      <c r="M161" t="inlineStr"/>
      <c r="N161" t="inlineStr">
        <is>
          <t>Poetarvm Omnivm Secv-||lorvm Longe Principis|| HOMERI,|| Omnia qvae qvi||dem extant opera graece,|| Adiecta versione latina ad verbvm,|| ...</t>
        </is>
      </c>
      <c r="O161" t="inlineStr">
        <is>
          <t>[1.] : [Ilias]</t>
        </is>
      </c>
      <c r="P161" t="inlineStr"/>
      <c r="Q161" t="inlineStr"/>
      <c r="R161" t="inlineStr"/>
      <c r="S161" t="inlineStr"/>
      <c r="T161" t="inlineStr"/>
      <c r="U161" t="inlineStr"/>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inlineStr"/>
      <c r="BI161" t="inlineStr"/>
      <c r="BJ161" t="inlineStr"/>
      <c r="BK161" t="inlineStr"/>
      <c r="BL161" t="inlineStr"/>
      <c r="BM161" t="inlineStr"/>
      <c r="BN161" t="inlineStr"/>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c r="DD161" t="inlineStr"/>
      <c r="DE161" t="inlineStr"/>
      <c r="DF161" t="inlineStr"/>
      <c r="DG161" t="inlineStr"/>
    </row>
    <row r="162">
      <c r="A162" t="inlineStr">
        <is>
          <t>III</t>
        </is>
      </c>
      <c r="B162" t="b">
        <v>1</v>
      </c>
      <c r="C162" t="inlineStr"/>
      <c r="D162" t="inlineStr"/>
      <c r="E162" t="n">
        <v>185</v>
      </c>
      <c r="F162">
        <f>HYPERLINK("https://portal.dnb.de/opac.htm?method=simpleSearch&amp;cqlMode=true&amp;query=idn%3D99729261X", "Portal")</f>
        <v/>
      </c>
      <c r="G162" t="inlineStr">
        <is>
          <t>Afl</t>
        </is>
      </c>
      <c r="H162" t="inlineStr">
        <is>
          <t>L-1553-16359869X</t>
        </is>
      </c>
      <c r="I162" t="inlineStr">
        <is>
          <t>99729261X</t>
        </is>
      </c>
      <c r="J162" t="inlineStr">
        <is>
          <t>III 6, 37a</t>
        </is>
      </c>
      <c r="K162" t="inlineStr">
        <is>
          <t>III 6, 37a</t>
        </is>
      </c>
      <c r="L162" t="inlineStr">
        <is>
          <t>III 6, 37 a</t>
        </is>
      </c>
      <c r="M162" t="inlineStr"/>
      <c r="N162" t="inlineStr">
        <is>
          <t>Poetarvm Omnivm Secv-||lorvm Longe Principis|| HOMERI,|| Omnia qvae qvi||dem extant opera graece,|| Adiecta versione latina ad verbvm,|| ...</t>
        </is>
      </c>
      <c r="O162" t="inlineStr">
        <is>
          <t>[1.] : [Ilias]</t>
        </is>
      </c>
      <c r="P162" t="inlineStr"/>
      <c r="Q162" t="inlineStr"/>
      <c r="R162" t="inlineStr">
        <is>
          <t>Ledereinband, Schließen, erhabene Buchbeschläge</t>
        </is>
      </c>
      <c r="S162" t="inlineStr">
        <is>
          <t>bis 35 cm</t>
        </is>
      </c>
      <c r="T162" t="inlineStr">
        <is>
          <t>80° bis 110°, einseitig digitalisierbar?</t>
        </is>
      </c>
      <c r="U162" t="inlineStr">
        <is>
          <t>Schrift bis in den Falz</t>
        </is>
      </c>
      <c r="V162" t="inlineStr"/>
      <c r="W162" t="inlineStr">
        <is>
          <t>Kassette</t>
        </is>
      </c>
      <c r="X162" t="inlineStr">
        <is>
          <t>Nein, Signaturfahne austauschen</t>
        </is>
      </c>
      <c r="Y162" t="n">
        <v>0</v>
      </c>
      <c r="Z162" t="inlineStr"/>
      <c r="AA162" t="inlineStr"/>
      <c r="AB162" t="inlineStr"/>
      <c r="AC162" t="inlineStr"/>
      <c r="AD162" t="inlineStr"/>
      <c r="AE162" t="inlineStr"/>
      <c r="AF162" t="inlineStr"/>
      <c r="AG162" t="inlineStr"/>
      <c r="AH162" t="inlineStr"/>
      <c r="AI162" t="inlineStr">
        <is>
          <t>HD</t>
        </is>
      </c>
      <c r="AJ162" t="inlineStr"/>
      <c r="AK162" t="inlineStr"/>
      <c r="AL162" t="inlineStr">
        <is>
          <t>x</t>
        </is>
      </c>
      <c r="AM162" t="inlineStr">
        <is>
          <t>f</t>
        </is>
      </c>
      <c r="AN162" t="inlineStr"/>
      <c r="AO162" t="inlineStr"/>
      <c r="AP162" t="inlineStr"/>
      <c r="AQ162" t="inlineStr"/>
      <c r="AR162" t="inlineStr"/>
      <c r="AS162" t="inlineStr">
        <is>
          <t>Pa</t>
        </is>
      </c>
      <c r="AT162" t="inlineStr"/>
      <c r="AU162" t="inlineStr"/>
      <c r="AV162" t="inlineStr"/>
      <c r="AW162" t="inlineStr"/>
      <c r="AX162" t="inlineStr"/>
      <c r="AY162" t="inlineStr"/>
      <c r="AZ162" t="inlineStr"/>
      <c r="BA162" t="inlineStr"/>
      <c r="BB162" t="inlineStr"/>
      <c r="BC162" t="inlineStr"/>
      <c r="BD162" t="inlineStr"/>
      <c r="BE162" t="inlineStr"/>
      <c r="BF162" t="inlineStr"/>
      <c r="BG162" t="n">
        <v>110</v>
      </c>
      <c r="BH162" t="inlineStr"/>
      <c r="BI162" t="inlineStr"/>
      <c r="BJ162" t="inlineStr"/>
      <c r="BK162" t="inlineStr">
        <is>
          <t>x</t>
        </is>
      </c>
      <c r="BL162" t="inlineStr"/>
      <c r="BM162" t="inlineStr">
        <is>
          <t>n</t>
        </is>
      </c>
      <c r="BN162" t="n">
        <v>0</v>
      </c>
      <c r="BO162" t="inlineStr"/>
      <c r="BP162" t="inlineStr">
        <is>
          <t>Gewebe</t>
        </is>
      </c>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row>
    <row r="163">
      <c r="A163" t="inlineStr">
        <is>
          <t>III</t>
        </is>
      </c>
      <c r="B163" t="b">
        <v>1</v>
      </c>
      <c r="C163" t="inlineStr"/>
      <c r="D163" t="inlineStr"/>
      <c r="E163" t="inlineStr"/>
      <c r="F163">
        <f>HYPERLINK("https://portal.dnb.de/opac.htm?method=simpleSearch&amp;cqlMode=true&amp;query=idn%3D997291915", "Portal")</f>
        <v/>
      </c>
      <c r="G163" t="inlineStr"/>
      <c r="H163" t="inlineStr">
        <is>
          <t>L-1551-163598789</t>
        </is>
      </c>
      <c r="I163" t="inlineStr">
        <is>
          <t>997291915</t>
        </is>
      </c>
      <c r="J163" t="inlineStr"/>
      <c r="K163" t="inlineStr">
        <is>
          <t>III 6, 37 a</t>
        </is>
      </c>
      <c r="L163" t="inlineStr">
        <is>
          <t>III 6, 37 a</t>
        </is>
      </c>
      <c r="M163" t="inlineStr"/>
      <c r="N163" t="inlineStr">
        <is>
          <t>Poetarvm Omnivm Secv-||lorvm Longe Principis|| HOMERI,|| Omnia qvae qvi||dem extant opera graece,|| Adiecta versione latina ad verbvm,|| ...</t>
        </is>
      </c>
      <c r="O163" t="inlineStr">
        <is>
          <t>[2.] : Odyssea</t>
        </is>
      </c>
      <c r="P163" t="inlineStr"/>
      <c r="Q163" t="inlineStr"/>
      <c r="R163" t="inlineStr"/>
      <c r="S163" t="inlineStr"/>
      <c r="T163" t="inlineStr"/>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inlineStr"/>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c r="DD163" t="inlineStr"/>
      <c r="DE163" t="inlineStr"/>
      <c r="DF163" t="inlineStr"/>
      <c r="DG163" t="inlineStr"/>
    </row>
    <row r="164">
      <c r="A164" t="inlineStr">
        <is>
          <t>III</t>
        </is>
      </c>
      <c r="B164" t="b">
        <v>1</v>
      </c>
      <c r="C164" t="inlineStr"/>
      <c r="D164" t="inlineStr"/>
      <c r="E164" t="inlineStr"/>
      <c r="F164">
        <f>HYPERLINK("https://portal.dnb.de/opac.htm?method=simpleSearch&amp;cqlMode=true&amp;query=idn%3D1001169433", "Portal")</f>
        <v/>
      </c>
      <c r="G164" t="inlineStr"/>
      <c r="H164" t="inlineStr">
        <is>
          <t>L-1553-173762050</t>
        </is>
      </c>
      <c r="I164" t="inlineStr">
        <is>
          <t>1001169433</t>
        </is>
      </c>
      <c r="J164" t="inlineStr"/>
      <c r="K164" t="inlineStr">
        <is>
          <t>III 6, 37a</t>
        </is>
      </c>
      <c r="L164" t="inlineStr">
        <is>
          <t>III 6, 37a</t>
        </is>
      </c>
      <c r="M164" t="inlineStr"/>
      <c r="N164" t="inlineStr">
        <is>
          <t>Poetarvm Omnivm Secv-||lorvm Longe Principis|| HOMERI,|| Omnia qvae qvi||dem extant opera graece,|| Adiecta versione latina ad verbvm,|| ...</t>
        </is>
      </c>
      <c r="O164" t="inlineStr">
        <is>
          <t>[2.] : Odyssea</t>
        </is>
      </c>
      <c r="P164" t="inlineStr"/>
      <c r="Q164" t="inlineStr"/>
      <c r="R164" t="inlineStr"/>
      <c r="S164" t="inlineStr"/>
      <c r="T164" t="inlineStr"/>
      <c r="U164" t="inlineStr"/>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inlineStr"/>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c r="DC164" t="inlineStr"/>
      <c r="DD164" t="inlineStr"/>
      <c r="DE164" t="inlineStr"/>
      <c r="DF164" t="inlineStr"/>
      <c r="DG164" t="inlineStr"/>
    </row>
    <row r="165">
      <c r="A165" t="inlineStr">
        <is>
          <t>III</t>
        </is>
      </c>
      <c r="B165" t="b">
        <v>1</v>
      </c>
      <c r="C165" t="inlineStr"/>
      <c r="D165" t="inlineStr"/>
      <c r="E165" t="n">
        <v>121</v>
      </c>
      <c r="F165">
        <f>HYPERLINK("https://portal.dnb.de/opac.htm?method=simpleSearch&amp;cqlMode=true&amp;query=idn%3D1066963789", "Portal")</f>
        <v/>
      </c>
      <c r="G165" t="inlineStr">
        <is>
          <t>Aaf</t>
        </is>
      </c>
      <c r="H165" t="inlineStr">
        <is>
          <t>L-1552-315493992</t>
        </is>
      </c>
      <c r="I165" t="inlineStr">
        <is>
          <t>1066963789</t>
        </is>
      </c>
      <c r="J165" t="inlineStr">
        <is>
          <t>III 6, 38</t>
        </is>
      </c>
      <c r="K165" t="inlineStr">
        <is>
          <t>III 6, 38</t>
        </is>
      </c>
      <c r="L165" t="inlineStr">
        <is>
          <t>III 6, 38</t>
        </is>
      </c>
      <c r="M165" t="inlineStr"/>
      <c r="N165" t="inlineStr">
        <is>
          <t xml:space="preserve">Chronicorum summa : </t>
        </is>
      </c>
      <c r="O165" t="inlineStr">
        <is>
          <t xml:space="preserve"> : </t>
        </is>
      </c>
      <c r="P165" t="inlineStr"/>
      <c r="Q165" t="inlineStr"/>
      <c r="R165" t="inlineStr"/>
      <c r="S165" t="inlineStr"/>
      <c r="T165" t="inlineStr"/>
      <c r="U165" t="inlineStr"/>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inlineStr"/>
      <c r="BJ165" t="inlineStr"/>
      <c r="BK165" t="inlineStr"/>
      <c r="BL165" t="inlineStr"/>
      <c r="BM165" t="inlineStr"/>
      <c r="BN165" t="n">
        <v>0</v>
      </c>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c r="DC165" t="inlineStr"/>
      <c r="DD165" t="inlineStr"/>
      <c r="DE165" t="inlineStr"/>
      <c r="DF165" t="inlineStr"/>
      <c r="DG165" t="inlineStr"/>
    </row>
    <row r="166">
      <c r="A166" t="inlineStr">
        <is>
          <t>III</t>
        </is>
      </c>
      <c r="B166" t="b">
        <v>1</v>
      </c>
      <c r="C166" t="inlineStr"/>
      <c r="D166" t="inlineStr"/>
      <c r="E166" t="n">
        <v>124</v>
      </c>
      <c r="F166">
        <f>HYPERLINK("https://portal.dnb.de/opac.htm?method=simpleSearch&amp;cqlMode=true&amp;query=idn%3D995360138", "Portal")</f>
        <v/>
      </c>
      <c r="G166" t="inlineStr">
        <is>
          <t>Aal</t>
        </is>
      </c>
      <c r="H166" t="inlineStr">
        <is>
          <t>L-1555-159344743</t>
        </is>
      </c>
      <c r="I166" t="inlineStr">
        <is>
          <t>995360138</t>
        </is>
      </c>
      <c r="J166" t="inlineStr">
        <is>
          <t>III 6, 40</t>
        </is>
      </c>
      <c r="K166" t="inlineStr">
        <is>
          <t>III 6, 40</t>
        </is>
      </c>
      <c r="L166" t="inlineStr">
        <is>
          <t>III 6, 40</t>
        </is>
      </c>
      <c r="M166" t="inlineStr"/>
      <c r="N166" t="inlineStr">
        <is>
          <t xml:space="preserve">DE CONSCRI||BENDIS EPISTOLIS,|| DES.[iderii] ERASIMO RO||terodami opus.|| : </t>
        </is>
      </c>
      <c r="O166" t="inlineStr">
        <is>
          <t xml:space="preserve"> : </t>
        </is>
      </c>
      <c r="P166" t="inlineStr">
        <is>
          <t>X</t>
        </is>
      </c>
      <c r="Q166" t="inlineStr"/>
      <c r="R166" t="inlineStr">
        <is>
          <t>Ledereinband, Schließen, erhabene Buchbeschläge</t>
        </is>
      </c>
      <c r="S166" t="inlineStr">
        <is>
          <t>bis 25 cm</t>
        </is>
      </c>
      <c r="T166" t="inlineStr">
        <is>
          <t>180°</t>
        </is>
      </c>
      <c r="U166" t="inlineStr">
        <is>
          <t>hohler Rücken</t>
        </is>
      </c>
      <c r="V166" t="inlineStr"/>
      <c r="W166" t="inlineStr">
        <is>
          <t>Buchschuh</t>
        </is>
      </c>
      <c r="X166" t="inlineStr">
        <is>
          <t>Nein, Signaturfahne austauschen</t>
        </is>
      </c>
      <c r="Y166" t="n">
        <v>1</v>
      </c>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n">
        <v>0</v>
      </c>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c r="DC166" t="inlineStr"/>
      <c r="DD166" t="inlineStr"/>
      <c r="DE166" t="inlineStr"/>
      <c r="DF166" t="inlineStr"/>
      <c r="DG166" t="inlineStr"/>
    </row>
    <row r="167">
      <c r="A167" t="inlineStr">
        <is>
          <t>III</t>
        </is>
      </c>
      <c r="B167" t="b">
        <v>1</v>
      </c>
      <c r="C167" t="inlineStr"/>
      <c r="D167" t="inlineStr"/>
      <c r="E167" t="n">
        <v>125</v>
      </c>
      <c r="F167">
        <f>HYPERLINK("https://portal.dnb.de/opac.htm?method=simpleSearch&amp;cqlMode=true&amp;query=idn%3D1002919827", "Portal")</f>
        <v/>
      </c>
      <c r="G167" t="inlineStr">
        <is>
          <t>Afl</t>
        </is>
      </c>
      <c r="H167" t="inlineStr">
        <is>
          <t>L-1555-178428493</t>
        </is>
      </c>
      <c r="I167" t="inlineStr">
        <is>
          <t>1002919827</t>
        </is>
      </c>
      <c r="J167" t="inlineStr">
        <is>
          <t>III 6, 42</t>
        </is>
      </c>
      <c r="K167" t="inlineStr">
        <is>
          <t>III 6, 42</t>
        </is>
      </c>
      <c r="L167" t="inlineStr">
        <is>
          <t>III 6, 42</t>
        </is>
      </c>
      <c r="M167" t="inlineStr"/>
      <c r="N167" t="inlineStr">
        <is>
          <t>IO. LO-||DOVICI VI-||VIS VALENTINI OPE-||RA, IN DVOS DISTINCTA TO-||MOS</t>
        </is>
      </c>
      <c r="O167" t="inlineStr">
        <is>
          <t xml:space="preserve">1 : </t>
        </is>
      </c>
      <c r="P167" t="inlineStr">
        <is>
          <t>X</t>
        </is>
      </c>
      <c r="Q167" t="inlineStr"/>
      <c r="R167" t="inlineStr">
        <is>
          <t>Pergamentband</t>
        </is>
      </c>
      <c r="S167" t="inlineStr">
        <is>
          <t>bis 35 cm</t>
        </is>
      </c>
      <c r="T167" t="inlineStr">
        <is>
          <t>80° bis 110°, einseitig digitalisierbar?</t>
        </is>
      </c>
      <c r="U167" t="inlineStr">
        <is>
          <t>hohler Rücken, Einband mit Schutz- oder Stoßkanten</t>
        </is>
      </c>
      <c r="V167" t="inlineStr"/>
      <c r="W167" t="inlineStr">
        <is>
          <t>Kassette</t>
        </is>
      </c>
      <c r="X167" t="inlineStr">
        <is>
          <t>Nein</t>
        </is>
      </c>
      <c r="Y167" t="n">
        <v>0</v>
      </c>
      <c r="Z167" t="inlineStr"/>
      <c r="AA167" t="inlineStr"/>
      <c r="AB167" t="inlineStr"/>
      <c r="AC167" t="inlineStr"/>
      <c r="AD167" t="inlineStr"/>
      <c r="AE167" t="inlineStr"/>
      <c r="AF167" t="inlineStr"/>
      <c r="AG167" t="inlineStr"/>
      <c r="AH167" t="inlineStr"/>
      <c r="AI167" t="inlineStr">
        <is>
          <t>Pg</t>
        </is>
      </c>
      <c r="AJ167" t="inlineStr"/>
      <c r="AK167" t="inlineStr"/>
      <c r="AL167" t="inlineStr">
        <is>
          <t>x</t>
        </is>
      </c>
      <c r="AM167" t="inlineStr">
        <is>
          <t>h/E</t>
        </is>
      </c>
      <c r="AN167" t="inlineStr">
        <is>
          <t>x</t>
        </is>
      </c>
      <c r="AO167" t="inlineStr"/>
      <c r="AP167" t="inlineStr"/>
      <c r="AQ167" t="inlineStr"/>
      <c r="AR167" t="inlineStr"/>
      <c r="AS167" t="inlineStr">
        <is>
          <t>Pa</t>
        </is>
      </c>
      <c r="AT167" t="inlineStr"/>
      <c r="AU167" t="inlineStr"/>
      <c r="AV167" t="inlineStr"/>
      <c r="AW167" t="inlineStr"/>
      <c r="AX167" t="inlineStr"/>
      <c r="AY167" t="inlineStr"/>
      <c r="AZ167" t="inlineStr"/>
      <c r="BA167" t="inlineStr"/>
      <c r="BB167" t="inlineStr"/>
      <c r="BC167" t="inlineStr"/>
      <c r="BD167" t="inlineStr"/>
      <c r="BE167" t="inlineStr"/>
      <c r="BF167" t="inlineStr"/>
      <c r="BG167" t="n">
        <v>110</v>
      </c>
      <c r="BH167" t="inlineStr"/>
      <c r="BI167" t="inlineStr"/>
      <c r="BJ167" t="inlineStr"/>
      <c r="BK167" t="inlineStr"/>
      <c r="BL167" t="inlineStr"/>
      <c r="BM167" t="inlineStr">
        <is>
          <t>n</t>
        </is>
      </c>
      <c r="BN167" t="n">
        <v>0</v>
      </c>
      <c r="BO167" t="inlineStr"/>
      <c r="BP167" t="inlineStr">
        <is>
          <t>Gewebe</t>
        </is>
      </c>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c r="DC167" t="inlineStr"/>
      <c r="DD167" t="inlineStr"/>
      <c r="DE167" t="inlineStr"/>
      <c r="DF167" t="inlineStr"/>
      <c r="DG167" t="inlineStr"/>
    </row>
    <row r="168">
      <c r="A168" t="inlineStr">
        <is>
          <t>III</t>
        </is>
      </c>
      <c r="B168" t="b">
        <v>1</v>
      </c>
      <c r="C168" t="inlineStr"/>
      <c r="D168" t="inlineStr"/>
      <c r="E168" t="n">
        <v>126</v>
      </c>
      <c r="F168">
        <f>HYPERLINK("https://portal.dnb.de/opac.htm?method=simpleSearch&amp;cqlMode=true&amp;query=idn%3D1002778123", "Portal")</f>
        <v/>
      </c>
      <c r="G168" t="inlineStr">
        <is>
          <t>Aal</t>
        </is>
      </c>
      <c r="H168" t="inlineStr">
        <is>
          <t>L-1560-178157546</t>
        </is>
      </c>
      <c r="I168" t="inlineStr">
        <is>
          <t>1002778123</t>
        </is>
      </c>
      <c r="J168" t="inlineStr">
        <is>
          <t>III 6, 43</t>
        </is>
      </c>
      <c r="K168" t="inlineStr">
        <is>
          <t>III 6, 43</t>
        </is>
      </c>
      <c r="L168" t="inlineStr">
        <is>
          <t>III 6, 43</t>
        </is>
      </c>
      <c r="M168" t="inlineStr"/>
      <c r="N168" t="inlineStr">
        <is>
          <t>IN EPISTO-||LAM S. Pavli Apo-||STOLI AD ROM : D. PETRI||MARTYRIS Vermilij Florentini ... cōmentarij doctis-||simi, cum tractatione perutili rerum &amp; lo</t>
        </is>
      </c>
      <c r="O168" t="inlineStr">
        <is>
          <t xml:space="preserve"> : </t>
        </is>
      </c>
      <c r="P168" t="inlineStr"/>
      <c r="Q168" t="inlineStr"/>
      <c r="R168" t="inlineStr">
        <is>
          <t>Ledereinband, Schließen, erhabene Buchbeschläge</t>
        </is>
      </c>
      <c r="S168" t="inlineStr">
        <is>
          <t>bis 25 cm</t>
        </is>
      </c>
      <c r="T168" t="inlineStr">
        <is>
          <t>nur sehr geringer Öffnungswinkel</t>
        </is>
      </c>
      <c r="U168" t="inlineStr">
        <is>
          <t>fester Rücken mit Schmuckprägung, Schrift bis in den Falz</t>
        </is>
      </c>
      <c r="V168" t="inlineStr"/>
      <c r="W168" t="inlineStr">
        <is>
          <t>Kassette</t>
        </is>
      </c>
      <c r="X168" t="inlineStr">
        <is>
          <t>Nein</t>
        </is>
      </c>
      <c r="Y168" t="n">
        <v>0</v>
      </c>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inlineStr"/>
      <c r="BI168" t="inlineStr"/>
      <c r="BJ168" t="inlineStr"/>
      <c r="BK168" t="inlineStr"/>
      <c r="BL168" t="inlineStr"/>
      <c r="BM168" t="inlineStr"/>
      <c r="BN168" t="n">
        <v>0</v>
      </c>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c r="DD168" t="inlineStr"/>
      <c r="DE168" t="inlineStr"/>
      <c r="DF168" t="inlineStr"/>
      <c r="DG168" t="inlineStr"/>
    </row>
    <row r="169">
      <c r="A169" t="inlineStr">
        <is>
          <t>III</t>
        </is>
      </c>
      <c r="B169" t="b">
        <v>1</v>
      </c>
      <c r="C169" t="inlineStr">
        <is>
          <t>x</t>
        </is>
      </c>
      <c r="D169" t="inlineStr"/>
      <c r="E169" t="n">
        <v>127</v>
      </c>
      <c r="F169">
        <f>HYPERLINK("https://portal.dnb.de/opac.htm?method=simpleSearch&amp;cqlMode=true&amp;query=idn%3D996355340", "Portal")</f>
        <v/>
      </c>
      <c r="G169" t="inlineStr">
        <is>
          <t>Aal</t>
        </is>
      </c>
      <c r="H169" t="inlineStr">
        <is>
          <t>L-1560-162039808</t>
        </is>
      </c>
      <c r="I169" t="inlineStr">
        <is>
          <t>996355340</t>
        </is>
      </c>
      <c r="J169" t="inlineStr">
        <is>
          <t>III 6, 44</t>
        </is>
      </c>
      <c r="K169" t="inlineStr">
        <is>
          <t>III 6, 44</t>
        </is>
      </c>
      <c r="L169" t="inlineStr">
        <is>
          <t>III 6, 44</t>
        </is>
      </c>
      <c r="M169" t="inlineStr"/>
      <c r="N169" t="inlineStr">
        <is>
          <t>LEXIKON|| SIVE|| DICTIONA-||RIVM GRAECOLA-||tinum postremo nunc,post om-||nia Graecae linguae commentaria, dictio||naria &amp; Thesauros, noua insuper plu</t>
        </is>
      </c>
      <c r="O169" t="inlineStr">
        <is>
          <t xml:space="preserve"> : </t>
        </is>
      </c>
      <c r="P169" t="inlineStr"/>
      <c r="Q169" t="inlineStr"/>
      <c r="R169" t="inlineStr">
        <is>
          <t>Ledereinband, Schließen, erhabene Buchbeschläge</t>
        </is>
      </c>
      <c r="S169" t="inlineStr">
        <is>
          <t>bis 35 cm</t>
        </is>
      </c>
      <c r="T169" t="inlineStr">
        <is>
          <t>nur sehr geringer Öffnungswinkel</t>
        </is>
      </c>
      <c r="U169" t="inlineStr">
        <is>
          <t>Schrift bis in den Falz</t>
        </is>
      </c>
      <c r="V169" t="inlineStr"/>
      <c r="W169" t="inlineStr">
        <is>
          <t>Buchschuh</t>
        </is>
      </c>
      <c r="X169" t="inlineStr">
        <is>
          <t>Nein</t>
        </is>
      </c>
      <c r="Y169" t="n">
        <v>1</v>
      </c>
      <c r="Z169" t="inlineStr"/>
      <c r="AA169" t="inlineStr"/>
      <c r="AB169" t="inlineStr"/>
      <c r="AC169" t="inlineStr"/>
      <c r="AD169" t="inlineStr"/>
      <c r="AE169" t="inlineStr"/>
      <c r="AF169" t="inlineStr"/>
      <c r="AG169" t="inlineStr"/>
      <c r="AH169" t="inlineStr"/>
      <c r="AI169" t="inlineStr">
        <is>
          <t>HD</t>
        </is>
      </c>
      <c r="AJ169" t="inlineStr"/>
      <c r="AK169" t="inlineStr"/>
      <c r="AL169" t="inlineStr"/>
      <c r="AM169" t="inlineStr">
        <is>
          <t>f</t>
        </is>
      </c>
      <c r="AN169" t="inlineStr"/>
      <c r="AO169" t="inlineStr"/>
      <c r="AP169" t="inlineStr"/>
      <c r="AQ169" t="inlineStr"/>
      <c r="AR169" t="inlineStr"/>
      <c r="AS169" t="inlineStr">
        <is>
          <t>Pa</t>
        </is>
      </c>
      <c r="AT169" t="inlineStr"/>
      <c r="AU169" t="inlineStr"/>
      <c r="AV169" t="inlineStr"/>
      <c r="AW169" t="inlineStr">
        <is>
          <t>x</t>
        </is>
      </c>
      <c r="AX169" t="inlineStr"/>
      <c r="AY169" t="inlineStr"/>
      <c r="AZ169" t="inlineStr"/>
      <c r="BA169" t="inlineStr"/>
      <c r="BB169" t="inlineStr"/>
      <c r="BC169" t="inlineStr"/>
      <c r="BD169" t="inlineStr"/>
      <c r="BE169" t="n">
        <v>2</v>
      </c>
      <c r="BF169" t="inlineStr">
        <is>
          <t>x</t>
        </is>
      </c>
      <c r="BG169" t="n">
        <v>45</v>
      </c>
      <c r="BH169" t="inlineStr"/>
      <c r="BI169" t="inlineStr"/>
      <c r="BJ169" t="inlineStr"/>
      <c r="BK169" t="inlineStr"/>
      <c r="BL169" t="inlineStr"/>
      <c r="BM169" t="inlineStr">
        <is>
          <t>ja vor</t>
        </is>
      </c>
      <c r="BN169" t="n">
        <v>2</v>
      </c>
      <c r="BO169" t="inlineStr"/>
      <c r="BP169" t="inlineStr"/>
      <c r="BQ169" t="inlineStr"/>
      <c r="BR169" t="inlineStr">
        <is>
          <t>x</t>
        </is>
      </c>
      <c r="BS169" t="inlineStr"/>
      <c r="BT169" t="inlineStr"/>
      <c r="BU169" t="inlineStr"/>
      <c r="BV169" t="inlineStr"/>
      <c r="BW169" t="inlineStr"/>
      <c r="BX169" t="inlineStr"/>
      <c r="BY169" t="inlineStr"/>
      <c r="BZ169" t="inlineStr"/>
      <c r="CA169" t="inlineStr"/>
      <c r="CB169" t="inlineStr">
        <is>
          <t>x</t>
        </is>
      </c>
      <c r="CC169" t="inlineStr"/>
      <c r="CD169" t="inlineStr"/>
      <c r="CE169" t="inlineStr"/>
      <c r="CF169" t="inlineStr"/>
      <c r="CG169" t="inlineStr"/>
      <c r="CH169" t="inlineStr">
        <is>
          <t>x</t>
        </is>
      </c>
      <c r="CI169" t="inlineStr"/>
      <c r="CJ169" t="inlineStr"/>
      <c r="CK169" t="inlineStr"/>
      <c r="CL169" t="inlineStr"/>
      <c r="CM169" t="n">
        <v>2</v>
      </c>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row>
    <row r="170">
      <c r="A170" t="inlineStr">
        <is>
          <t>III</t>
        </is>
      </c>
      <c r="B170" t="b">
        <v>1</v>
      </c>
      <c r="C170" t="inlineStr"/>
      <c r="D170" t="inlineStr"/>
      <c r="E170" t="n">
        <v>128</v>
      </c>
      <c r="F170">
        <f>HYPERLINK("https://portal.dnb.de/opac.htm?method=simpleSearch&amp;cqlMode=true&amp;query=idn%3D993976697", "Portal")</f>
        <v/>
      </c>
      <c r="G170" t="inlineStr">
        <is>
          <t>Afl</t>
        </is>
      </c>
      <c r="H170" t="inlineStr">
        <is>
          <t>L-1550-154117374</t>
        </is>
      </c>
      <c r="I170" t="inlineStr">
        <is>
          <t>993976697</t>
        </is>
      </c>
      <c r="J170" t="inlineStr">
        <is>
          <t>III 6, 45</t>
        </is>
      </c>
      <c r="K170" t="inlineStr">
        <is>
          <t>III 6, 45</t>
        </is>
      </c>
      <c r="L170" t="inlineStr">
        <is>
          <t>III 6, 45</t>
        </is>
      </c>
      <c r="M170" t="inlineStr"/>
      <c r="N170" t="inlineStr">
        <is>
          <t>ARISTOTELIS|| SVMMI SEMPER PHILOSOPHI, ...|| opera quaecunq hactenus extinterung omnia: quae quidem ut antea|| integris aliquot libris supra priores a</t>
        </is>
      </c>
      <c r="O170" t="inlineStr">
        <is>
          <t xml:space="preserve">2. : </t>
        </is>
      </c>
      <c r="P170" t="inlineStr"/>
      <c r="Q170" t="inlineStr"/>
      <c r="R170" t="inlineStr"/>
      <c r="S170" t="inlineStr"/>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n">
        <v>0</v>
      </c>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c r="DC170" t="inlineStr"/>
      <c r="DD170" t="inlineStr"/>
      <c r="DE170" t="inlineStr"/>
      <c r="DF170" t="inlineStr"/>
      <c r="DG170" t="inlineStr"/>
    </row>
    <row r="171">
      <c r="A171" t="inlineStr">
        <is>
          <t>III</t>
        </is>
      </c>
      <c r="B171" t="b">
        <v>1</v>
      </c>
      <c r="C171" t="inlineStr">
        <is>
          <t>x</t>
        </is>
      </c>
      <c r="D171" t="inlineStr"/>
      <c r="E171" t="n">
        <v>129</v>
      </c>
      <c r="F171">
        <f>HYPERLINK("https://portal.dnb.de/opac.htm?method=simpleSearch&amp;cqlMode=true&amp;query=idn%3D993976670", "Portal")</f>
        <v/>
      </c>
      <c r="G171" t="inlineStr">
        <is>
          <t>Afl</t>
        </is>
      </c>
      <c r="H171" t="inlineStr">
        <is>
          <t>L-1550-154117307</t>
        </is>
      </c>
      <c r="I171" t="inlineStr">
        <is>
          <t>993976670</t>
        </is>
      </c>
      <c r="J171" t="inlineStr">
        <is>
          <t>III 6, 45</t>
        </is>
      </c>
      <c r="K171" t="inlineStr">
        <is>
          <t>III 6, 45</t>
        </is>
      </c>
      <c r="L171" t="inlineStr">
        <is>
          <t>III 6, 45</t>
        </is>
      </c>
      <c r="M171" t="inlineStr"/>
      <c r="N171" t="inlineStr">
        <is>
          <t>ARISTOTELIS|| SVMMI SEMPER PHILOSOPHI, ...|| opera quaecunq hactenus extinterung omnia: quae quidem ut antea|| integris aliquot libris supra priores a</t>
        </is>
      </c>
      <c r="O171" t="inlineStr">
        <is>
          <t xml:space="preserve">(1) : </t>
        </is>
      </c>
      <c r="P171" t="inlineStr"/>
      <c r="Q171" t="inlineStr"/>
      <c r="R171" t="inlineStr">
        <is>
          <t>Ledereinband, Schließen, erhabene Buchbeschläge</t>
        </is>
      </c>
      <c r="S171" t="inlineStr">
        <is>
          <t>bis 42 cm</t>
        </is>
      </c>
      <c r="T171" t="inlineStr">
        <is>
          <t>80° bis 110°, einseitig digitalisierbar?</t>
        </is>
      </c>
      <c r="U171" t="inlineStr">
        <is>
          <t>Schrift bis in den Falz</t>
        </is>
      </c>
      <c r="V171" t="inlineStr"/>
      <c r="W171" t="inlineStr">
        <is>
          <t>Kassette</t>
        </is>
      </c>
      <c r="X171" t="inlineStr">
        <is>
          <t>Nein</t>
        </is>
      </c>
      <c r="Y171" t="n">
        <v>0</v>
      </c>
      <c r="Z171" t="inlineStr"/>
      <c r="AA171" t="inlineStr"/>
      <c r="AB171" t="inlineStr"/>
      <c r="AC171" t="inlineStr"/>
      <c r="AD171" t="inlineStr"/>
      <c r="AE171" t="inlineStr"/>
      <c r="AF171" t="inlineStr"/>
      <c r="AG171" t="inlineStr"/>
      <c r="AH171" t="inlineStr"/>
      <c r="AI171" t="inlineStr">
        <is>
          <t>HD</t>
        </is>
      </c>
      <c r="AJ171" t="inlineStr"/>
      <c r="AK171" t="inlineStr"/>
      <c r="AL171" t="inlineStr">
        <is>
          <t>x</t>
        </is>
      </c>
      <c r="AM171" t="inlineStr">
        <is>
          <t>f</t>
        </is>
      </c>
      <c r="AN171" t="inlineStr"/>
      <c r="AO171" t="inlineStr"/>
      <c r="AP171" t="inlineStr"/>
      <c r="AQ171" t="inlineStr"/>
      <c r="AR171" t="inlineStr"/>
      <c r="AS171" t="inlineStr">
        <is>
          <t>Pa</t>
        </is>
      </c>
      <c r="AT171" t="inlineStr"/>
      <c r="AU171" t="inlineStr"/>
      <c r="AV171" t="inlineStr"/>
      <c r="AW171" t="inlineStr"/>
      <c r="AX171" t="inlineStr">
        <is>
          <t>x</t>
        </is>
      </c>
      <c r="AY171" t="inlineStr"/>
      <c r="AZ171" t="inlineStr"/>
      <c r="BA171" t="inlineStr"/>
      <c r="BB171" t="inlineStr"/>
      <c r="BC171" t="inlineStr"/>
      <c r="BD171" t="inlineStr"/>
      <c r="BE171" t="n">
        <v>2</v>
      </c>
      <c r="BF171" t="inlineStr"/>
      <c r="BG171" t="n">
        <v>110</v>
      </c>
      <c r="BH171" t="inlineStr"/>
      <c r="BI171" t="inlineStr"/>
      <c r="BJ171" t="inlineStr"/>
      <c r="BK171" t="inlineStr"/>
      <c r="BL171" t="inlineStr"/>
      <c r="BM171" t="inlineStr">
        <is>
          <t>ja vor</t>
        </is>
      </c>
      <c r="BN171" t="n">
        <v>1</v>
      </c>
      <c r="BO171" t="inlineStr"/>
      <c r="BP171" t="inlineStr">
        <is>
          <t>Gewebe</t>
        </is>
      </c>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is>
          <t>x</t>
        </is>
      </c>
      <c r="CH171" t="inlineStr"/>
      <c r="CI171" t="inlineStr"/>
      <c r="CJ171" t="inlineStr"/>
      <c r="CK171" t="inlineStr"/>
      <c r="CL171" t="inlineStr"/>
      <c r="CM171" t="n">
        <v>1</v>
      </c>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row>
    <row r="172">
      <c r="A172" t="inlineStr">
        <is>
          <t>III</t>
        </is>
      </c>
      <c r="B172" t="b">
        <v>1</v>
      </c>
      <c r="C172" t="inlineStr"/>
      <c r="D172" t="inlineStr"/>
      <c r="E172" t="n">
        <v>130</v>
      </c>
      <c r="F172">
        <f>HYPERLINK("https://portal.dnb.de/opac.htm?method=simpleSearch&amp;cqlMode=true&amp;query=idn%3D998517313", "Portal")</f>
        <v/>
      </c>
      <c r="G172" t="inlineStr">
        <is>
          <t>Aa</t>
        </is>
      </c>
      <c r="H172" t="inlineStr">
        <is>
          <t>L-2009-322713</t>
        </is>
      </c>
      <c r="I172" t="inlineStr">
        <is>
          <t>998517313</t>
        </is>
      </c>
      <c r="J172" t="inlineStr">
        <is>
          <t>III 6, 46</t>
        </is>
      </c>
      <c r="K172" t="inlineStr">
        <is>
          <t>III 6, 46</t>
        </is>
      </c>
      <c r="L172" t="inlineStr">
        <is>
          <t>III 6, 46</t>
        </is>
      </c>
      <c r="M172" t="inlineStr"/>
      <c r="N172" t="inlineStr">
        <is>
          <t>Der @newenn Weldt und indianischen Königreichs, newe unnd wahrhaffte History, von allen Geschichten, Handlungen, Thaten, Strengem unnd ernstlichem Reg</t>
        </is>
      </c>
      <c r="O172" t="inlineStr">
        <is>
          <t xml:space="preserve"> : </t>
        </is>
      </c>
      <c r="P172" t="inlineStr"/>
      <c r="Q172" t="inlineStr"/>
      <c r="R172" t="inlineStr">
        <is>
          <t>Halbpergamentband</t>
        </is>
      </c>
      <c r="S172" t="inlineStr">
        <is>
          <t>bis 35 cm</t>
        </is>
      </c>
      <c r="T172" t="inlineStr">
        <is>
          <t>180°</t>
        </is>
      </c>
      <c r="U172" t="inlineStr">
        <is>
          <t>hohler Rücken</t>
        </is>
      </c>
      <c r="V172" t="inlineStr"/>
      <c r="W172" t="inlineStr">
        <is>
          <t xml:space="preserve">Papierumschlag </t>
        </is>
      </c>
      <c r="X172" t="inlineStr">
        <is>
          <t>Unklar</t>
        </is>
      </c>
      <c r="Y172" t="n">
        <v>0</v>
      </c>
      <c r="Z172" t="inlineStr"/>
      <c r="AA172" t="inlineStr">
        <is>
          <t>gereinigt</t>
        </is>
      </c>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n">
        <v>0</v>
      </c>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c r="DD172" t="inlineStr"/>
      <c r="DE172" t="inlineStr"/>
      <c r="DF172" t="inlineStr"/>
      <c r="DG172" t="inlineStr"/>
    </row>
    <row r="173">
      <c r="A173" t="inlineStr">
        <is>
          <t>III</t>
        </is>
      </c>
      <c r="B173" t="b">
        <v>1</v>
      </c>
      <c r="C173" t="inlineStr"/>
      <c r="D173" t="inlineStr"/>
      <c r="E173" t="n">
        <v>131</v>
      </c>
      <c r="F173">
        <f>HYPERLINK("https://portal.dnb.de/opac.htm?method=simpleSearch&amp;cqlMode=true&amp;query=idn%3D1027390439", "Portal")</f>
        <v/>
      </c>
      <c r="G173" t="inlineStr">
        <is>
          <t>Aa</t>
        </is>
      </c>
      <c r="H173" t="inlineStr">
        <is>
          <t>L-2012-327132</t>
        </is>
      </c>
      <c r="I173" t="inlineStr">
        <is>
          <t>1027390439</t>
        </is>
      </c>
      <c r="J173" t="inlineStr">
        <is>
          <t>III 6, 47</t>
        </is>
      </c>
      <c r="K173" t="inlineStr">
        <is>
          <t>III 6, 47</t>
        </is>
      </c>
      <c r="L173" t="inlineStr">
        <is>
          <t>III 6, 47</t>
        </is>
      </c>
      <c r="M173" t="inlineStr"/>
      <c r="N173" t="inlineStr">
        <is>
          <t>Bildschrift Oder Entworffne Wharzeichen dero die vhralten Aegyptier in ihrem Götzendienst Rhätten, Gheymnussen, vnd anligenden gschäfften, sich an sta</t>
        </is>
      </c>
      <c r="O173" t="inlineStr">
        <is>
          <t xml:space="preserve"> : </t>
        </is>
      </c>
      <c r="P173" t="inlineStr"/>
      <c r="Q173" t="inlineStr"/>
      <c r="R173" t="inlineStr">
        <is>
          <t>Gewebeeinband</t>
        </is>
      </c>
      <c r="S173" t="inlineStr">
        <is>
          <t>bis 35 cm</t>
        </is>
      </c>
      <c r="T173" t="inlineStr">
        <is>
          <t>180°</t>
        </is>
      </c>
      <c r="U173" t="inlineStr">
        <is>
          <t>hohler Rücken</t>
        </is>
      </c>
      <c r="V173" t="inlineStr"/>
      <c r="W173" t="inlineStr">
        <is>
          <t>Archivkarton</t>
        </is>
      </c>
      <c r="X173" t="inlineStr">
        <is>
          <t>Nein</t>
        </is>
      </c>
      <c r="Y173" t="n">
        <v>0</v>
      </c>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c r="BD173" t="inlineStr"/>
      <c r="BE173" t="inlineStr"/>
      <c r="BF173" t="inlineStr"/>
      <c r="BG173" t="inlineStr"/>
      <c r="BH173" t="inlineStr"/>
      <c r="BI173" t="inlineStr"/>
      <c r="BJ173" t="inlineStr"/>
      <c r="BK173" t="inlineStr"/>
      <c r="BL173" t="inlineStr"/>
      <c r="BM173" t="inlineStr"/>
      <c r="BN173" t="n">
        <v>0</v>
      </c>
      <c r="BO173" t="inlineStr"/>
      <c r="BP173" t="inlineStr"/>
      <c r="BQ173" t="inlineStr"/>
      <c r="BR173" t="inlineStr"/>
      <c r="BS173" t="inlineStr"/>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c r="DC173" t="inlineStr"/>
      <c r="DD173" t="inlineStr"/>
      <c r="DE173" t="inlineStr"/>
      <c r="DF173" t="inlineStr"/>
      <c r="DG173" t="inlineStr"/>
    </row>
    <row r="174">
      <c r="A174" t="inlineStr">
        <is>
          <t>III</t>
        </is>
      </c>
      <c r="B174" t="b">
        <v>1</v>
      </c>
      <c r="C174" t="inlineStr"/>
      <c r="D174" t="inlineStr"/>
      <c r="E174" t="n">
        <v>188</v>
      </c>
      <c r="F174">
        <f>HYPERLINK("https://portal.dnb.de/opac.htm?method=simpleSearch&amp;cqlMode=true&amp;query=idn%3D1068927240", "Portal")</f>
        <v/>
      </c>
      <c r="G174" t="inlineStr">
        <is>
          <t>Aa</t>
        </is>
      </c>
      <c r="H174" t="inlineStr">
        <is>
          <t>L-1513-320046397</t>
        </is>
      </c>
      <c r="I174" t="inlineStr">
        <is>
          <t>1068927240</t>
        </is>
      </c>
      <c r="J174" t="inlineStr">
        <is>
          <t>III 6, 48 - Fragm.</t>
        </is>
      </c>
      <c r="K174" t="inlineStr">
        <is>
          <t>III 6, 48 - Fragm.</t>
        </is>
      </c>
      <c r="L174" t="inlineStr">
        <is>
          <t>III 6, 48 - Fragm.</t>
        </is>
      </c>
      <c r="M174" t="inlineStr"/>
      <c r="N174" t="inlineStr">
        <is>
          <t xml:space="preserve">[Missale Upsalense] : </t>
        </is>
      </c>
      <c r="O174" t="inlineStr">
        <is>
          <t xml:space="preserve"> : </t>
        </is>
      </c>
      <c r="P174" t="inlineStr"/>
      <c r="Q174" t="inlineStr"/>
      <c r="R174" t="inlineStr"/>
      <c r="S174" t="inlineStr"/>
      <c r="T174" t="inlineStr"/>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inlineStr"/>
      <c r="BJ174" t="inlineStr"/>
      <c r="BK174" t="inlineStr"/>
      <c r="BL174" t="inlineStr"/>
      <c r="BM174" t="inlineStr"/>
      <c r="BN174" t="n">
        <v>0</v>
      </c>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c r="DC174" t="inlineStr"/>
      <c r="DD174" t="inlineStr"/>
      <c r="DE174" t="inlineStr"/>
      <c r="DF174" t="inlineStr"/>
      <c r="DG174" t="inlineStr"/>
    </row>
    <row r="175">
      <c r="A175" t="inlineStr">
        <is>
          <t>III</t>
        </is>
      </c>
      <c r="B175" t="b">
        <v>1</v>
      </c>
      <c r="C175" t="inlineStr"/>
      <c r="D175" t="inlineStr"/>
      <c r="E175" t="n">
        <v>192</v>
      </c>
      <c r="F175">
        <f>HYPERLINK("https://portal.dnb.de/opac.htm?method=simpleSearch&amp;cqlMode=true&amp;query=idn%3D1066964181", "Portal")</f>
        <v/>
      </c>
      <c r="G175" t="inlineStr">
        <is>
          <t>Aaf</t>
        </is>
      </c>
      <c r="H175" t="inlineStr">
        <is>
          <t>L-1542-315494409</t>
        </is>
      </c>
      <c r="I175" t="inlineStr">
        <is>
          <t>1066964181</t>
        </is>
      </c>
      <c r="J175" t="inlineStr">
        <is>
          <t>III 7, 1</t>
        </is>
      </c>
      <c r="K175" t="inlineStr">
        <is>
          <t>III 7, 1</t>
        </is>
      </c>
      <c r="L175" t="inlineStr">
        <is>
          <t>III 7, 1</t>
        </is>
      </c>
      <c r="M175" t="inlineStr"/>
      <c r="N175" t="inlineStr">
        <is>
          <t>Warhafftige vnnd er=||schröckliche Newe zeytung|| in Schlesien geschehen in disem 42. Jar/|| am tag Egidij/ Von unerh#[oe]rten|| Hewschrecken/ was sie</t>
        </is>
      </c>
      <c r="O175" t="inlineStr">
        <is>
          <t xml:space="preserve"> : </t>
        </is>
      </c>
      <c r="P175" t="inlineStr">
        <is>
          <t>X</t>
        </is>
      </c>
      <c r="Q175" t="inlineStr"/>
      <c r="R175" t="inlineStr">
        <is>
          <t>Pergamentband, Schließen, erhabene Buchbeschläge</t>
        </is>
      </c>
      <c r="S175" t="inlineStr">
        <is>
          <t>bis 25 cm</t>
        </is>
      </c>
      <c r="T175" t="inlineStr">
        <is>
          <t>180°</t>
        </is>
      </c>
      <c r="U175" t="inlineStr"/>
      <c r="V175" t="inlineStr"/>
      <c r="W175" t="inlineStr">
        <is>
          <t>Kassette</t>
        </is>
      </c>
      <c r="X175" t="inlineStr">
        <is>
          <t>Nein</t>
        </is>
      </c>
      <c r="Y175" t="n">
        <v>3</v>
      </c>
      <c r="Z175" t="inlineStr"/>
      <c r="AA175" t="inlineStr">
        <is>
          <t>Einband und Buchblock jeweils einzeln im Archivkarton</t>
        </is>
      </c>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n">
        <v>0</v>
      </c>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c r="DD175" t="inlineStr"/>
      <c r="DE175" t="inlineStr"/>
      <c r="DF175" t="inlineStr"/>
      <c r="DG175" t="inlineStr"/>
    </row>
    <row r="176">
      <c r="A176" t="inlineStr">
        <is>
          <t>III</t>
        </is>
      </c>
      <c r="B176" t="b">
        <v>1</v>
      </c>
      <c r="C176" t="inlineStr">
        <is>
          <t>x</t>
        </is>
      </c>
      <c r="D176" t="inlineStr"/>
      <c r="E176" t="n">
        <v>193</v>
      </c>
      <c r="F176">
        <f>HYPERLINK("https://portal.dnb.de/opac.htm?method=simpleSearch&amp;cqlMode=true&amp;query=idn%3D1066956596", "Portal")</f>
        <v/>
      </c>
      <c r="G176" t="inlineStr">
        <is>
          <t>Aaf</t>
        </is>
      </c>
      <c r="H176" t="inlineStr">
        <is>
          <t>L-1555-315487259</t>
        </is>
      </c>
      <c r="I176" t="inlineStr">
        <is>
          <t>1066956596</t>
        </is>
      </c>
      <c r="J176" t="inlineStr">
        <is>
          <t>III 7, 2</t>
        </is>
      </c>
      <c r="K176" t="inlineStr">
        <is>
          <t>III 7, 2</t>
        </is>
      </c>
      <c r="L176" t="inlineStr">
        <is>
          <t>III 7, 2</t>
        </is>
      </c>
      <c r="M176" t="inlineStr"/>
      <c r="N176" t="inlineStr">
        <is>
          <t>Practica Vnd Process|| der Gerichtsleuffte/|| nach dem brauch Sechsischer|| Landart/ aus dem gemeinen Bepstlichen/|| Keiserlichen/ vnd Sechsischen|| R</t>
        </is>
      </c>
      <c r="O176" t="inlineStr">
        <is>
          <t xml:space="preserve"> : </t>
        </is>
      </c>
      <c r="P176" t="inlineStr">
        <is>
          <t>X</t>
        </is>
      </c>
      <c r="Q176" t="inlineStr"/>
      <c r="R176" t="inlineStr">
        <is>
          <t>Halbledereinband</t>
        </is>
      </c>
      <c r="S176" t="inlineStr">
        <is>
          <t>bis 25 cm</t>
        </is>
      </c>
      <c r="T176" t="inlineStr">
        <is>
          <t>80° bis 110°, einseitig digitalisierbar?</t>
        </is>
      </c>
      <c r="U176" t="inlineStr">
        <is>
          <t>fester Rücken mit Schmuckprägung, gefaltete Blätter</t>
        </is>
      </c>
      <c r="V176" t="inlineStr"/>
      <c r="W176" t="inlineStr">
        <is>
          <t xml:space="preserve">Papierumschlag </t>
        </is>
      </c>
      <c r="X176" t="inlineStr">
        <is>
          <t>Ja</t>
        </is>
      </c>
      <c r="Y176" t="n">
        <v>0</v>
      </c>
      <c r="Z176" t="inlineStr"/>
      <c r="AA176" t="inlineStr"/>
      <c r="AB176" t="inlineStr"/>
      <c r="AC176" t="inlineStr"/>
      <c r="AD176" t="inlineStr"/>
      <c r="AE176" t="inlineStr"/>
      <c r="AF176" t="inlineStr"/>
      <c r="AG176" t="inlineStr"/>
      <c r="AH176" t="inlineStr"/>
      <c r="AI176" t="inlineStr">
        <is>
          <t>HL</t>
        </is>
      </c>
      <c r="AJ176" t="inlineStr"/>
      <c r="AK176" t="inlineStr"/>
      <c r="AL176" t="inlineStr"/>
      <c r="AM176" t="inlineStr">
        <is>
          <t>f</t>
        </is>
      </c>
      <c r="AN176" t="inlineStr"/>
      <c r="AO176" t="inlineStr"/>
      <c r="AP176" t="inlineStr"/>
      <c r="AQ176" t="inlineStr"/>
      <c r="AR176" t="inlineStr"/>
      <c r="AS176" t="inlineStr">
        <is>
          <t>Pa</t>
        </is>
      </c>
      <c r="AT176" t="inlineStr"/>
      <c r="AU176" t="inlineStr"/>
      <c r="AV176" t="inlineStr"/>
      <c r="AW176" t="inlineStr"/>
      <c r="AX176" t="inlineStr"/>
      <c r="AY176" t="inlineStr"/>
      <c r="AZ176" t="inlineStr">
        <is>
          <t>x</t>
        </is>
      </c>
      <c r="BA176" t="inlineStr">
        <is>
          <t>B: 15x21
F: 33x42</t>
        </is>
      </c>
      <c r="BB176" t="inlineStr"/>
      <c r="BC176" t="inlineStr"/>
      <c r="BD176" t="inlineStr"/>
      <c r="BE176" t="inlineStr"/>
      <c r="BF176" t="inlineStr"/>
      <c r="BG176" t="n">
        <v>80</v>
      </c>
      <c r="BH176" t="inlineStr"/>
      <c r="BI176" t="inlineStr"/>
      <c r="BJ176" t="inlineStr"/>
      <c r="BK176" t="inlineStr"/>
      <c r="BL176" t="inlineStr"/>
      <c r="BM176" t="inlineStr">
        <is>
          <t>ja vor</t>
        </is>
      </c>
      <c r="BN176" t="n">
        <v>1</v>
      </c>
      <c r="BO176" t="inlineStr"/>
      <c r="BP176" t="inlineStr"/>
      <c r="BQ176" t="inlineStr"/>
      <c r="BR176" t="inlineStr"/>
      <c r="BS176" t="inlineStr"/>
      <c r="BT176" t="inlineStr">
        <is>
          <t>x sauer</t>
        </is>
      </c>
      <c r="BU176" t="inlineStr">
        <is>
          <t>x</t>
        </is>
      </c>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is>
          <t>x</t>
        </is>
      </c>
      <c r="CY176" t="inlineStr"/>
      <c r="CZ176" t="inlineStr"/>
      <c r="DA176" t="inlineStr">
        <is>
          <t>x</t>
        </is>
      </c>
      <c r="DB176" t="inlineStr"/>
      <c r="DC176" t="inlineStr"/>
      <c r="DD176" t="inlineStr"/>
      <c r="DE176" t="inlineStr"/>
      <c r="DF176" t="n">
        <v>1</v>
      </c>
      <c r="DG176" t="inlineStr"/>
    </row>
    <row r="177">
      <c r="A177" t="inlineStr">
        <is>
          <t>III</t>
        </is>
      </c>
      <c r="B177" t="b">
        <v>1</v>
      </c>
      <c r="C177" t="inlineStr"/>
      <c r="D177" t="inlineStr"/>
      <c r="E177" t="n">
        <v>194</v>
      </c>
      <c r="F177">
        <f>HYPERLINK("https://portal.dnb.de/opac.htm?method=simpleSearch&amp;cqlMode=true&amp;query=idn%3D1066847134", "Portal")</f>
        <v/>
      </c>
      <c r="G177" t="inlineStr">
        <is>
          <t>Aaf</t>
        </is>
      </c>
      <c r="H177" t="inlineStr">
        <is>
          <t>L-1556-315306424</t>
        </is>
      </c>
      <c r="I177" t="inlineStr">
        <is>
          <t>1066847134</t>
        </is>
      </c>
      <c r="J177" t="inlineStr">
        <is>
          <t>III 7, 3</t>
        </is>
      </c>
      <c r="K177" t="inlineStr">
        <is>
          <t>III 7, 3</t>
        </is>
      </c>
      <c r="L177" t="inlineStr">
        <is>
          <t>III 7, 3</t>
        </is>
      </c>
      <c r="M177" t="inlineStr"/>
      <c r="N177" t="inlineStr">
        <is>
          <t>Chronica|| Von den Antiquiteten des Keiser=||lichen Stiffts|| der Römische Burg vnd Stadt Mars=||burg|| an der Salah bey Türingen...|| in zweien Büche</t>
        </is>
      </c>
      <c r="O177" t="inlineStr">
        <is>
          <t xml:space="preserve"> : </t>
        </is>
      </c>
      <c r="P177" t="inlineStr">
        <is>
          <t>X</t>
        </is>
      </c>
      <c r="Q177" t="inlineStr"/>
      <c r="R177" t="inlineStr">
        <is>
          <t>Gewebeeinband, Schließen, erhabene Buchbeschläge</t>
        </is>
      </c>
      <c r="S177" t="inlineStr">
        <is>
          <t>bis 25 cm</t>
        </is>
      </c>
      <c r="T177" t="inlineStr">
        <is>
          <t>180°</t>
        </is>
      </c>
      <c r="U177" t="inlineStr">
        <is>
          <t>hohler Rücken</t>
        </is>
      </c>
      <c r="V177" t="inlineStr"/>
      <c r="W177" t="inlineStr">
        <is>
          <t>Buchschuh</t>
        </is>
      </c>
      <c r="X177" t="inlineStr">
        <is>
          <t>Nein</t>
        </is>
      </c>
      <c r="Y177" t="n">
        <v>0</v>
      </c>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inlineStr"/>
      <c r="BI177" t="inlineStr"/>
      <c r="BJ177" t="inlineStr"/>
      <c r="BK177" t="inlineStr"/>
      <c r="BL177" t="inlineStr"/>
      <c r="BM177" t="inlineStr"/>
      <c r="BN177" t="n">
        <v>0</v>
      </c>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c r="DC177" t="inlineStr"/>
      <c r="DD177" t="inlineStr"/>
      <c r="DE177" t="inlineStr"/>
      <c r="DF177" t="inlineStr"/>
      <c r="DG177" t="inlineStr"/>
    </row>
    <row r="178">
      <c r="A178" t="inlineStr">
        <is>
          <t>III</t>
        </is>
      </c>
      <c r="B178" t="b">
        <v>1</v>
      </c>
      <c r="C178" t="inlineStr"/>
      <c r="D178" t="inlineStr"/>
      <c r="E178" t="n">
        <v>195</v>
      </c>
      <c r="F178">
        <f>HYPERLINK("https://portal.dnb.de/opac.htm?method=simpleSearch&amp;cqlMode=true&amp;query=idn%3D1066959625", "Portal")</f>
        <v/>
      </c>
      <c r="G178" t="inlineStr">
        <is>
          <t>Aaf</t>
        </is>
      </c>
      <c r="H178" t="inlineStr">
        <is>
          <t>L-1557-315490152</t>
        </is>
      </c>
      <c r="I178" t="inlineStr">
        <is>
          <t>1066959625</t>
        </is>
      </c>
      <c r="J178" t="inlineStr">
        <is>
          <t>III 7, 4</t>
        </is>
      </c>
      <c r="K178" t="inlineStr">
        <is>
          <t>III 7, 4</t>
        </is>
      </c>
      <c r="L178" t="inlineStr">
        <is>
          <t>III 7, 4</t>
        </is>
      </c>
      <c r="M178" t="inlineStr"/>
      <c r="N178" t="inlineStr">
        <is>
          <t>Sechsisch Weichbild|| Lehenrecht|| vnd|| Remissorium/| Auffs new an vielen orten// in Texten|| Glossen|| vnd|| derselben allegaten|| aus den warhaffti</t>
        </is>
      </c>
      <c r="O178" t="inlineStr">
        <is>
          <t xml:space="preserve"> : </t>
        </is>
      </c>
      <c r="P178" t="inlineStr"/>
      <c r="Q178" t="inlineStr"/>
      <c r="R178" t="inlineStr"/>
      <c r="S178" t="inlineStr"/>
      <c r="T178" t="inlineStr"/>
      <c r="U178" t="inlineStr"/>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inlineStr"/>
      <c r="BJ178" t="inlineStr"/>
      <c r="BK178" t="inlineStr"/>
      <c r="BL178" t="inlineStr"/>
      <c r="BM178" t="inlineStr"/>
      <c r="BN178" t="n">
        <v>0</v>
      </c>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row>
    <row r="179">
      <c r="A179" t="inlineStr">
        <is>
          <t>III</t>
        </is>
      </c>
      <c r="B179" t="b">
        <v>1</v>
      </c>
      <c r="C179" t="inlineStr"/>
      <c r="D179" t="inlineStr"/>
      <c r="E179" t="n">
        <v>196</v>
      </c>
      <c r="F179">
        <f>HYPERLINK("https://portal.dnb.de/opac.htm?method=simpleSearch&amp;cqlMode=true&amp;query=idn%3D1066870896", "Portal")</f>
        <v/>
      </c>
      <c r="G179" t="inlineStr">
        <is>
          <t>Aaf</t>
        </is>
      </c>
      <c r="H179" t="inlineStr">
        <is>
          <t>L-1540-315328770</t>
        </is>
      </c>
      <c r="I179" t="inlineStr">
        <is>
          <t>1066870896</t>
        </is>
      </c>
      <c r="J179" t="inlineStr">
        <is>
          <t>III 8, 1</t>
        </is>
      </c>
      <c r="K179" t="inlineStr">
        <is>
          <t>III 8, 1</t>
        </is>
      </c>
      <c r="L179" t="inlineStr">
        <is>
          <t>III 8, 1</t>
        </is>
      </c>
      <c r="M179" t="inlineStr"/>
      <c r="N179" t="inlineStr">
        <is>
          <t xml:space="preserve">Kirchen Ordnung|| im Churfurstenthum der Marcken zu Brandemburg, wie man sich beide mit der Leer vnd Ceremonien halten sol : </t>
        </is>
      </c>
      <c r="O179" t="inlineStr">
        <is>
          <t xml:space="preserve"> : </t>
        </is>
      </c>
      <c r="P179" t="inlineStr"/>
      <c r="Q179" t="inlineStr"/>
      <c r="R179" t="inlineStr"/>
      <c r="S179" t="inlineStr"/>
      <c r="T179" t="inlineStr"/>
      <c r="U179" t="inlineStr"/>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inlineStr"/>
      <c r="BJ179" t="inlineStr"/>
      <c r="BK179" t="inlineStr"/>
      <c r="BL179" t="inlineStr"/>
      <c r="BM179" t="inlineStr"/>
      <c r="BN179" t="n">
        <v>0</v>
      </c>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c r="DC179" t="inlineStr"/>
      <c r="DD179" t="inlineStr"/>
      <c r="DE179" t="inlineStr"/>
      <c r="DF179" t="inlineStr"/>
      <c r="DG179" t="inlineStr"/>
    </row>
    <row r="180">
      <c r="A180" t="inlineStr">
        <is>
          <t>III</t>
        </is>
      </c>
      <c r="B180" t="b">
        <v>1</v>
      </c>
      <c r="C180" t="inlineStr"/>
      <c r="D180" t="inlineStr"/>
      <c r="E180" t="n">
        <v>197</v>
      </c>
      <c r="F180">
        <f>HYPERLINK("https://portal.dnb.de/opac.htm?method=simpleSearch&amp;cqlMode=true&amp;query=idn%3D1066761140", "Portal")</f>
        <v/>
      </c>
      <c r="G180" t="inlineStr">
        <is>
          <t>Aaf</t>
        </is>
      </c>
      <c r="H180" t="inlineStr">
        <is>
          <t>L-1541-315183861</t>
        </is>
      </c>
      <c r="I180" t="inlineStr">
        <is>
          <t>1066761140</t>
        </is>
      </c>
      <c r="J180" t="inlineStr">
        <is>
          <t>III 8, 2</t>
        </is>
      </c>
      <c r="K180" t="inlineStr">
        <is>
          <t>III 8, 2</t>
        </is>
      </c>
      <c r="L180" t="inlineStr">
        <is>
          <t>III 8, 2</t>
        </is>
      </c>
      <c r="M180" t="inlineStr"/>
      <c r="N180" t="inlineStr">
        <is>
          <t xml:space="preserve">Der @spruch s. Pau=||li. j. Timoth. ij.|| Sie wird selig durch Kinder zeugen...|| Ausgelegt durch.|| D. Casper Creutziger.|| ... : </t>
        </is>
      </c>
      <c r="O180" t="inlineStr">
        <is>
          <t xml:space="preserve"> : </t>
        </is>
      </c>
      <c r="P180" t="inlineStr"/>
      <c r="Q180" t="inlineStr"/>
      <c r="R180" t="inlineStr"/>
      <c r="S180" t="inlineStr"/>
      <c r="T180" t="inlineStr"/>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inlineStr"/>
      <c r="BJ180" t="inlineStr"/>
      <c r="BK180" t="inlineStr"/>
      <c r="BL180" t="inlineStr"/>
      <c r="BM180" t="inlineStr"/>
      <c r="BN180" t="n">
        <v>0</v>
      </c>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c r="DC180" t="inlineStr"/>
      <c r="DD180" t="inlineStr"/>
      <c r="DE180" t="inlineStr"/>
      <c r="DF180" t="inlineStr"/>
      <c r="DG180" t="inlineStr"/>
    </row>
    <row r="181">
      <c r="A181" t="inlineStr">
        <is>
          <t>III</t>
        </is>
      </c>
      <c r="B181" t="b">
        <v>1</v>
      </c>
      <c r="C181" t="inlineStr"/>
      <c r="D181" t="inlineStr"/>
      <c r="E181" t="n">
        <v>198</v>
      </c>
      <c r="F181">
        <f>HYPERLINK("https://portal.dnb.de/opac.htm?method=simpleSearch&amp;cqlMode=true&amp;query=idn%3D1066873054", "Portal")</f>
        <v/>
      </c>
      <c r="G181" t="inlineStr">
        <is>
          <t>Aaf</t>
        </is>
      </c>
      <c r="H181" t="inlineStr">
        <is>
          <t>L-1542-315330813</t>
        </is>
      </c>
      <c r="I181" t="inlineStr">
        <is>
          <t>1066873054</t>
        </is>
      </c>
      <c r="J181" t="inlineStr">
        <is>
          <t>III 8, 3</t>
        </is>
      </c>
      <c r="K181" t="inlineStr">
        <is>
          <t>III 8, 3</t>
        </is>
      </c>
      <c r="L181" t="inlineStr">
        <is>
          <t>III 8, 3</t>
        </is>
      </c>
      <c r="M181" t="inlineStr"/>
      <c r="N181" t="inlineStr">
        <is>
          <t xml:space="preserve">Kirchen Ordnung|| im Churfurstenthum der Marcken : </t>
        </is>
      </c>
      <c r="O181" t="inlineStr">
        <is>
          <t xml:space="preserve"> : </t>
        </is>
      </c>
      <c r="P181" t="inlineStr"/>
      <c r="Q181" t="inlineStr"/>
      <c r="R181" t="inlineStr"/>
      <c r="S181" t="inlineStr"/>
      <c r="T181" t="inlineStr"/>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n">
        <v>0</v>
      </c>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c r="DC181" t="inlineStr"/>
      <c r="DD181" t="inlineStr"/>
      <c r="DE181" t="inlineStr"/>
      <c r="DF181" t="inlineStr"/>
      <c r="DG181" t="inlineStr"/>
    </row>
    <row r="182">
      <c r="A182" t="inlineStr">
        <is>
          <t>III</t>
        </is>
      </c>
      <c r="B182" t="b">
        <v>1</v>
      </c>
      <c r="C182" t="inlineStr"/>
      <c r="D182" t="inlineStr"/>
      <c r="E182" t="n">
        <v>199</v>
      </c>
      <c r="F182">
        <f>HYPERLINK("https://portal.dnb.de/opac.htm?method=simpleSearch&amp;cqlMode=true&amp;query=idn%3D1066838550", "Portal")</f>
        <v/>
      </c>
      <c r="G182" t="inlineStr">
        <is>
          <t>Aaf</t>
        </is>
      </c>
      <c r="H182" t="inlineStr">
        <is>
          <t>L-1939-315298626</t>
        </is>
      </c>
      <c r="I182" t="inlineStr">
        <is>
          <t>1066838550</t>
        </is>
      </c>
      <c r="J182" t="inlineStr">
        <is>
          <t>III 9, 1</t>
        </is>
      </c>
      <c r="K182" t="inlineStr">
        <is>
          <t>III 9, 1</t>
        </is>
      </c>
      <c r="L182" t="inlineStr">
        <is>
          <t>III 9, 1</t>
        </is>
      </c>
      <c r="M182" t="inlineStr"/>
      <c r="N182" t="inlineStr">
        <is>
          <t xml:space="preserve">Beschribung vnd Geschicht deß// Meylandischen kriegsz/ der vom ein vnd zwentzigsten : </t>
        </is>
      </c>
      <c r="O182" t="inlineStr">
        <is>
          <t xml:space="preserve"> : </t>
        </is>
      </c>
      <c r="P182" t="inlineStr"/>
      <c r="Q182" t="inlineStr"/>
      <c r="R182" t="inlineStr"/>
      <c r="S182" t="inlineStr"/>
      <c r="T182" t="inlineStr"/>
      <c r="U182" t="inlineStr"/>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inlineStr"/>
      <c r="BI182" t="inlineStr"/>
      <c r="BJ182" t="inlineStr"/>
      <c r="BK182" t="inlineStr"/>
      <c r="BL182" t="inlineStr"/>
      <c r="BM182" t="inlineStr"/>
      <c r="BN182" t="n">
        <v>0</v>
      </c>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c r="DC182" t="inlineStr"/>
      <c r="DD182" t="inlineStr"/>
      <c r="DE182" t="inlineStr"/>
      <c r="DF182" t="inlineStr"/>
      <c r="DG182" t="inlineStr"/>
    </row>
    <row r="183">
      <c r="A183" t="inlineStr">
        <is>
          <t>III</t>
        </is>
      </c>
      <c r="B183" t="b">
        <v>1</v>
      </c>
      <c r="C183" t="inlineStr"/>
      <c r="D183" t="inlineStr"/>
      <c r="E183" t="inlineStr"/>
      <c r="F183">
        <f>HYPERLINK("https://portal.dnb.de/opac.htm?method=simpleSearch&amp;cqlMode=true&amp;query=idn%3D1138241385", "Portal")</f>
        <v/>
      </c>
      <c r="G183" t="inlineStr">
        <is>
          <t>Qd</t>
        </is>
      </c>
      <c r="H183" t="inlineStr">
        <is>
          <t>L-9999-414746600</t>
        </is>
      </c>
      <c r="I183" t="inlineStr">
        <is>
          <t>1138241385</t>
        </is>
      </c>
      <c r="J183" t="inlineStr">
        <is>
          <t>III 10, 1</t>
        </is>
      </c>
      <c r="K183" t="inlineStr">
        <is>
          <t>III 10, 1</t>
        </is>
      </c>
      <c r="L183" t="inlineStr">
        <is>
          <t>III 10, 1</t>
        </is>
      </c>
      <c r="M183" t="inlineStr"/>
      <c r="N183" t="inlineStr">
        <is>
          <t xml:space="preserve">Sammelband : </t>
        </is>
      </c>
      <c r="O183" t="inlineStr">
        <is>
          <t xml:space="preserve"> : </t>
        </is>
      </c>
      <c r="P183" t="inlineStr">
        <is>
          <t>X</t>
        </is>
      </c>
      <c r="Q183" t="inlineStr"/>
      <c r="R183" t="inlineStr">
        <is>
          <t>Pergamentband</t>
        </is>
      </c>
      <c r="S183" t="inlineStr">
        <is>
          <t>bis 35 cm</t>
        </is>
      </c>
      <c r="T183" t="inlineStr">
        <is>
          <t>180°</t>
        </is>
      </c>
      <c r="U183" t="inlineStr">
        <is>
          <t>hohler Rücken</t>
        </is>
      </c>
      <c r="V183" t="inlineStr"/>
      <c r="W183" t="inlineStr">
        <is>
          <t>Kassette</t>
        </is>
      </c>
      <c r="X183" t="inlineStr">
        <is>
          <t>Nein</t>
        </is>
      </c>
      <c r="Y183" t="n">
        <v>3</v>
      </c>
      <c r="Z183" t="inlineStr"/>
      <c r="AA183" t="inlineStr"/>
      <c r="AB183" t="inlineStr"/>
      <c r="AC183" t="inlineStr"/>
      <c r="AD183" t="inlineStr"/>
      <c r="AE183" t="inlineStr"/>
      <c r="AF183" t="inlineStr"/>
      <c r="AG183" t="inlineStr"/>
      <c r="AH183" t="inlineStr"/>
      <c r="AI183" t="inlineStr">
        <is>
          <t>Pg</t>
        </is>
      </c>
      <c r="AJ183" t="inlineStr">
        <is>
          <t xml:space="preserve">
flexibler Pg.</t>
        </is>
      </c>
      <c r="AK183" t="inlineStr"/>
      <c r="AL183" t="inlineStr"/>
      <c r="AM183" t="inlineStr">
        <is>
          <t>h</t>
        </is>
      </c>
      <c r="AN183" t="inlineStr"/>
      <c r="AO183" t="inlineStr"/>
      <c r="AP183" t="inlineStr"/>
      <c r="AQ183" t="inlineStr"/>
      <c r="AR183" t="inlineStr"/>
      <c r="AS183" t="inlineStr">
        <is>
          <t>Pa</t>
        </is>
      </c>
      <c r="AT183" t="inlineStr"/>
      <c r="AU183" t="inlineStr"/>
      <c r="AV183" t="inlineStr"/>
      <c r="AW183" t="inlineStr"/>
      <c r="AX183" t="inlineStr"/>
      <c r="AY183" t="inlineStr"/>
      <c r="AZ183" t="inlineStr"/>
      <c r="BA183" t="inlineStr"/>
      <c r="BB183" t="inlineStr"/>
      <c r="BC183" t="inlineStr"/>
      <c r="BD183" t="inlineStr"/>
      <c r="BE183" t="inlineStr"/>
      <c r="BF183" t="inlineStr"/>
      <c r="BG183" t="n">
        <v>80</v>
      </c>
      <c r="BH183" t="inlineStr"/>
      <c r="BI183" t="inlineStr"/>
      <c r="BJ183" t="inlineStr"/>
      <c r="BK183" t="inlineStr"/>
      <c r="BL183" t="inlineStr"/>
      <c r="BM183" t="inlineStr">
        <is>
          <t>n</t>
        </is>
      </c>
      <c r="BN183" t="n">
        <v>0</v>
      </c>
      <c r="BO183" t="inlineStr"/>
      <c r="BP183" t="inlineStr">
        <is>
          <t>Gewebe</t>
        </is>
      </c>
      <c r="BQ183" t="inlineStr"/>
      <c r="BR183" t="inlineStr"/>
      <c r="BS183" t="inlineStr"/>
      <c r="BT183" t="inlineStr"/>
      <c r="BU183" t="inlineStr"/>
      <c r="BV183" t="inlineStr">
        <is>
          <t>Schaden stabil</t>
        </is>
      </c>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c r="DC183" t="inlineStr"/>
      <c r="DD183" t="inlineStr"/>
      <c r="DE183" t="inlineStr"/>
      <c r="DF183" t="inlineStr"/>
      <c r="DG183" t="inlineStr"/>
    </row>
    <row r="184">
      <c r="A184" t="inlineStr">
        <is>
          <t>III</t>
        </is>
      </c>
      <c r="B184" t="b">
        <v>1</v>
      </c>
      <c r="C184" t="inlineStr"/>
      <c r="D184" t="inlineStr"/>
      <c r="E184" t="n">
        <v>1198</v>
      </c>
      <c r="F184">
        <f>HYPERLINK("https://portal.dnb.de/opac.htm?method=simpleSearch&amp;cqlMode=true&amp;query=idn%3D100048369X", "Portal")</f>
        <v/>
      </c>
      <c r="G184" t="inlineStr">
        <is>
          <t>Aal</t>
        </is>
      </c>
      <c r="H184" t="inlineStr">
        <is>
          <t>L-1539-170700631</t>
        </is>
      </c>
      <c r="I184" t="inlineStr">
        <is>
          <t>100048369X</t>
        </is>
      </c>
      <c r="J184" t="inlineStr">
        <is>
          <t>III 11 D, 1</t>
        </is>
      </c>
      <c r="K184" t="inlineStr">
        <is>
          <t>III 11 D, 1</t>
        </is>
      </c>
      <c r="L184" t="inlineStr">
        <is>
          <t>III 11 D, 1</t>
        </is>
      </c>
      <c r="M184" t="inlineStr"/>
      <c r="N184" t="inlineStr">
        <is>
          <t xml:space="preserve">Wie man die falschen|| Propheten erkennen ia greif-||fen mag, Ein predig, zu Mynden jnn|| Westphalen gethan, durch|| : </t>
        </is>
      </c>
      <c r="O184" t="inlineStr">
        <is>
          <t xml:space="preserve"> : </t>
        </is>
      </c>
      <c r="P184" t="inlineStr"/>
      <c r="Q184" t="inlineStr"/>
      <c r="R184" t="inlineStr"/>
      <c r="S184" t="inlineStr"/>
      <c r="T184" t="inlineStr"/>
      <c r="U184" t="inlineStr"/>
      <c r="V184" t="inlineStr"/>
      <c r="W184" t="inlineStr"/>
      <c r="X184" t="inlineStr"/>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inlineStr"/>
      <c r="BI184" t="inlineStr"/>
      <c r="BJ184" t="inlineStr"/>
      <c r="BK184" t="inlineStr"/>
      <c r="BL184" t="inlineStr"/>
      <c r="BM184" t="inlineStr"/>
      <c r="BN184" t="n">
        <v>0</v>
      </c>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c r="DC184" t="inlineStr"/>
      <c r="DD184" t="inlineStr"/>
      <c r="DE184" t="inlineStr"/>
      <c r="DF184" t="inlineStr"/>
      <c r="DG184" t="inlineStr"/>
    </row>
    <row r="185">
      <c r="A185" t="inlineStr">
        <is>
          <t>III</t>
        </is>
      </c>
      <c r="B185" t="b">
        <v>1</v>
      </c>
      <c r="C185" t="inlineStr"/>
      <c r="D185" t="inlineStr"/>
      <c r="E185" t="n">
        <v>1199</v>
      </c>
      <c r="F185">
        <f>HYPERLINK("https://portal.dnb.de/opac.htm?method=simpleSearch&amp;cqlMode=true&amp;query=idn%3D100048369X", "Portal")</f>
        <v/>
      </c>
      <c r="G185" t="inlineStr">
        <is>
          <t>Aal</t>
        </is>
      </c>
      <c r="H185" t="inlineStr">
        <is>
          <t>L-1539-170700836</t>
        </is>
      </c>
      <c r="I185" t="inlineStr">
        <is>
          <t>100048369X</t>
        </is>
      </c>
      <c r="J185" t="inlineStr">
        <is>
          <t>III 11 D, 1 a</t>
        </is>
      </c>
      <c r="K185" t="inlineStr">
        <is>
          <t>III 11 D, 1 a</t>
        </is>
      </c>
      <c r="L185" t="inlineStr">
        <is>
          <t>III 11 D, 1 a</t>
        </is>
      </c>
      <c r="M185" t="inlineStr"/>
      <c r="N185" t="inlineStr">
        <is>
          <t xml:space="preserve">Wie man die falschen|| Propheten erkennen ia greif-||fen mag, Ein predig, zu Mynden jnn|| Westphalen gethan, durch|| : </t>
        </is>
      </c>
      <c r="O185" t="inlineStr">
        <is>
          <t xml:space="preserve"> : </t>
        </is>
      </c>
      <c r="P185" t="inlineStr"/>
      <c r="Q185" t="inlineStr"/>
      <c r="R185" t="inlineStr"/>
      <c r="S185" t="inlineStr">
        <is>
          <t>bis 25 cm</t>
        </is>
      </c>
      <c r="T185" t="inlineStr"/>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is>
          <t>HPg</t>
        </is>
      </c>
      <c r="AJ185" t="inlineStr"/>
      <c r="AK185" t="inlineStr"/>
      <c r="AL185" t="inlineStr">
        <is>
          <t>x</t>
        </is>
      </c>
      <c r="AM185" t="inlineStr">
        <is>
          <t>h/E</t>
        </is>
      </c>
      <c r="AN185" t="inlineStr"/>
      <c r="AO185" t="inlineStr"/>
      <c r="AP185" t="inlineStr"/>
      <c r="AQ185" t="inlineStr"/>
      <c r="AR185" t="inlineStr"/>
      <c r="AS185" t="inlineStr">
        <is>
          <t>Pa</t>
        </is>
      </c>
      <c r="AT185" t="inlineStr"/>
      <c r="AU185" t="inlineStr"/>
      <c r="AV185" t="inlineStr"/>
      <c r="AW185" t="inlineStr"/>
      <c r="AX185" t="inlineStr"/>
      <c r="AY185" t="inlineStr"/>
      <c r="AZ185" t="inlineStr"/>
      <c r="BA185" t="inlineStr"/>
      <c r="BB185" t="inlineStr"/>
      <c r="BC185" t="inlineStr"/>
      <c r="BD185" t="inlineStr"/>
      <c r="BE185" t="inlineStr"/>
      <c r="BF185" t="inlineStr"/>
      <c r="BG185" t="n">
        <v>110</v>
      </c>
      <c r="BH185" t="inlineStr"/>
      <c r="BI185" t="inlineStr"/>
      <c r="BJ185" t="inlineStr"/>
      <c r="BK185" t="inlineStr"/>
      <c r="BL185" t="inlineStr"/>
      <c r="BM185" t="inlineStr">
        <is>
          <t>n</t>
        </is>
      </c>
      <c r="BN185" t="n">
        <v>0</v>
      </c>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row>
    <row r="186">
      <c r="A186" t="inlineStr">
        <is>
          <t>III</t>
        </is>
      </c>
      <c r="B186" t="b">
        <v>1</v>
      </c>
      <c r="C186" t="inlineStr"/>
      <c r="D186" t="inlineStr"/>
      <c r="E186" t="n">
        <v>203</v>
      </c>
      <c r="F186">
        <f>HYPERLINK("https://portal.dnb.de/opac.htm?method=simpleSearch&amp;cqlMode=true&amp;query=idn%3D1066877033", "Portal")</f>
        <v/>
      </c>
      <c r="G186" t="inlineStr">
        <is>
          <t>Aaf</t>
        </is>
      </c>
      <c r="H186" t="inlineStr">
        <is>
          <t>L-1557-315334738</t>
        </is>
      </c>
      <c r="I186" t="inlineStr">
        <is>
          <t>1066877033</t>
        </is>
      </c>
      <c r="J186" t="inlineStr">
        <is>
          <t>III 11, 1</t>
        </is>
      </c>
      <c r="K186" t="inlineStr">
        <is>
          <t>III 11, 1</t>
        </is>
      </c>
      <c r="L186" t="inlineStr">
        <is>
          <t>III 11, 1</t>
        </is>
      </c>
      <c r="M186" t="inlineStr"/>
      <c r="N186" t="inlineStr">
        <is>
          <t xml:space="preserve">Epicedia in obitvm illvstrissimi principis Hermanni Lvdouici, Palatini Rheni, Bauaria Ducis, Comitis Simerensis, &amp; SpΣheimensis, &amp; aliorum, qui simul </t>
        </is>
      </c>
      <c r="O186" t="inlineStr">
        <is>
          <t xml:space="preserve"> : </t>
        </is>
      </c>
      <c r="P186" t="inlineStr"/>
      <c r="Q186" t="inlineStr"/>
      <c r="R186" t="inlineStr"/>
      <c r="S186" t="inlineStr"/>
      <c r="T186" t="inlineStr"/>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n">
        <v>0</v>
      </c>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c r="DD186" t="inlineStr"/>
      <c r="DE186" t="inlineStr"/>
      <c r="DF186" t="inlineStr"/>
      <c r="DG186" t="inlineStr"/>
    </row>
    <row r="187">
      <c r="A187" t="inlineStr">
        <is>
          <t>III</t>
        </is>
      </c>
      <c r="B187" t="b">
        <v>1</v>
      </c>
      <c r="C187" t="inlineStr"/>
      <c r="D187" t="inlineStr"/>
      <c r="E187" t="inlineStr"/>
      <c r="F187">
        <f>HYPERLINK("https://portal.dnb.de/opac.htm?method=simpleSearch&amp;cqlMode=true&amp;query=idn%3D1272478661", "Portal")</f>
        <v/>
      </c>
      <c r="G187" t="inlineStr">
        <is>
          <t>Qd</t>
        </is>
      </c>
      <c r="H187" t="inlineStr">
        <is>
          <t>L-1523-848039629</t>
        </is>
      </c>
      <c r="I187" t="inlineStr">
        <is>
          <t>1272478661</t>
        </is>
      </c>
      <c r="J187" t="inlineStr">
        <is>
          <t>III 12, 1 @ m</t>
        </is>
      </c>
      <c r="K187" t="inlineStr">
        <is>
          <t>III 12, 1</t>
        </is>
      </c>
      <c r="L187" t="inlineStr">
        <is>
          <t>III 12, 1</t>
        </is>
      </c>
      <c r="M187" t="inlineStr"/>
      <c r="N187" t="inlineStr">
        <is>
          <t xml:space="preserve">Sammelband mit Altem Druck und "Füllmaterial" : </t>
        </is>
      </c>
      <c r="O187" t="inlineStr">
        <is>
          <t xml:space="preserve"> : </t>
        </is>
      </c>
      <c r="P187" t="inlineStr"/>
      <c r="Q187" t="inlineStr"/>
      <c r="R187" t="inlineStr">
        <is>
          <t>Halbledereinband, Schließen, erhabene Buchbeschläge</t>
        </is>
      </c>
      <c r="S187" t="inlineStr">
        <is>
          <t>bis 25 cm</t>
        </is>
      </c>
      <c r="T187" t="inlineStr">
        <is>
          <t>180°</t>
        </is>
      </c>
      <c r="U187" t="inlineStr">
        <is>
          <t>hohler Rücken</t>
        </is>
      </c>
      <c r="V187" t="inlineStr"/>
      <c r="W187" t="inlineStr">
        <is>
          <t>Buchschuh</t>
        </is>
      </c>
      <c r="X187" t="inlineStr">
        <is>
          <t>Nein</t>
        </is>
      </c>
      <c r="Y187" t="n">
        <v>0</v>
      </c>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inlineStr"/>
      <c r="BI187" t="inlineStr"/>
      <c r="BJ187" t="inlineStr"/>
      <c r="BK187" t="inlineStr"/>
      <c r="BL187" t="inlineStr"/>
      <c r="BM187" t="inlineStr"/>
      <c r="BN187" t="n">
        <v>0</v>
      </c>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c r="DC187" t="inlineStr"/>
      <c r="DD187" t="inlineStr"/>
      <c r="DE187" t="inlineStr"/>
      <c r="DF187" t="inlineStr"/>
      <c r="DG187" t="inlineStr"/>
    </row>
    <row r="188">
      <c r="A188" t="inlineStr">
        <is>
          <t>III</t>
        </is>
      </c>
      <c r="B188" t="b">
        <v>1</v>
      </c>
      <c r="C188" t="inlineStr"/>
      <c r="D188" t="inlineStr"/>
      <c r="E188" t="n">
        <v>205</v>
      </c>
      <c r="F188">
        <f>HYPERLINK("https://portal.dnb.de/opac.htm?method=simpleSearch&amp;cqlMode=true&amp;query=idn%3D1066957541", "Portal")</f>
        <v/>
      </c>
      <c r="G188" t="inlineStr">
        <is>
          <t>Aaf</t>
        </is>
      </c>
      <c r="H188" t="inlineStr">
        <is>
          <t>L-1523-315488174</t>
        </is>
      </c>
      <c r="I188" t="inlineStr">
        <is>
          <t>1066957541</t>
        </is>
      </c>
      <c r="J188" t="inlineStr">
        <is>
          <t>III 12, 2</t>
        </is>
      </c>
      <c r="K188" t="inlineStr">
        <is>
          <t>III 12, 2</t>
        </is>
      </c>
      <c r="L188" t="inlineStr">
        <is>
          <t>III 12, 2</t>
        </is>
      </c>
      <c r="M188" t="inlineStr"/>
      <c r="N188" t="inlineStr">
        <is>
          <t xml:space="preserve">Ausz legunge des|| Euangelij an des|| Newen Jares Tag. Luce|| am andern.|| Martinus|| Luther.|| : </t>
        </is>
      </c>
      <c r="O188" t="inlineStr">
        <is>
          <t xml:space="preserve"> : </t>
        </is>
      </c>
      <c r="P188" t="inlineStr"/>
      <c r="Q188" t="inlineStr"/>
      <c r="R188" t="inlineStr"/>
      <c r="S188" t="inlineStr"/>
      <c r="T188" t="inlineStr"/>
      <c r="U188" t="inlineStr"/>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inlineStr"/>
      <c r="BI188" t="inlineStr"/>
      <c r="BJ188" t="inlineStr"/>
      <c r="BK188" t="inlineStr"/>
      <c r="BL188" t="inlineStr"/>
      <c r="BM188" t="inlineStr"/>
      <c r="BN188" t="n">
        <v>0</v>
      </c>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c r="DD188" t="inlineStr"/>
      <c r="DE188" t="inlineStr"/>
      <c r="DF188" t="inlineStr"/>
      <c r="DG188" t="inlineStr"/>
    </row>
    <row r="189">
      <c r="A189" t="inlineStr">
        <is>
          <t>III</t>
        </is>
      </c>
      <c r="B189" t="b">
        <v>1</v>
      </c>
      <c r="C189" t="inlineStr"/>
      <c r="D189" t="inlineStr"/>
      <c r="E189" t="n">
        <v>206</v>
      </c>
      <c r="F189">
        <f>HYPERLINK("https://portal.dnb.de/opac.htm?method=simpleSearch&amp;cqlMode=true&amp;query=idn%3D1066957991", "Portal")</f>
        <v/>
      </c>
      <c r="G189" t="inlineStr">
        <is>
          <t>Aaf</t>
        </is>
      </c>
      <c r="H189" t="inlineStr">
        <is>
          <t>L-1519-315488638</t>
        </is>
      </c>
      <c r="I189" t="inlineStr">
        <is>
          <t>1066957991</t>
        </is>
      </c>
      <c r="J189" t="inlineStr">
        <is>
          <t>III 12, 3</t>
        </is>
      </c>
      <c r="K189" t="inlineStr">
        <is>
          <t>III 12, 3</t>
        </is>
      </c>
      <c r="L189" t="inlineStr">
        <is>
          <t>III 12, 3</t>
        </is>
      </c>
      <c r="M189" t="inlineStr"/>
      <c r="N189" t="inlineStr">
        <is>
          <t xml:space="preserve">Resolutiones Lu=||theriane super Propositioni||bus suis Lipsie|| disputatis.|| : </t>
        </is>
      </c>
      <c r="O189" t="inlineStr">
        <is>
          <t xml:space="preserve"> : </t>
        </is>
      </c>
      <c r="P189" t="inlineStr">
        <is>
          <t>X</t>
        </is>
      </c>
      <c r="Q189" t="inlineStr"/>
      <c r="R189" t="inlineStr">
        <is>
          <t>Halbgewebeband</t>
        </is>
      </c>
      <c r="S189" t="inlineStr">
        <is>
          <t>bis 25 cm</t>
        </is>
      </c>
      <c r="T189" t="inlineStr">
        <is>
          <t>180°</t>
        </is>
      </c>
      <c r="U189" t="inlineStr"/>
      <c r="V189" t="inlineStr"/>
      <c r="W189" t="inlineStr"/>
      <c r="X189" t="inlineStr">
        <is>
          <t>Signaturfahne austauschen</t>
        </is>
      </c>
      <c r="Y189" t="n">
        <v>0</v>
      </c>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inlineStr"/>
      <c r="BI189" t="inlineStr"/>
      <c r="BJ189" t="inlineStr"/>
      <c r="BK189" t="inlineStr"/>
      <c r="BL189" t="inlineStr"/>
      <c r="BM189" t="inlineStr"/>
      <c r="BN189" t="n">
        <v>0</v>
      </c>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c r="DC189" t="inlineStr"/>
      <c r="DD189" t="inlineStr"/>
      <c r="DE189" t="inlineStr"/>
      <c r="DF189" t="inlineStr"/>
      <c r="DG189" t="inlineStr"/>
    </row>
    <row r="190">
      <c r="A190" t="inlineStr">
        <is>
          <t>III</t>
        </is>
      </c>
      <c r="B190" t="b">
        <v>1</v>
      </c>
      <c r="C190" t="inlineStr"/>
      <c r="D190" t="inlineStr"/>
      <c r="E190" t="n">
        <v>208</v>
      </c>
      <c r="F190">
        <f>HYPERLINK("https://portal.dnb.de/opac.htm?method=simpleSearch&amp;cqlMode=true&amp;query=idn%3D1066880867", "Portal")</f>
        <v/>
      </c>
      <c r="G190" t="inlineStr">
        <is>
          <t>Aaf</t>
        </is>
      </c>
      <c r="H190" t="inlineStr">
        <is>
          <t>L-1520-315338350</t>
        </is>
      </c>
      <c r="I190" t="inlineStr">
        <is>
          <t>1066880867</t>
        </is>
      </c>
      <c r="J190" t="inlineStr">
        <is>
          <t>III 13, 1</t>
        </is>
      </c>
      <c r="K190" t="inlineStr">
        <is>
          <t>III 13, 1</t>
        </is>
      </c>
      <c r="L190" t="inlineStr">
        <is>
          <t>III 13, 1</t>
        </is>
      </c>
      <c r="M190" t="inlineStr"/>
      <c r="N190" t="inlineStr">
        <is>
          <t xml:space="preserve">Phisionomia magistri Michaelis scoti : </t>
        </is>
      </c>
      <c r="O190" t="inlineStr">
        <is>
          <t xml:space="preserve"> : </t>
        </is>
      </c>
      <c r="P190" t="inlineStr"/>
      <c r="Q190" t="inlineStr"/>
      <c r="R190" t="inlineStr"/>
      <c r="S190" t="inlineStr"/>
      <c r="T190" t="inlineStr"/>
      <c r="U190" t="inlineStr"/>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inlineStr"/>
      <c r="BI190" t="inlineStr"/>
      <c r="BJ190" t="inlineStr"/>
      <c r="BK190" t="inlineStr"/>
      <c r="BL190" t="inlineStr"/>
      <c r="BM190" t="inlineStr"/>
      <c r="BN190" t="n">
        <v>0</v>
      </c>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c r="DC190" t="inlineStr"/>
      <c r="DD190" t="inlineStr"/>
      <c r="DE190" t="inlineStr"/>
      <c r="DF190" t="inlineStr"/>
      <c r="DG190" t="inlineStr"/>
    </row>
    <row r="191">
      <c r="A191" t="inlineStr">
        <is>
          <t>III</t>
        </is>
      </c>
      <c r="B191" t="b">
        <v>1</v>
      </c>
      <c r="C191" t="inlineStr"/>
      <c r="D191" t="inlineStr"/>
      <c r="E191" t="n">
        <v>209</v>
      </c>
      <c r="F191">
        <f>HYPERLINK("https://portal.dnb.de/opac.htm?method=simpleSearch&amp;cqlMode=true&amp;query=idn%3D1132654785", "Portal")</f>
        <v/>
      </c>
      <c r="G191" t="inlineStr">
        <is>
          <t>Af</t>
        </is>
      </c>
      <c r="H191" t="inlineStr">
        <is>
          <t>L-1545-406971099</t>
        </is>
      </c>
      <c r="I191" t="inlineStr">
        <is>
          <t>1132654785</t>
        </is>
      </c>
      <c r="J191" t="inlineStr">
        <is>
          <t>III 14, 1</t>
        </is>
      </c>
      <c r="K191" t="inlineStr">
        <is>
          <t>III 14, 1</t>
        </is>
      </c>
      <c r="L191" t="inlineStr">
        <is>
          <t>III 14, 1</t>
        </is>
      </c>
      <c r="M191" t="inlineStr"/>
      <c r="N191" t="inlineStr">
        <is>
          <t>Clementis papae septimi, extrauagans constitutio contra clericos non incedentes in habitu &amp; tonsura una cum mirifico apparatu excellentissimi domini I</t>
        </is>
      </c>
      <c r="O191" t="inlineStr">
        <is>
          <t>2. : Repertorium mirifici apparatvs excellent. Do. Ioannis Antonii de Nigris civitatis Campaniae</t>
        </is>
      </c>
      <c r="P191" t="inlineStr">
        <is>
          <t>X</t>
        </is>
      </c>
      <c r="Q191" t="inlineStr"/>
      <c r="R191" t="inlineStr">
        <is>
          <t>Halbledereinband, Schließen, erhabene Buchbeschläge</t>
        </is>
      </c>
      <c r="S191" t="inlineStr">
        <is>
          <t>bis 35 cm</t>
        </is>
      </c>
      <c r="T191" t="inlineStr">
        <is>
          <t>180°</t>
        </is>
      </c>
      <c r="U191" t="inlineStr">
        <is>
          <t>fester Rücken mit Schmuckprägung</t>
        </is>
      </c>
      <c r="V191" t="inlineStr"/>
      <c r="W191" t="inlineStr">
        <is>
          <t>Buchschuh</t>
        </is>
      </c>
      <c r="X191" t="inlineStr">
        <is>
          <t>Nein</t>
        </is>
      </c>
      <c r="Y191" t="n">
        <v>2</v>
      </c>
      <c r="Z191" t="inlineStr"/>
      <c r="AA191" t="inlineStr"/>
      <c r="AB191" t="inlineStr"/>
      <c r="AC191" t="inlineStr"/>
      <c r="AD191" t="inlineStr"/>
      <c r="AE191" t="inlineStr"/>
      <c r="AF191" t="inlineStr"/>
      <c r="AG191" t="inlineStr"/>
      <c r="AH191" t="inlineStr"/>
      <c r="AI191" t="inlineStr">
        <is>
          <t>HL</t>
        </is>
      </c>
      <c r="AJ191" t="inlineStr"/>
      <c r="AK191" t="inlineStr">
        <is>
          <t>x</t>
        </is>
      </c>
      <c r="AL191" t="inlineStr"/>
      <c r="AM191" t="inlineStr">
        <is>
          <t>h/E</t>
        </is>
      </c>
      <c r="AN191" t="inlineStr"/>
      <c r="AO191" t="inlineStr"/>
      <c r="AP191" t="inlineStr"/>
      <c r="AQ191" t="inlineStr"/>
      <c r="AR191" t="inlineStr"/>
      <c r="AS191" t="inlineStr">
        <is>
          <t>Pa</t>
        </is>
      </c>
      <c r="AT191" t="inlineStr">
        <is>
          <t>x</t>
        </is>
      </c>
      <c r="AU191" t="inlineStr"/>
      <c r="AV191" t="inlineStr"/>
      <c r="AW191" t="inlineStr"/>
      <c r="AX191" t="inlineStr"/>
      <c r="AY191" t="inlineStr"/>
      <c r="AZ191" t="inlineStr"/>
      <c r="BA191" t="inlineStr"/>
      <c r="BB191" t="inlineStr"/>
      <c r="BC191" t="inlineStr"/>
      <c r="BD191" t="inlineStr"/>
      <c r="BE191" t="inlineStr"/>
      <c r="BF191" t="inlineStr"/>
      <c r="BG191" t="n">
        <v>110</v>
      </c>
      <c r="BH191" t="inlineStr"/>
      <c r="BI191" t="inlineStr"/>
      <c r="BJ191" t="inlineStr"/>
      <c r="BK191" t="inlineStr"/>
      <c r="BL191" t="inlineStr"/>
      <c r="BM191" t="inlineStr">
        <is>
          <t>n</t>
        </is>
      </c>
      <c r="BN191" t="n">
        <v>0</v>
      </c>
      <c r="BO191" t="inlineStr"/>
      <c r="BP191" t="inlineStr"/>
      <c r="BQ191" t="inlineStr"/>
      <c r="BR191" t="inlineStr">
        <is>
          <t>x</t>
        </is>
      </c>
      <c r="BS191" t="inlineStr"/>
      <c r="BT191" t="inlineStr"/>
      <c r="BU191" t="inlineStr"/>
      <c r="BV191" t="inlineStr">
        <is>
          <t>Schaden stabil</t>
        </is>
      </c>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c r="DC191" t="inlineStr"/>
      <c r="DD191" t="inlineStr"/>
      <c r="DE191" t="inlineStr"/>
      <c r="DF191" t="inlineStr"/>
      <c r="DG191" t="inlineStr"/>
    </row>
    <row r="192">
      <c r="A192" t="inlineStr">
        <is>
          <t>III</t>
        </is>
      </c>
      <c r="B192" t="b">
        <v>1</v>
      </c>
      <c r="C192" t="inlineStr"/>
      <c r="D192" t="inlineStr"/>
      <c r="E192" t="n">
        <v>210</v>
      </c>
      <c r="F192">
        <f>HYPERLINK("https://portal.dnb.de/opac.htm?method=simpleSearch&amp;cqlMode=true&amp;query=idn%3D1066678340", "Portal")</f>
        <v/>
      </c>
      <c r="G192" t="inlineStr">
        <is>
          <t>Aaf</t>
        </is>
      </c>
      <c r="H192" t="inlineStr">
        <is>
          <t>L-1506-315066989</t>
        </is>
      </c>
      <c r="I192" t="inlineStr">
        <is>
          <t>1066678340</t>
        </is>
      </c>
      <c r="J192" t="inlineStr">
        <is>
          <t>III 15, 1</t>
        </is>
      </c>
      <c r="K192" t="inlineStr">
        <is>
          <t>III 15, 1</t>
        </is>
      </c>
      <c r="L192" t="inlineStr">
        <is>
          <t>III 15, 1</t>
        </is>
      </c>
      <c r="M192" t="inlineStr"/>
      <c r="N192" t="inlineStr">
        <is>
          <t>Lectvra fratris Pavli Scriptoris ordinis Minorvm de observantia qvam edidit declarando svbtilissimas Doctoris Svbtilis sententias circa Magistrvm in p</t>
        </is>
      </c>
      <c r="O192" t="inlineStr">
        <is>
          <t xml:space="preserve"> : </t>
        </is>
      </c>
      <c r="P192" t="inlineStr"/>
      <c r="Q192" t="inlineStr"/>
      <c r="R192" t="inlineStr"/>
      <c r="S192" t="inlineStr"/>
      <c r="T192" t="inlineStr"/>
      <c r="U192" t="inlineStr"/>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inlineStr"/>
      <c r="BI192" t="inlineStr"/>
      <c r="BJ192" t="inlineStr"/>
      <c r="BK192" t="inlineStr"/>
      <c r="BL192" t="inlineStr"/>
      <c r="BM192" t="inlineStr"/>
      <c r="BN192" t="n">
        <v>0</v>
      </c>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c r="DC192" t="inlineStr"/>
      <c r="DD192" t="inlineStr"/>
      <c r="DE192" t="inlineStr"/>
      <c r="DF192" t="inlineStr"/>
      <c r="DG192" t="inlineStr"/>
    </row>
    <row r="193">
      <c r="A193" t="inlineStr">
        <is>
          <t>III</t>
        </is>
      </c>
      <c r="B193" t="b">
        <v>1</v>
      </c>
      <c r="C193" t="inlineStr"/>
      <c r="D193" t="inlineStr"/>
      <c r="E193" t="n">
        <v>211</v>
      </c>
      <c r="F193">
        <f>HYPERLINK("https://portal.dnb.de/opac.htm?method=simpleSearch&amp;cqlMode=true&amp;query=idn%3D1066940827", "Portal")</f>
        <v/>
      </c>
      <c r="G193" t="inlineStr">
        <is>
          <t>Aaf</t>
        </is>
      </c>
      <c r="H193" t="inlineStr">
        <is>
          <t>L-1510-315468580</t>
        </is>
      </c>
      <c r="I193" t="inlineStr">
        <is>
          <t>1066940827</t>
        </is>
      </c>
      <c r="J193" t="inlineStr">
        <is>
          <t>III 17, 1</t>
        </is>
      </c>
      <c r="K193" t="inlineStr">
        <is>
          <t>III 17, 1</t>
        </is>
      </c>
      <c r="L193" t="inlineStr">
        <is>
          <t>III 17, 1</t>
        </is>
      </c>
      <c r="M193" t="inlineStr"/>
      <c r="N193" t="inlineStr">
        <is>
          <t xml:space="preserve">Pauli Cortesii protonotarii apostolici In libros cardinalatu ad Iulium secundum pont. max. prooemium : </t>
        </is>
      </c>
      <c r="O193" t="inlineStr">
        <is>
          <t xml:space="preserve"> : </t>
        </is>
      </c>
      <c r="P193" t="inlineStr"/>
      <c r="Q193" t="inlineStr"/>
      <c r="R193" t="inlineStr"/>
      <c r="S193" t="inlineStr">
        <is>
          <t>bis 35 cm</t>
        </is>
      </c>
      <c r="T193" t="inlineStr"/>
      <c r="U193" t="inlineStr"/>
      <c r="V193" t="inlineStr"/>
      <c r="W193" t="inlineStr"/>
      <c r="X193" t="inlineStr"/>
      <c r="Y193" t="inlineStr"/>
      <c r="Z193" t="inlineStr"/>
      <c r="AA193" t="inlineStr"/>
      <c r="AB193" t="inlineStr"/>
      <c r="AC193" t="inlineStr"/>
      <c r="AD193" t="inlineStr"/>
      <c r="AE193" t="inlineStr"/>
      <c r="AF193" t="inlineStr"/>
      <c r="AG193" t="inlineStr"/>
      <c r="AH193" t="inlineStr"/>
      <c r="AI193" t="inlineStr">
        <is>
          <t>HL</t>
        </is>
      </c>
      <c r="AJ193" t="inlineStr"/>
      <c r="AK193" t="inlineStr">
        <is>
          <t>x</t>
        </is>
      </c>
      <c r="AL193" t="inlineStr"/>
      <c r="AM193" t="inlineStr">
        <is>
          <t>h/E</t>
        </is>
      </c>
      <c r="AN193" t="inlineStr"/>
      <c r="AO193" t="inlineStr">
        <is>
          <t>x</t>
        </is>
      </c>
      <c r="AP193" t="inlineStr"/>
      <c r="AQ193" t="inlineStr"/>
      <c r="AR193" t="inlineStr"/>
      <c r="AS193" t="inlineStr">
        <is>
          <t>Pa</t>
        </is>
      </c>
      <c r="AT193" t="inlineStr"/>
      <c r="AU193" t="inlineStr"/>
      <c r="AV193" t="inlineStr"/>
      <c r="AW193" t="inlineStr"/>
      <c r="AX193" t="inlineStr"/>
      <c r="AY193" t="inlineStr"/>
      <c r="AZ193" t="inlineStr"/>
      <c r="BA193" t="inlineStr"/>
      <c r="BB193" t="inlineStr"/>
      <c r="BC193" t="inlineStr"/>
      <c r="BD193" t="inlineStr"/>
      <c r="BE193" t="inlineStr"/>
      <c r="BF193" t="inlineStr"/>
      <c r="BG193" t="n">
        <v>110</v>
      </c>
      <c r="BH193" t="inlineStr"/>
      <c r="BI193" t="inlineStr"/>
      <c r="BJ193" t="inlineStr"/>
      <c r="BK193" t="inlineStr"/>
      <c r="BL193" t="inlineStr"/>
      <c r="BM193" t="inlineStr">
        <is>
          <t>n</t>
        </is>
      </c>
      <c r="BN193" t="n">
        <v>0</v>
      </c>
      <c r="BO193" t="inlineStr"/>
      <c r="BP193" t="inlineStr"/>
      <c r="BQ193" t="inlineStr"/>
      <c r="BR193" t="inlineStr">
        <is>
          <t>x</t>
        </is>
      </c>
      <c r="BS193" t="inlineStr"/>
      <c r="BT193" t="inlineStr"/>
      <c r="BU193" t="inlineStr"/>
      <c r="BV193" t="inlineStr">
        <is>
          <t>Schaden stabil</t>
        </is>
      </c>
      <c r="BW193" t="inlineStr">
        <is>
          <t>x 110</t>
        </is>
      </c>
      <c r="BX193" t="inlineStr">
        <is>
          <t xml:space="preserve">
beschädigt, Schutzumschlag</t>
        </is>
      </c>
      <c r="BY193" t="inlineStr">
        <is>
          <t>Umschlag (Leder pudert)</t>
        </is>
      </c>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c r="DC193" t="inlineStr"/>
      <c r="DD193" t="inlineStr"/>
      <c r="DE193" t="inlineStr"/>
      <c r="DF193" t="inlineStr"/>
      <c r="DG193" t="inlineStr"/>
    </row>
    <row r="194">
      <c r="A194" t="inlineStr">
        <is>
          <t>III</t>
        </is>
      </c>
      <c r="B194" t="b">
        <v>1</v>
      </c>
      <c r="C194" t="inlineStr"/>
      <c r="D194" t="inlineStr"/>
      <c r="E194" t="n">
        <v>212</v>
      </c>
      <c r="F194">
        <f>HYPERLINK("https://portal.dnb.de/opac.htm?method=simpleSearch&amp;cqlMode=true&amp;query=idn%3D993906184", "Portal")</f>
        <v/>
      </c>
      <c r="G194" t="inlineStr">
        <is>
          <t>Aal</t>
        </is>
      </c>
      <c r="H194" t="inlineStr">
        <is>
          <t>L-1543-153967803</t>
        </is>
      </c>
      <c r="I194" t="inlineStr">
        <is>
          <t>993906184</t>
        </is>
      </c>
      <c r="J194" t="inlineStr">
        <is>
          <t>III 18, 1</t>
        </is>
      </c>
      <c r="K194" t="inlineStr">
        <is>
          <t>III 18, 1</t>
        </is>
      </c>
      <c r="L194" t="inlineStr">
        <is>
          <t>III 18, 1</t>
        </is>
      </c>
      <c r="M194" t="inlineStr"/>
      <c r="N194" t="inlineStr">
        <is>
          <t xml:space="preserve">VOCABOLARIO, GRAMMATI-||CA, ET ORTHOGRAPHIA|| DE LA LINGVA VOL-||GARE D'ALBERTO|| ACHARISIO  DA|| CENTO, CON||ISPOSI-||TIO-||NI||DI MOL-||TI LVOGHI|| </t>
        </is>
      </c>
      <c r="O194" t="inlineStr">
        <is>
          <t xml:space="preserve"> : </t>
        </is>
      </c>
      <c r="P194" t="inlineStr">
        <is>
          <t>X</t>
        </is>
      </c>
      <c r="Q194" t="inlineStr"/>
      <c r="R194" t="inlineStr">
        <is>
          <t>Pergamentband, Schließen, erhabene Buchbeschläge</t>
        </is>
      </c>
      <c r="S194" t="inlineStr">
        <is>
          <t>bis 25 cm</t>
        </is>
      </c>
      <c r="T194" t="inlineStr">
        <is>
          <t>180°</t>
        </is>
      </c>
      <c r="U194" t="inlineStr">
        <is>
          <t>hohler Rücken</t>
        </is>
      </c>
      <c r="V194" t="inlineStr"/>
      <c r="W194" t="inlineStr">
        <is>
          <t>Buchschuh</t>
        </is>
      </c>
      <c r="X194" t="inlineStr">
        <is>
          <t>Nein</t>
        </is>
      </c>
      <c r="Y194" t="n">
        <v>0</v>
      </c>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inlineStr"/>
      <c r="BI194" t="inlineStr"/>
      <c r="BJ194" t="inlineStr"/>
      <c r="BK194" t="inlineStr"/>
      <c r="BL194" t="inlineStr"/>
      <c r="BM194" t="inlineStr"/>
      <c r="BN194" t="n">
        <v>0</v>
      </c>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c r="DC194" t="inlineStr"/>
      <c r="DD194" t="inlineStr"/>
      <c r="DE194" t="inlineStr"/>
      <c r="DF194" t="inlineStr"/>
      <c r="DG194" t="inlineStr"/>
    </row>
    <row r="195">
      <c r="A195" t="inlineStr">
        <is>
          <t>III</t>
        </is>
      </c>
      <c r="B195" t="b">
        <v>1</v>
      </c>
      <c r="C195" t="inlineStr"/>
      <c r="D195" t="inlineStr"/>
      <c r="E195" t="n">
        <v>213</v>
      </c>
      <c r="F195">
        <f>HYPERLINK("https://portal.dnb.de/opac.htm?method=simpleSearch&amp;cqlMode=true&amp;query=idn%3D993862659", "Portal")</f>
        <v/>
      </c>
      <c r="G195" t="inlineStr">
        <is>
          <t>Aal</t>
        </is>
      </c>
      <c r="H195" t="inlineStr">
        <is>
          <t>L-1550-153916583</t>
        </is>
      </c>
      <c r="I195" t="inlineStr">
        <is>
          <t>993862659</t>
        </is>
      </c>
      <c r="J195" t="inlineStr">
        <is>
          <t>III 20, 1</t>
        </is>
      </c>
      <c r="K195" t="inlineStr">
        <is>
          <t>III 20, 1</t>
        </is>
      </c>
      <c r="L195" t="inlineStr">
        <is>
          <t>III 20, 1</t>
        </is>
      </c>
      <c r="M195" t="inlineStr"/>
      <c r="N195" t="inlineStr">
        <is>
          <t xml:space="preserve">Ein @Sermon|| Die do lereth|| einen rechttenn|| guten vn̄ Christlichen wandel|| zufueren|| in allerley Staenden.|| Auß der ersten Epistel S.|| Peters </t>
        </is>
      </c>
      <c r="O195" t="inlineStr">
        <is>
          <t xml:space="preserve"> : </t>
        </is>
      </c>
      <c r="P195" t="inlineStr">
        <is>
          <t>X</t>
        </is>
      </c>
      <c r="Q195" t="inlineStr"/>
      <c r="R195" t="inlineStr">
        <is>
          <t>Papier- oder Pappeinband</t>
        </is>
      </c>
      <c r="S195" t="inlineStr">
        <is>
          <t>bis 25 cm</t>
        </is>
      </c>
      <c r="T195" t="inlineStr">
        <is>
          <t>180°</t>
        </is>
      </c>
      <c r="U195" t="inlineStr">
        <is>
          <t>hohler Rücken</t>
        </is>
      </c>
      <c r="V195" t="inlineStr"/>
      <c r="W195" t="inlineStr"/>
      <c r="X195" t="inlineStr"/>
      <c r="Y195" t="n">
        <v>1</v>
      </c>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inlineStr"/>
      <c r="BI195" t="inlineStr"/>
      <c r="BJ195" t="inlineStr"/>
      <c r="BK195" t="inlineStr"/>
      <c r="BL195" t="inlineStr"/>
      <c r="BM195" t="inlineStr"/>
      <c r="BN195" t="n">
        <v>0</v>
      </c>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c r="DC195" t="inlineStr"/>
      <c r="DD195" t="inlineStr"/>
      <c r="DE195" t="inlineStr"/>
      <c r="DF195" t="inlineStr"/>
      <c r="DG195" t="inlineStr"/>
    </row>
    <row r="196">
      <c r="A196" t="inlineStr">
        <is>
          <t>III</t>
        </is>
      </c>
      <c r="B196" t="b">
        <v>1</v>
      </c>
      <c r="C196" t="inlineStr"/>
      <c r="D196" t="inlineStr"/>
      <c r="E196" t="n">
        <v>214</v>
      </c>
      <c r="F196">
        <f>HYPERLINK("https://portal.dnb.de/opac.htm?method=simpleSearch&amp;cqlMode=true&amp;query=idn%3D1066962251", "Portal")</f>
        <v/>
      </c>
      <c r="G196" t="inlineStr">
        <is>
          <t>Aaf</t>
        </is>
      </c>
      <c r="H196" t="inlineStr">
        <is>
          <t>L-1551-315492651</t>
        </is>
      </c>
      <c r="I196" t="inlineStr">
        <is>
          <t>1066962251</t>
        </is>
      </c>
      <c r="J196" t="inlineStr">
        <is>
          <t>III 20, 2</t>
        </is>
      </c>
      <c r="K196" t="inlineStr">
        <is>
          <t>III 20, 2</t>
        </is>
      </c>
      <c r="L196" t="inlineStr">
        <is>
          <t>III 20, 2</t>
        </is>
      </c>
      <c r="M196" t="inlineStr"/>
      <c r="N196" t="inlineStr">
        <is>
          <t xml:space="preserve">Ein @kurtzer doch : </t>
        </is>
      </c>
      <c r="O196" t="inlineStr">
        <is>
          <t xml:space="preserve"> : </t>
        </is>
      </c>
      <c r="P196" t="inlineStr">
        <is>
          <t>x</t>
        </is>
      </c>
      <c r="Q196" t="inlineStr"/>
      <c r="R196" t="inlineStr">
        <is>
          <t>Halbgewebeband</t>
        </is>
      </c>
      <c r="S196" t="inlineStr">
        <is>
          <t>bis 25 cm</t>
        </is>
      </c>
      <c r="T196" t="inlineStr">
        <is>
          <t>180°</t>
        </is>
      </c>
      <c r="U196" t="inlineStr"/>
      <c r="V196" t="inlineStr"/>
      <c r="W196" t="inlineStr"/>
      <c r="X196" t="inlineStr"/>
      <c r="Y196" t="n">
        <v>0</v>
      </c>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inlineStr"/>
      <c r="BI196" t="inlineStr"/>
      <c r="BJ196" t="inlineStr"/>
      <c r="BK196" t="inlineStr"/>
      <c r="BL196" t="inlineStr"/>
      <c r="BM196" t="inlineStr"/>
      <c r="BN196" t="n">
        <v>0</v>
      </c>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c r="DC196" t="inlineStr"/>
      <c r="DD196" t="inlineStr"/>
      <c r="DE196" t="inlineStr"/>
      <c r="DF196" t="inlineStr"/>
      <c r="DG196" t="inlineStr"/>
    </row>
    <row r="197">
      <c r="A197" t="inlineStr">
        <is>
          <t>III</t>
        </is>
      </c>
      <c r="B197" t="b">
        <v>1</v>
      </c>
      <c r="C197" t="inlineStr"/>
      <c r="D197" t="inlineStr"/>
      <c r="E197" t="n">
        <v>215</v>
      </c>
      <c r="F197">
        <f>HYPERLINK("https://portal.dnb.de/opac.htm?method=simpleSearch&amp;cqlMode=true&amp;query=idn%3D1066874492", "Portal")</f>
        <v/>
      </c>
      <c r="G197" t="inlineStr">
        <is>
          <t>Aaf</t>
        </is>
      </c>
      <c r="H197" t="inlineStr">
        <is>
          <t>L-1501-31533228X</t>
        </is>
      </c>
      <c r="I197" t="inlineStr">
        <is>
          <t>1066874492</t>
        </is>
      </c>
      <c r="J197" t="inlineStr">
        <is>
          <t>III 21, 1</t>
        </is>
      </c>
      <c r="K197" t="inlineStr">
        <is>
          <t>III 21, 1</t>
        </is>
      </c>
      <c r="L197" t="inlineStr">
        <is>
          <t>III 21, 1</t>
        </is>
      </c>
      <c r="M197" t="inlineStr"/>
      <c r="N197" t="inlineStr">
        <is>
          <t xml:space="preserve">Aureum reminis=||cendi memorãdi#[que] perbreue opusculũ : </t>
        </is>
      </c>
      <c r="O197" t="inlineStr">
        <is>
          <t xml:space="preserve"> : </t>
        </is>
      </c>
      <c r="P197" t="inlineStr">
        <is>
          <t>x</t>
        </is>
      </c>
      <c r="Q197" t="inlineStr"/>
      <c r="R197" t="inlineStr">
        <is>
          <t>Halbledereinband, Schließen, erhabene Buchbeschläge</t>
        </is>
      </c>
      <c r="S197" t="inlineStr">
        <is>
          <t>bis 25 cm</t>
        </is>
      </c>
      <c r="T197" t="inlineStr">
        <is>
          <t>180°</t>
        </is>
      </c>
      <c r="U197" t="inlineStr">
        <is>
          <t>fester Rücken mit Schmuckprägung, Schrift bis in den Falz</t>
        </is>
      </c>
      <c r="V197" t="inlineStr"/>
      <c r="W197" t="inlineStr">
        <is>
          <t>Buchschuh</t>
        </is>
      </c>
      <c r="X197" t="inlineStr">
        <is>
          <t>Nein</t>
        </is>
      </c>
      <c r="Y197" t="n">
        <v>3</v>
      </c>
      <c r="Z197" t="inlineStr"/>
      <c r="AA197" t="inlineStr"/>
      <c r="AB197" t="inlineStr"/>
      <c r="AC197" t="inlineStr"/>
      <c r="AD197" t="inlineStr"/>
      <c r="AE197" t="inlineStr"/>
      <c r="AF197" t="inlineStr"/>
      <c r="AG197" t="inlineStr"/>
      <c r="AH197" t="inlineStr"/>
      <c r="AI197" t="inlineStr">
        <is>
          <t>HL</t>
        </is>
      </c>
      <c r="AJ197" t="inlineStr"/>
      <c r="AK197" t="inlineStr">
        <is>
          <t>x</t>
        </is>
      </c>
      <c r="AL197" t="inlineStr"/>
      <c r="AM197" t="inlineStr">
        <is>
          <t>h/E</t>
        </is>
      </c>
      <c r="AN197" t="inlineStr"/>
      <c r="AO197" t="inlineStr"/>
      <c r="AP197" t="inlineStr"/>
      <c r="AQ197" t="inlineStr"/>
      <c r="AR197" t="inlineStr"/>
      <c r="AS197" t="inlineStr">
        <is>
          <t>Pa</t>
        </is>
      </c>
      <c r="AT197" t="inlineStr">
        <is>
          <t>x</t>
        </is>
      </c>
      <c r="AU197" t="inlineStr"/>
      <c r="AV197" t="inlineStr"/>
      <c r="AW197" t="inlineStr"/>
      <c r="AX197" t="inlineStr"/>
      <c r="AY197" t="inlineStr"/>
      <c r="AZ197" t="inlineStr"/>
      <c r="BA197" t="inlineStr"/>
      <c r="BB197" t="inlineStr"/>
      <c r="BC197" t="inlineStr"/>
      <c r="BD197" t="inlineStr"/>
      <c r="BE197" t="inlineStr"/>
      <c r="BF197" t="inlineStr"/>
      <c r="BG197" t="n">
        <v>80</v>
      </c>
      <c r="BH197" t="inlineStr"/>
      <c r="BI197" t="inlineStr"/>
      <c r="BJ197" t="inlineStr"/>
      <c r="BK197" t="inlineStr"/>
      <c r="BL197" t="inlineStr"/>
      <c r="BM197" t="inlineStr">
        <is>
          <t>n</t>
        </is>
      </c>
      <c r="BN197" t="n">
        <v>0</v>
      </c>
      <c r="BO197" t="inlineStr"/>
      <c r="BP197" t="inlineStr"/>
      <c r="BQ197" t="inlineStr"/>
      <c r="BR197" t="inlineStr">
        <is>
          <t>x</t>
        </is>
      </c>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c r="DD197" t="inlineStr"/>
      <c r="DE197" t="inlineStr"/>
      <c r="DF197" t="inlineStr"/>
      <c r="DG197" t="inlineStr"/>
    </row>
    <row r="198">
      <c r="A198" t="inlineStr">
        <is>
          <t>III</t>
        </is>
      </c>
      <c r="B198" t="b">
        <v>1</v>
      </c>
      <c r="C198" t="inlineStr"/>
      <c r="D198" t="inlineStr"/>
      <c r="E198" t="n">
        <v>216</v>
      </c>
      <c r="F198">
        <f>HYPERLINK("https://portal.dnb.de/opac.htm?method=simpleSearch&amp;cqlMode=true&amp;query=idn%3D993948014", "Portal")</f>
        <v/>
      </c>
      <c r="G198" t="inlineStr">
        <is>
          <t>Aal</t>
        </is>
      </c>
      <c r="H198" t="inlineStr">
        <is>
          <t>L-1502-154070270</t>
        </is>
      </c>
      <c r="I198" t="inlineStr">
        <is>
          <t>993948014</t>
        </is>
      </c>
      <c r="J198" t="inlineStr">
        <is>
          <t>III 21, 2</t>
        </is>
      </c>
      <c r="K198" t="inlineStr">
        <is>
          <t>III 21, 2</t>
        </is>
      </c>
      <c r="L198" t="inlineStr">
        <is>
          <t>III 21, 2</t>
        </is>
      </c>
      <c r="M198" t="inlineStr"/>
      <c r="N198" t="inlineStr">
        <is>
          <t xml:space="preserve">De declaratione diffici||lium terminorum. tam Theo||logicalium q̃ Philo||sophie ac Lo||gice|| : </t>
        </is>
      </c>
      <c r="O198" t="inlineStr">
        <is>
          <t xml:space="preserve"> : </t>
        </is>
      </c>
      <c r="P198" t="inlineStr"/>
      <c r="Q198" t="inlineStr"/>
      <c r="R198" t="inlineStr">
        <is>
          <t>Ledereinband, Schließen, erhabene Buchbeschläge</t>
        </is>
      </c>
      <c r="S198" t="inlineStr">
        <is>
          <t>bis 25 cm</t>
        </is>
      </c>
      <c r="T198" t="inlineStr">
        <is>
          <t>80° bis 110°, einseitig digitalisierbar?</t>
        </is>
      </c>
      <c r="U198" t="inlineStr">
        <is>
          <t>hohler Rücken</t>
        </is>
      </c>
      <c r="V198" t="inlineStr"/>
      <c r="W198" t="inlineStr">
        <is>
          <t>Buchschuh</t>
        </is>
      </c>
      <c r="X198" t="inlineStr">
        <is>
          <t>Nein</t>
        </is>
      </c>
      <c r="Y198" t="n">
        <v>0</v>
      </c>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inlineStr"/>
      <c r="BJ198" t="inlineStr"/>
      <c r="BK198" t="inlineStr"/>
      <c r="BL198" t="inlineStr"/>
      <c r="BM198" t="inlineStr"/>
      <c r="BN198" t="n">
        <v>0</v>
      </c>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c r="DD198" t="inlineStr"/>
      <c r="DE198" t="inlineStr"/>
      <c r="DF198" t="inlineStr"/>
      <c r="DG198" t="inlineStr"/>
    </row>
    <row r="199">
      <c r="A199" t="inlineStr">
        <is>
          <t>III</t>
        </is>
      </c>
      <c r="B199" t="b">
        <v>1</v>
      </c>
      <c r="C199" t="inlineStr"/>
      <c r="D199" t="inlineStr"/>
      <c r="E199" t="n">
        <v>256</v>
      </c>
      <c r="F199">
        <f>HYPERLINK("https://portal.dnb.de/opac.htm?method=simpleSearch&amp;cqlMode=true&amp;query=idn%3D998441562", "Portal")</f>
        <v/>
      </c>
      <c r="G199" t="inlineStr">
        <is>
          <t>Aal</t>
        </is>
      </c>
      <c r="H199" t="inlineStr">
        <is>
          <t>L-1506-166225983</t>
        </is>
      </c>
      <c r="I199" t="inlineStr">
        <is>
          <t>998441562</t>
        </is>
      </c>
      <c r="J199" t="inlineStr">
        <is>
          <t>III 21, 2 a</t>
        </is>
      </c>
      <c r="K199" t="inlineStr">
        <is>
          <t>III 21, 2 a</t>
        </is>
      </c>
      <c r="L199" t="inlineStr">
        <is>
          <t>III 21, 2 a</t>
        </is>
      </c>
      <c r="M199" t="inlineStr"/>
      <c r="N199" t="inlineStr">
        <is>
          <t>REsolutoriū du-||biorū circa celebrationē missa?|| occurrentiū|| per venerabilē do=||minū Joannē de lapide doctorē Theologū parisiensem. or=||dinis Ca</t>
        </is>
      </c>
      <c r="O199" t="inlineStr">
        <is>
          <t xml:space="preserve"> : </t>
        </is>
      </c>
      <c r="P199" t="inlineStr"/>
      <c r="Q199" t="inlineStr"/>
      <c r="R199" t="inlineStr">
        <is>
          <t>Halbpergamentband</t>
        </is>
      </c>
      <c r="S199" t="inlineStr">
        <is>
          <t>bis 25 cm</t>
        </is>
      </c>
      <c r="T199" t="inlineStr">
        <is>
          <t>180°</t>
        </is>
      </c>
      <c r="U199" t="inlineStr">
        <is>
          <t>hohler Rücken</t>
        </is>
      </c>
      <c r="V199" t="inlineStr"/>
      <c r="W199" t="inlineStr"/>
      <c r="X199" t="inlineStr"/>
      <c r="Y199" t="n">
        <v>0</v>
      </c>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inlineStr"/>
      <c r="BI199" t="inlineStr"/>
      <c r="BJ199" t="inlineStr"/>
      <c r="BK199" t="inlineStr"/>
      <c r="BL199" t="inlineStr"/>
      <c r="BM199" t="inlineStr"/>
      <c r="BN199" t="n">
        <v>0</v>
      </c>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c r="DD199" t="inlineStr"/>
      <c r="DE199" t="inlineStr"/>
      <c r="DF199" t="inlineStr"/>
      <c r="DG199" t="inlineStr"/>
    </row>
    <row r="200">
      <c r="A200" t="inlineStr">
        <is>
          <t>III</t>
        </is>
      </c>
      <c r="B200" t="b">
        <v>0</v>
      </c>
      <c r="C200" t="inlineStr"/>
      <c r="D200" t="inlineStr"/>
      <c r="E200" t="inlineStr"/>
      <c r="F200">
        <f>HYPERLINK("https://portal.dnb.de/opac.htm?method=simpleSearch&amp;cqlMode=true&amp;query=idn%3D", "Portal")</f>
        <v/>
      </c>
      <c r="G200" t="inlineStr"/>
      <c r="H200" t="inlineStr"/>
      <c r="I200" t="inlineStr"/>
      <c r="J200" t="inlineStr"/>
      <c r="K200" t="inlineStr"/>
      <c r="L200" t="inlineStr">
        <is>
          <t>III 21, 3</t>
        </is>
      </c>
      <c r="M200" t="inlineStr"/>
      <c r="N200" t="inlineStr"/>
      <c r="O200" t="inlineStr"/>
      <c r="P200" t="inlineStr">
        <is>
          <t>X</t>
        </is>
      </c>
      <c r="Q200" t="inlineStr"/>
      <c r="R200" t="inlineStr">
        <is>
          <t>Gewebeeinband</t>
        </is>
      </c>
      <c r="S200" t="inlineStr">
        <is>
          <t>bis 25 cm</t>
        </is>
      </c>
      <c r="T200" t="inlineStr">
        <is>
          <t>180°</t>
        </is>
      </c>
      <c r="U200" t="inlineStr">
        <is>
          <t>hohler Rücken</t>
        </is>
      </c>
      <c r="V200" t="inlineStr"/>
      <c r="W200" t="inlineStr"/>
      <c r="X200" t="inlineStr"/>
      <c r="Y200" t="n">
        <v>0</v>
      </c>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n">
        <v>0</v>
      </c>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c r="DC200" t="inlineStr"/>
      <c r="DD200" t="inlineStr"/>
      <c r="DE200" t="inlineStr"/>
      <c r="DF200" t="inlineStr"/>
      <c r="DG200" t="inlineStr"/>
    </row>
    <row r="201">
      <c r="A201" t="inlineStr">
        <is>
          <t>III</t>
        </is>
      </c>
      <c r="B201" t="b">
        <v>1</v>
      </c>
      <c r="C201" t="inlineStr"/>
      <c r="D201" t="inlineStr"/>
      <c r="E201" t="n">
        <v>217</v>
      </c>
      <c r="F201">
        <f>HYPERLINK("https://portal.dnb.de/opac.htm?method=simpleSearch&amp;cqlMode=true&amp;query=idn%3D106696209X", "Portal")</f>
        <v/>
      </c>
      <c r="G201" t="inlineStr">
        <is>
          <t>Aaf</t>
        </is>
      </c>
      <c r="H201" t="inlineStr">
        <is>
          <t>L-1516-31549249X</t>
        </is>
      </c>
      <c r="I201" t="inlineStr">
        <is>
          <t>106696209X</t>
        </is>
      </c>
      <c r="J201" t="inlineStr">
        <is>
          <t>III 21, 4</t>
        </is>
      </c>
      <c r="K201" t="inlineStr">
        <is>
          <t>III 21, 4</t>
        </is>
      </c>
      <c r="L201" t="inlineStr">
        <is>
          <t>III 21, 4</t>
        </is>
      </c>
      <c r="M201" t="inlineStr"/>
      <c r="N201" t="inlineStr">
        <is>
          <t>BReuiores epi=||stole Marci Antonij Sabellici|| viri literatissimi. ex cuius elegantissimo epistola#[rum] opere. pro rudib#[us]|| latini sermonis adul</t>
        </is>
      </c>
      <c r="O201" t="inlineStr">
        <is>
          <t xml:space="preserve"> : </t>
        </is>
      </c>
      <c r="P201" t="inlineStr">
        <is>
          <t>X</t>
        </is>
      </c>
      <c r="Q201" t="inlineStr"/>
      <c r="R201" t="inlineStr">
        <is>
          <t>Gewebeeinband</t>
        </is>
      </c>
      <c r="S201" t="inlineStr">
        <is>
          <t>bis 25 cm</t>
        </is>
      </c>
      <c r="T201" t="inlineStr">
        <is>
          <t>180°</t>
        </is>
      </c>
      <c r="U201" t="inlineStr">
        <is>
          <t>hohler Rücken</t>
        </is>
      </c>
      <c r="V201" t="inlineStr"/>
      <c r="W201" t="inlineStr"/>
      <c r="X201" t="inlineStr"/>
      <c r="Y201" t="n">
        <v>0</v>
      </c>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inlineStr"/>
      <c r="BI201" t="inlineStr"/>
      <c r="BJ201" t="inlineStr"/>
      <c r="BK201" t="inlineStr"/>
      <c r="BL201" t="inlineStr"/>
      <c r="BM201" t="inlineStr"/>
      <c r="BN201" t="n">
        <v>0</v>
      </c>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c r="DC201" t="inlineStr"/>
      <c r="DD201" t="inlineStr"/>
      <c r="DE201" t="inlineStr"/>
      <c r="DF201" t="inlineStr"/>
      <c r="DG201" t="inlineStr"/>
    </row>
    <row r="202">
      <c r="A202" t="inlineStr">
        <is>
          <t>III</t>
        </is>
      </c>
      <c r="B202" t="b">
        <v>1</v>
      </c>
      <c r="C202" t="inlineStr"/>
      <c r="D202" t="inlineStr"/>
      <c r="E202" t="n">
        <v>218</v>
      </c>
      <c r="F202">
        <f>HYPERLINK("https://portal.dnb.de/opac.htm?method=simpleSearch&amp;cqlMode=true&amp;query=idn%3D106683914X", "Portal")</f>
        <v/>
      </c>
      <c r="G202" t="inlineStr">
        <is>
          <t>Aaf</t>
        </is>
      </c>
      <c r="H202" t="inlineStr">
        <is>
          <t>L-1518-315299193</t>
        </is>
      </c>
      <c r="I202" t="inlineStr">
        <is>
          <t>106683914X</t>
        </is>
      </c>
      <c r="J202" t="inlineStr">
        <is>
          <t>III 21, 5</t>
        </is>
      </c>
      <c r="K202" t="inlineStr">
        <is>
          <t>III 21, 5</t>
        </is>
      </c>
      <c r="L202" t="inlineStr">
        <is>
          <t>III 21, 5</t>
        </is>
      </c>
      <c r="M202" t="inlineStr"/>
      <c r="N202" t="inlineStr">
        <is>
          <t xml:space="preserve">HER. BV||SCHII PASPHILI.|| DECIMATIONVM PLAV||TINARVM PEMPTAS|| SIVE QVINTA-||NA SECVN//DA|| : </t>
        </is>
      </c>
      <c r="O202" t="inlineStr">
        <is>
          <t xml:space="preserve"> : </t>
        </is>
      </c>
      <c r="P202" t="inlineStr">
        <is>
          <t>X</t>
        </is>
      </c>
      <c r="Q202" t="inlineStr"/>
      <c r="R202" t="inlineStr">
        <is>
          <t>Gewebeeinband, Schließen, erhabene Buchbeschläge</t>
        </is>
      </c>
      <c r="S202" t="inlineStr">
        <is>
          <t>bis 25 cm</t>
        </is>
      </c>
      <c r="T202" t="inlineStr">
        <is>
          <t>80° bis 110°, einseitig digitalisierbar?</t>
        </is>
      </c>
      <c r="U202" t="inlineStr">
        <is>
          <t>hohler Rücken</t>
        </is>
      </c>
      <c r="V202" t="inlineStr"/>
      <c r="W202" t="inlineStr">
        <is>
          <t>Buchschuh</t>
        </is>
      </c>
      <c r="X202" t="inlineStr">
        <is>
          <t>Nein</t>
        </is>
      </c>
      <c r="Y202" t="n">
        <v>0</v>
      </c>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n">
        <v>0</v>
      </c>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c r="DC202" t="inlineStr"/>
      <c r="DD202" t="inlineStr"/>
      <c r="DE202" t="inlineStr"/>
      <c r="DF202" t="inlineStr"/>
      <c r="DG202" t="inlineStr"/>
    </row>
    <row r="203">
      <c r="A203" t="inlineStr">
        <is>
          <t>III</t>
        </is>
      </c>
      <c r="B203" t="b">
        <v>1</v>
      </c>
      <c r="C203" t="inlineStr"/>
      <c r="D203" t="inlineStr"/>
      <c r="E203" t="n">
        <v>219</v>
      </c>
      <c r="F203">
        <f>HYPERLINK("https://portal.dnb.de/opac.htm?method=simpleSearch&amp;cqlMode=true&amp;query=idn%3D1066871981", "Portal")</f>
        <v/>
      </c>
      <c r="G203" t="inlineStr">
        <is>
          <t>Aaf</t>
        </is>
      </c>
      <c r="H203" t="inlineStr">
        <is>
          <t>L-1524-315329734</t>
        </is>
      </c>
      <c r="I203" t="inlineStr">
        <is>
          <t>1066871981</t>
        </is>
      </c>
      <c r="J203" t="inlineStr">
        <is>
          <t>III 21, 6</t>
        </is>
      </c>
      <c r="K203" t="inlineStr">
        <is>
          <t>III 21, 6</t>
        </is>
      </c>
      <c r="L203" t="inlineStr">
        <is>
          <t>III 21, 6</t>
        </is>
      </c>
      <c r="M203" t="inlineStr"/>
      <c r="N203" t="inlineStr">
        <is>
          <t xml:space="preserve">ASSERTIONIS|| LVTHERANAE CONFVTATIO, IVXTA : </t>
        </is>
      </c>
      <c r="O203" t="inlineStr">
        <is>
          <t xml:space="preserve"> : </t>
        </is>
      </c>
      <c r="P203" t="inlineStr">
        <is>
          <t>X</t>
        </is>
      </c>
      <c r="Q203" t="inlineStr"/>
      <c r="R203" t="inlineStr">
        <is>
          <t>Gewebeeinband, Schließen, erhabene Buchbeschläge</t>
        </is>
      </c>
      <c r="S203" t="inlineStr">
        <is>
          <t>bis 25 cm</t>
        </is>
      </c>
      <c r="T203" t="inlineStr">
        <is>
          <t>180°</t>
        </is>
      </c>
      <c r="U203" t="inlineStr">
        <is>
          <t>hohler Rücken</t>
        </is>
      </c>
      <c r="V203" t="inlineStr"/>
      <c r="W203" t="inlineStr">
        <is>
          <t>Buchschuh</t>
        </is>
      </c>
      <c r="X203" t="inlineStr">
        <is>
          <t>Nein</t>
        </is>
      </c>
      <c r="Y203" t="n">
        <v>0</v>
      </c>
      <c r="Z203" t="inlineStr"/>
      <c r="AA203" t="inlineStr"/>
      <c r="AB203" t="inlineStr"/>
      <c r="AC203" t="inlineStr"/>
      <c r="AD203" t="inlineStr"/>
      <c r="AE203" t="inlineStr"/>
      <c r="AF203" t="inlineStr"/>
      <c r="AG203" t="inlineStr"/>
      <c r="AH203" t="inlineStr"/>
      <c r="AI203" t="inlineStr"/>
      <c r="AJ203" t="inlineStr"/>
      <c r="AK203" t="inlineStr"/>
      <c r="AL203" t="inlineStr"/>
      <c r="AM203" t="inlineStr"/>
      <c r="AN203" t="inlineStr"/>
      <c r="AO203" t="inlineStr"/>
      <c r="AP203" t="inlineStr"/>
      <c r="AQ203" t="inlineStr"/>
      <c r="AR203" t="inlineStr"/>
      <c r="AS203" t="inlineStr"/>
      <c r="AT203" t="inlineStr"/>
      <c r="AU203" t="inlineStr"/>
      <c r="AV203" t="inlineStr"/>
      <c r="AW203" t="inlineStr"/>
      <c r="AX203" t="inlineStr"/>
      <c r="AY203" t="inlineStr"/>
      <c r="AZ203" t="inlineStr"/>
      <c r="BA203" t="inlineStr"/>
      <c r="BB203" t="inlineStr"/>
      <c r="BC203" t="inlineStr"/>
      <c r="BD203" t="inlineStr"/>
      <c r="BE203" t="inlineStr"/>
      <c r="BF203" t="inlineStr"/>
      <c r="BG203" t="inlineStr"/>
      <c r="BH203" t="inlineStr"/>
      <c r="BI203" t="inlineStr"/>
      <c r="BJ203" t="inlineStr"/>
      <c r="BK203" t="inlineStr"/>
      <c r="BL203" t="inlineStr"/>
      <c r="BM203" t="inlineStr"/>
      <c r="BN203" t="n">
        <v>0</v>
      </c>
      <c r="BO203" t="inlineStr"/>
      <c r="BP203" t="inlineStr"/>
      <c r="BQ203" t="inlineStr"/>
      <c r="BR203" t="inlineStr"/>
      <c r="BS203" t="inlineStr"/>
      <c r="BT203" t="inlineStr"/>
      <c r="BU203" t="inlineStr"/>
      <c r="BV203" t="inlineStr"/>
      <c r="BW203" t="inlineStr"/>
      <c r="BX203" t="inlineStr"/>
      <c r="BY203" t="inlineStr"/>
      <c r="BZ203" t="inlineStr"/>
      <c r="CA203" t="inlineStr"/>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c r="DB203" t="inlineStr"/>
      <c r="DC203" t="inlineStr"/>
      <c r="DD203" t="inlineStr"/>
      <c r="DE203" t="inlineStr"/>
      <c r="DF203" t="inlineStr"/>
      <c r="DG203" t="inlineStr"/>
    </row>
    <row r="204">
      <c r="A204" t="inlineStr">
        <is>
          <t>III</t>
        </is>
      </c>
      <c r="B204" t="b">
        <v>1</v>
      </c>
      <c r="C204" t="inlineStr"/>
      <c r="D204" t="inlineStr"/>
      <c r="E204" t="n">
        <v>220</v>
      </c>
      <c r="F204">
        <f>HYPERLINK("https://portal.dnb.de/opac.htm?method=simpleSearch&amp;cqlMode=true&amp;query=idn%3D1066865256", "Portal")</f>
        <v/>
      </c>
      <c r="G204" t="inlineStr">
        <is>
          <t>Aaf</t>
        </is>
      </c>
      <c r="H204" t="inlineStr">
        <is>
          <t>L-1525-315323558</t>
        </is>
      </c>
      <c r="I204" t="inlineStr">
        <is>
          <t>1066865256</t>
        </is>
      </c>
      <c r="J204" t="inlineStr">
        <is>
          <t>III 21, 7</t>
        </is>
      </c>
      <c r="K204" t="inlineStr">
        <is>
          <t>III 21, 7</t>
        </is>
      </c>
      <c r="L204" t="inlineStr">
        <is>
          <t>III 21, 7</t>
        </is>
      </c>
      <c r="M204" t="inlineStr"/>
      <c r="N204" t="inlineStr">
        <is>
          <t xml:space="preserve">DE veneratione|| sanctorz.libri duo Judoci Clich=||tovei.Neoportuesis...|| : </t>
        </is>
      </c>
      <c r="O204" t="inlineStr">
        <is>
          <t xml:space="preserve"> : </t>
        </is>
      </c>
      <c r="P204" t="inlineStr">
        <is>
          <t>X</t>
        </is>
      </c>
      <c r="Q204" t="inlineStr"/>
      <c r="R204" t="inlineStr">
        <is>
          <t>Gewebeeinband</t>
        </is>
      </c>
      <c r="S204" t="inlineStr">
        <is>
          <t>bis 25 cm</t>
        </is>
      </c>
      <c r="T204" t="inlineStr">
        <is>
          <t>180°</t>
        </is>
      </c>
      <c r="U204" t="inlineStr">
        <is>
          <t>hohler Rücken</t>
        </is>
      </c>
      <c r="V204" t="inlineStr"/>
      <c r="W204" t="inlineStr"/>
      <c r="X204" t="inlineStr"/>
      <c r="Y204" t="n">
        <v>0</v>
      </c>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inlineStr"/>
      <c r="BJ204" t="inlineStr"/>
      <c r="BK204" t="inlineStr"/>
      <c r="BL204" t="inlineStr"/>
      <c r="BM204" t="inlineStr"/>
      <c r="BN204" t="n">
        <v>0</v>
      </c>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c r="DC204" t="inlineStr"/>
      <c r="DD204" t="inlineStr"/>
      <c r="DE204" t="inlineStr"/>
      <c r="DF204" t="inlineStr"/>
      <c r="DG204" t="inlineStr"/>
    </row>
    <row r="205">
      <c r="A205" t="inlineStr">
        <is>
          <t>III</t>
        </is>
      </c>
      <c r="B205" t="b">
        <v>1</v>
      </c>
      <c r="C205" t="inlineStr"/>
      <c r="D205" t="inlineStr"/>
      <c r="E205" t="n">
        <v>221</v>
      </c>
      <c r="F205">
        <f>HYPERLINK("https://portal.dnb.de/opac.htm?method=simpleSearch&amp;cqlMode=true&amp;query=idn%3D1066958998", "Portal")</f>
        <v/>
      </c>
      <c r="G205" t="inlineStr">
        <is>
          <t>Aaf</t>
        </is>
      </c>
      <c r="H205" t="inlineStr">
        <is>
          <t>L-1508-31548960X</t>
        </is>
      </c>
      <c r="I205" t="inlineStr">
        <is>
          <t>1066958998</t>
        </is>
      </c>
      <c r="J205" t="inlineStr">
        <is>
          <t>III 21, 3</t>
        </is>
      </c>
      <c r="K205" t="inlineStr">
        <is>
          <t>III 21, 3</t>
        </is>
      </c>
      <c r="L205" t="inlineStr">
        <is>
          <t>III 21, 8</t>
        </is>
      </c>
      <c r="M205" t="inlineStr"/>
      <c r="N205" t="inlineStr">
        <is>
          <t>ARbo#[rum] triu cõ||sanguinitatis. affinitatis. co=||gnationis#[que] spualis Lectura notatu digna Uenerandi optimaru#[m]|| Artiu. necnõ iuris Pontific</t>
        </is>
      </c>
      <c r="O205" t="inlineStr">
        <is>
          <t xml:space="preserve"> : </t>
        </is>
      </c>
      <c r="P205" t="inlineStr">
        <is>
          <t>X</t>
        </is>
      </c>
      <c r="Q205" t="inlineStr"/>
      <c r="R205" t="inlineStr">
        <is>
          <t>Ledereinband</t>
        </is>
      </c>
      <c r="S205" t="inlineStr">
        <is>
          <t>bis 25 cm</t>
        </is>
      </c>
      <c r="T205" t="inlineStr">
        <is>
          <t>80° bis 110°, einseitig digitalisierbar?</t>
        </is>
      </c>
      <c r="U205" t="inlineStr">
        <is>
          <t>hohler Rücken</t>
        </is>
      </c>
      <c r="V205" t="inlineStr"/>
      <c r="W205" t="inlineStr">
        <is>
          <t>Kassette</t>
        </is>
      </c>
      <c r="X205" t="inlineStr">
        <is>
          <t>Nein</t>
        </is>
      </c>
      <c r="Y205" t="n">
        <v>0</v>
      </c>
      <c r="Z205" t="inlineStr"/>
      <c r="AA205" t="inlineStr"/>
      <c r="AB205" t="inlineStr">
        <is>
          <t>falscher Link zum Portal; Link gehört zu III 21, 3</t>
        </is>
      </c>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inlineStr"/>
      <c r="BI205" t="inlineStr"/>
      <c r="BJ205" t="inlineStr"/>
      <c r="BK205" t="inlineStr"/>
      <c r="BL205" t="inlineStr"/>
      <c r="BM205" t="inlineStr"/>
      <c r="BN205" t="n">
        <v>0</v>
      </c>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c r="DC205" t="inlineStr"/>
      <c r="DD205" t="inlineStr"/>
      <c r="DE205" t="inlineStr"/>
      <c r="DF205" t="inlineStr"/>
      <c r="DG205" t="inlineStr"/>
    </row>
    <row r="206">
      <c r="A206" t="inlineStr">
        <is>
          <t>III</t>
        </is>
      </c>
      <c r="B206" t="b">
        <v>1</v>
      </c>
      <c r="C206" t="inlineStr"/>
      <c r="D206" t="inlineStr"/>
      <c r="E206" t="inlineStr"/>
      <c r="F206">
        <f>HYPERLINK("https://portal.dnb.de/opac.htm?method=simpleSearch&amp;cqlMode=true&amp;query=idn%3D1268570087", "Portal")</f>
        <v/>
      </c>
      <c r="G206" t="inlineStr">
        <is>
          <t>Aa</t>
        </is>
      </c>
      <c r="H206" t="inlineStr">
        <is>
          <t>L-1531-83361035X</t>
        </is>
      </c>
      <c r="I206" t="inlineStr">
        <is>
          <t>1268570087</t>
        </is>
      </c>
      <c r="J206" t="inlineStr">
        <is>
          <t>III 21, 8</t>
        </is>
      </c>
      <c r="K206" t="inlineStr">
        <is>
          <t>III 21, 8</t>
        </is>
      </c>
      <c r="L206" t="inlineStr">
        <is>
          <t>III 21, 8</t>
        </is>
      </c>
      <c r="M206" t="inlineStr"/>
      <c r="N206" t="inlineStr">
        <is>
          <t>D.HA-||YMONIS EPISCOPI HAL||berstattensis in Esaiam Commen||tariorum libri tres,ab eodem au-||tore dum viueret,multorum ad-||ditione &lt;quae in alijs pl</t>
        </is>
      </c>
      <c r="O206" t="inlineStr">
        <is>
          <t xml:space="preserve"> : </t>
        </is>
      </c>
      <c r="P206" t="inlineStr"/>
      <c r="Q206" t="inlineStr"/>
      <c r="R206" t="inlineStr"/>
      <c r="S206" t="inlineStr"/>
      <c r="T206" t="inlineStr"/>
      <c r="U206" t="inlineStr"/>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inlineStr"/>
      <c r="BJ206" t="inlineStr"/>
      <c r="BK206" t="inlineStr"/>
      <c r="BL206" t="inlineStr"/>
      <c r="BM206" t="inlineStr"/>
      <c r="BN206" t="inlineStr"/>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c r="DC206" t="inlineStr"/>
      <c r="DD206" t="inlineStr"/>
      <c r="DE206" t="inlineStr"/>
      <c r="DF206" t="inlineStr"/>
      <c r="DG206" t="inlineStr"/>
    </row>
    <row r="207">
      <c r="A207" t="inlineStr">
        <is>
          <t>III</t>
        </is>
      </c>
      <c r="B207" t="b">
        <v>1</v>
      </c>
      <c r="C207" t="inlineStr"/>
      <c r="D207" t="inlineStr"/>
      <c r="E207" t="n">
        <v>222</v>
      </c>
      <c r="F207">
        <f>HYPERLINK("https://portal.dnb.de/opac.htm?method=simpleSearch&amp;cqlMode=true&amp;query=idn%3D1066957525", "Portal")</f>
        <v/>
      </c>
      <c r="G207" t="inlineStr">
        <is>
          <t>Aaf</t>
        </is>
      </c>
      <c r="H207" t="inlineStr">
        <is>
          <t>L-1549-315488158</t>
        </is>
      </c>
      <c r="I207" t="inlineStr">
        <is>
          <t>1066957525</t>
        </is>
      </c>
      <c r="J207" t="inlineStr">
        <is>
          <t>III 21, 9</t>
        </is>
      </c>
      <c r="K207" t="inlineStr">
        <is>
          <t>III 21, 9</t>
        </is>
      </c>
      <c r="L207" t="inlineStr">
        <is>
          <t>III 21, 9</t>
        </is>
      </c>
      <c r="M207" t="inlineStr"/>
      <c r="N207" t="inlineStr">
        <is>
          <t xml:space="preserve">De Traditione Apo=||stolica et Ecclesiastica.|| Das die Catholische Kyrche Christi/ nicht allein : </t>
        </is>
      </c>
      <c r="O207" t="inlineStr">
        <is>
          <t xml:space="preserve"> : </t>
        </is>
      </c>
      <c r="P207" t="inlineStr">
        <is>
          <t>X</t>
        </is>
      </c>
      <c r="Q207" t="inlineStr"/>
      <c r="R207" t="inlineStr">
        <is>
          <t>Gewebeeinband</t>
        </is>
      </c>
      <c r="S207" t="inlineStr">
        <is>
          <t>bis 25 cm</t>
        </is>
      </c>
      <c r="T207" t="inlineStr">
        <is>
          <t>180°</t>
        </is>
      </c>
      <c r="U207" t="inlineStr">
        <is>
          <t>hohler Rücken</t>
        </is>
      </c>
      <c r="V207" t="inlineStr"/>
      <c r="W207" t="inlineStr"/>
      <c r="X207" t="inlineStr"/>
      <c r="Y207" t="n">
        <v>1</v>
      </c>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inlineStr"/>
      <c r="BI207" t="inlineStr"/>
      <c r="BJ207" t="inlineStr"/>
      <c r="BK207" t="inlineStr"/>
      <c r="BL207" t="inlineStr"/>
      <c r="BM207" t="inlineStr"/>
      <c r="BN207" t="n">
        <v>0</v>
      </c>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c r="DC207" t="inlineStr"/>
      <c r="DD207" t="inlineStr"/>
      <c r="DE207" t="inlineStr"/>
      <c r="DF207" t="inlineStr"/>
      <c r="DG207" t="inlineStr"/>
    </row>
    <row r="208">
      <c r="A208" t="inlineStr">
        <is>
          <t>III</t>
        </is>
      </c>
      <c r="B208" t="b">
        <v>1</v>
      </c>
      <c r="C208" t="inlineStr"/>
      <c r="D208" t="inlineStr"/>
      <c r="E208" t="n">
        <v>223</v>
      </c>
      <c r="F208">
        <f>HYPERLINK("https://portal.dnb.de/opac.htm?method=simpleSearch&amp;cqlMode=true&amp;query=idn%3D1066963142", "Portal")</f>
        <v/>
      </c>
      <c r="G208" t="inlineStr">
        <is>
          <t>Aaf</t>
        </is>
      </c>
      <c r="H208" t="inlineStr">
        <is>
          <t>L-1549-315493429</t>
        </is>
      </c>
      <c r="I208" t="inlineStr">
        <is>
          <t>1066963142</t>
        </is>
      </c>
      <c r="J208" t="inlineStr">
        <is>
          <t>III 21, 10</t>
        </is>
      </c>
      <c r="K208" t="inlineStr">
        <is>
          <t>III 21, 10</t>
        </is>
      </c>
      <c r="L208" t="inlineStr">
        <is>
          <t>III 21, 10</t>
        </is>
      </c>
      <c r="M208" t="inlineStr"/>
      <c r="N208" t="inlineStr">
        <is>
          <t xml:space="preserve">Bestendige Ant=||wort wider der Luterischen : </t>
        </is>
      </c>
      <c r="O208" t="inlineStr">
        <is>
          <t xml:space="preserve"> : </t>
        </is>
      </c>
      <c r="P208" t="inlineStr">
        <is>
          <t>X</t>
        </is>
      </c>
      <c r="Q208" t="inlineStr"/>
      <c r="R208" t="inlineStr">
        <is>
          <t>Gewebeeinband</t>
        </is>
      </c>
      <c r="S208" t="inlineStr">
        <is>
          <t>bis 25 cm</t>
        </is>
      </c>
      <c r="T208" t="inlineStr">
        <is>
          <t>180°</t>
        </is>
      </c>
      <c r="U208" t="inlineStr">
        <is>
          <t>hohler Rücken</t>
        </is>
      </c>
      <c r="V208" t="inlineStr"/>
      <c r="W208" t="inlineStr"/>
      <c r="X208" t="inlineStr"/>
      <c r="Y208" t="n">
        <v>0</v>
      </c>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inlineStr"/>
      <c r="BI208" t="inlineStr"/>
      <c r="BJ208" t="inlineStr"/>
      <c r="BK208" t="inlineStr"/>
      <c r="BL208" t="inlineStr"/>
      <c r="BM208" t="inlineStr"/>
      <c r="BN208" t="n">
        <v>0</v>
      </c>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c r="DC208" t="inlineStr"/>
      <c r="DD208" t="inlineStr"/>
      <c r="DE208" t="inlineStr"/>
      <c r="DF208" t="inlineStr"/>
      <c r="DG208" t="inlineStr"/>
    </row>
    <row r="209">
      <c r="A209" t="inlineStr">
        <is>
          <t>III</t>
        </is>
      </c>
      <c r="B209" t="b">
        <v>1</v>
      </c>
      <c r="C209" t="inlineStr"/>
      <c r="D209" t="inlineStr"/>
      <c r="E209" t="n">
        <v>224</v>
      </c>
      <c r="F209">
        <f>HYPERLINK("https://portal.dnb.de/opac.htm?method=simpleSearch&amp;cqlMode=true&amp;query=idn%3D1066961999", "Portal")</f>
        <v/>
      </c>
      <c r="G209" t="inlineStr">
        <is>
          <t>Aaf</t>
        </is>
      </c>
      <c r="H209" t="inlineStr">
        <is>
          <t>L-1554-315492392</t>
        </is>
      </c>
      <c r="I209" t="inlineStr">
        <is>
          <t>1066961999</t>
        </is>
      </c>
      <c r="J209" t="inlineStr">
        <is>
          <t>III 21, 11</t>
        </is>
      </c>
      <c r="K209" t="inlineStr">
        <is>
          <t>III 21, 11</t>
        </is>
      </c>
      <c r="L209" t="inlineStr">
        <is>
          <t>III 21, 11</t>
        </is>
      </c>
      <c r="M209" t="inlineStr"/>
      <c r="N209" t="inlineStr">
        <is>
          <t>CHORVS|| SANCTORVM OMNIVM|| Zwelff B#[ue]cher Historien Aller|| Heiligen Gottes ...|| aus den alten ... Schrifften|| vnserer Gottseligen Vorfaren/ mit</t>
        </is>
      </c>
      <c r="O209" t="inlineStr">
        <is>
          <t xml:space="preserve"> : </t>
        </is>
      </c>
      <c r="P209" t="inlineStr">
        <is>
          <t>X</t>
        </is>
      </c>
      <c r="Q209" t="inlineStr"/>
      <c r="R209" t="inlineStr">
        <is>
          <t>Ledereinband</t>
        </is>
      </c>
      <c r="S209" t="inlineStr">
        <is>
          <t>bis 35 cm</t>
        </is>
      </c>
      <c r="T209" t="inlineStr"/>
      <c r="U209" t="inlineStr">
        <is>
          <t>hohler Rücken</t>
        </is>
      </c>
      <c r="V209" t="inlineStr"/>
      <c r="W209" t="inlineStr"/>
      <c r="X209" t="inlineStr"/>
      <c r="Y209" t="n">
        <v>0</v>
      </c>
      <c r="Z209" t="inlineStr"/>
      <c r="AA209" t="inlineStr"/>
      <c r="AB209" t="inlineStr"/>
      <c r="AC209" t="inlineStr"/>
      <c r="AD209" t="inlineStr"/>
      <c r="AE209" t="inlineStr"/>
      <c r="AF209" t="inlineStr"/>
      <c r="AG209" t="inlineStr"/>
      <c r="AH209" t="inlineStr"/>
      <c r="AI209" t="inlineStr">
        <is>
          <t>L</t>
        </is>
      </c>
      <c r="AJ209" t="inlineStr"/>
      <c r="AK209" t="inlineStr">
        <is>
          <t>x</t>
        </is>
      </c>
      <c r="AL209" t="inlineStr"/>
      <c r="AM209" t="inlineStr">
        <is>
          <t>h/E</t>
        </is>
      </c>
      <c r="AN209" t="inlineStr"/>
      <c r="AO209" t="inlineStr"/>
      <c r="AP209" t="inlineStr"/>
      <c r="AQ209" t="inlineStr"/>
      <c r="AR209" t="inlineStr"/>
      <c r="AS209" t="inlineStr">
        <is>
          <t>Pa</t>
        </is>
      </c>
      <c r="AT209" t="inlineStr"/>
      <c r="AU209" t="inlineStr"/>
      <c r="AV209" t="inlineStr"/>
      <c r="AW209" t="inlineStr"/>
      <c r="AX209" t="inlineStr"/>
      <c r="AY209" t="inlineStr"/>
      <c r="AZ209" t="inlineStr"/>
      <c r="BA209" t="inlineStr"/>
      <c r="BB209" t="inlineStr"/>
      <c r="BC209" t="inlineStr"/>
      <c r="BD209" t="inlineStr"/>
      <c r="BE209" t="inlineStr"/>
      <c r="BF209" t="inlineStr"/>
      <c r="BG209" t="n">
        <v>110</v>
      </c>
      <c r="BH209" t="inlineStr"/>
      <c r="BI209" t="inlineStr"/>
      <c r="BJ209" t="inlineStr"/>
      <c r="BK209" t="inlineStr"/>
      <c r="BL209" t="inlineStr"/>
      <c r="BM209" t="inlineStr">
        <is>
          <t>n</t>
        </is>
      </c>
      <c r="BN209" t="n">
        <v>0</v>
      </c>
      <c r="BO209" t="inlineStr"/>
      <c r="BP209" t="inlineStr"/>
      <c r="BQ209" t="inlineStr"/>
      <c r="BR209" t="inlineStr"/>
      <c r="BS209" t="inlineStr"/>
      <c r="BT209" t="inlineStr"/>
      <c r="BU209" t="inlineStr"/>
      <c r="BV209" t="inlineStr"/>
      <c r="BW209" t="inlineStr">
        <is>
          <t>x 110</t>
        </is>
      </c>
      <c r="BX209" t="inlineStr">
        <is>
          <t xml:space="preserve">
extrem steife und dicke Rückeneinlage</t>
        </is>
      </c>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c r="DB209" t="inlineStr"/>
      <c r="DC209" t="inlineStr"/>
      <c r="DD209" t="inlineStr"/>
      <c r="DE209" t="inlineStr"/>
      <c r="DF209" t="inlineStr"/>
      <c r="DG209" t="inlineStr"/>
    </row>
    <row r="210">
      <c r="A210" t="inlineStr">
        <is>
          <t>III</t>
        </is>
      </c>
      <c r="B210" t="b">
        <v>1</v>
      </c>
      <c r="C210" t="inlineStr"/>
      <c r="D210" t="inlineStr"/>
      <c r="E210" t="n">
        <v>225</v>
      </c>
      <c r="F210">
        <f>HYPERLINK("https://portal.dnb.de/opac.htm?method=simpleSearch&amp;cqlMode=true&amp;query=idn%3D1066960232", "Portal")</f>
        <v/>
      </c>
      <c r="G210" t="inlineStr">
        <is>
          <t>Aaf</t>
        </is>
      </c>
      <c r="H210" t="inlineStr">
        <is>
          <t>L-1555-315490748</t>
        </is>
      </c>
      <c r="I210" t="inlineStr">
        <is>
          <t>1066960232</t>
        </is>
      </c>
      <c r="J210" t="inlineStr">
        <is>
          <t>III 21, 12</t>
        </is>
      </c>
      <c r="K210" t="inlineStr">
        <is>
          <t>III 21, 12</t>
        </is>
      </c>
      <c r="L210" t="inlineStr">
        <is>
          <t>III 21, 12</t>
        </is>
      </c>
      <c r="M210" t="inlineStr"/>
      <c r="N210" t="inlineStr">
        <is>
          <t>REVEREND. IN CHRISTO PATRIS|| AC DOMINI, D.|| FRIDERICI|| EPISCOPI VIENNENSIS,|| cognomento Nauseae Blancicampiani, sacrae|| Theologiae &amp; LL. Doctoris</t>
        </is>
      </c>
      <c r="O210" t="inlineStr">
        <is>
          <t xml:space="preserve"> : </t>
        </is>
      </c>
      <c r="P210" t="inlineStr">
        <is>
          <t>X</t>
        </is>
      </c>
      <c r="Q210" t="inlineStr"/>
      <c r="R210" t="inlineStr">
        <is>
          <t>Ledereinband, Schließen, erhabene Buchbeschläge</t>
        </is>
      </c>
      <c r="S210" t="inlineStr">
        <is>
          <t>bis 25 cm</t>
        </is>
      </c>
      <c r="T210" t="inlineStr">
        <is>
          <t>nur sehr geringer Öffnungswinkel</t>
        </is>
      </c>
      <c r="U210" t="inlineStr">
        <is>
          <t>fester Rücken mit Schmuckprägung, welliger Buchblock, Schrift bis in den Falz</t>
        </is>
      </c>
      <c r="V210" t="inlineStr"/>
      <c r="W210" t="inlineStr">
        <is>
          <t>Buchschuh</t>
        </is>
      </c>
      <c r="X210" t="inlineStr">
        <is>
          <t>Nein</t>
        </is>
      </c>
      <c r="Y210" t="n">
        <v>0</v>
      </c>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inlineStr"/>
      <c r="BJ210" t="inlineStr"/>
      <c r="BK210" t="inlineStr"/>
      <c r="BL210" t="inlineStr"/>
      <c r="BM210" t="inlineStr"/>
      <c r="BN210" t="n">
        <v>0</v>
      </c>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c r="DC210" t="inlineStr"/>
      <c r="DD210" t="inlineStr"/>
      <c r="DE210" t="inlineStr"/>
      <c r="DF210" t="inlineStr"/>
      <c r="DG210" t="inlineStr"/>
    </row>
    <row r="211">
      <c r="A211" t="inlineStr">
        <is>
          <t>III</t>
        </is>
      </c>
      <c r="B211" t="b">
        <v>1</v>
      </c>
      <c r="C211" t="inlineStr"/>
      <c r="D211" t="inlineStr"/>
      <c r="E211" t="n">
        <v>226</v>
      </c>
      <c r="F211">
        <f>HYPERLINK("https://portal.dnb.de/opac.htm?method=simpleSearch&amp;cqlMode=true&amp;query=idn%3D1066958491", "Portal")</f>
        <v/>
      </c>
      <c r="G211" t="inlineStr">
        <is>
          <t>Aaf</t>
        </is>
      </c>
      <c r="H211" t="inlineStr">
        <is>
          <t>L-1503-315489111</t>
        </is>
      </c>
      <c r="I211" t="inlineStr">
        <is>
          <t>1066958491</t>
        </is>
      </c>
      <c r="J211" t="inlineStr">
        <is>
          <t>III 21, 13</t>
        </is>
      </c>
      <c r="K211" t="inlineStr">
        <is>
          <t>III 21, 13</t>
        </is>
      </c>
      <c r="L211" t="inlineStr">
        <is>
          <t>III 21, 13</t>
        </is>
      </c>
      <c r="M211" t="inlineStr"/>
      <c r="N211" t="inlineStr">
        <is>
          <t>Euagatoriu|| Jn pñti libello #[con]tin?tur|| hec ...|| Optim#[us] modus ~pdicãdi|| Sermones.xiij.Michae||lis de Hugaria vniusales|| Cu applicatõib#[us</t>
        </is>
      </c>
      <c r="O211" t="inlineStr">
        <is>
          <t xml:space="preserve"> : </t>
        </is>
      </c>
      <c r="P211" t="inlineStr">
        <is>
          <t>X</t>
        </is>
      </c>
      <c r="Q211" t="inlineStr"/>
      <c r="R211" t="inlineStr">
        <is>
          <t>Gewebeeinband</t>
        </is>
      </c>
      <c r="S211" t="inlineStr">
        <is>
          <t>bis 25 cm</t>
        </is>
      </c>
      <c r="T211" t="inlineStr">
        <is>
          <t>80° bis 110°, einseitig digitalisierbar?</t>
        </is>
      </c>
      <c r="U211" t="inlineStr">
        <is>
          <t>hohler Rücken</t>
        </is>
      </c>
      <c r="V211" t="inlineStr"/>
      <c r="W211" t="inlineStr"/>
      <c r="X211" t="inlineStr"/>
      <c r="Y211" t="n">
        <v>0</v>
      </c>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inlineStr"/>
      <c r="BI211" t="inlineStr"/>
      <c r="BJ211" t="inlineStr"/>
      <c r="BK211" t="inlineStr"/>
      <c r="BL211" t="inlineStr"/>
      <c r="BM211" t="inlineStr"/>
      <c r="BN211" t="n">
        <v>0</v>
      </c>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c r="DC211" t="inlineStr"/>
      <c r="DD211" t="inlineStr"/>
      <c r="DE211" t="inlineStr"/>
      <c r="DF211" t="inlineStr"/>
      <c r="DG211" t="inlineStr"/>
    </row>
    <row r="212">
      <c r="A212" t="inlineStr">
        <is>
          <t>III</t>
        </is>
      </c>
      <c r="B212" t="b">
        <v>1</v>
      </c>
      <c r="C212" t="inlineStr"/>
      <c r="D212" t="inlineStr"/>
      <c r="E212" t="inlineStr"/>
      <c r="F212">
        <f>HYPERLINK("https://portal.dnb.de/opac.htm?method=simpleSearch&amp;cqlMode=true&amp;query=idn%3D1138058696", "Portal")</f>
        <v/>
      </c>
      <c r="G212" t="inlineStr">
        <is>
          <t>Qd</t>
        </is>
      </c>
      <c r="H212" t="inlineStr">
        <is>
          <t>L-9999-414377192</t>
        </is>
      </c>
      <c r="I212" t="inlineStr">
        <is>
          <t>1138058696</t>
        </is>
      </c>
      <c r="J212" t="inlineStr">
        <is>
          <t>III 21, 14</t>
        </is>
      </c>
      <c r="K212" t="inlineStr">
        <is>
          <t>III 21, 14</t>
        </is>
      </c>
      <c r="L212" t="inlineStr">
        <is>
          <t>III 21, 14</t>
        </is>
      </c>
      <c r="M212" t="inlineStr"/>
      <c r="N212" t="inlineStr">
        <is>
          <t xml:space="preserve">Sammelband : </t>
        </is>
      </c>
      <c r="O212" t="inlineStr">
        <is>
          <t xml:space="preserve"> : </t>
        </is>
      </c>
      <c r="P212" t="inlineStr">
        <is>
          <t>X</t>
        </is>
      </c>
      <c r="Q212" t="inlineStr"/>
      <c r="R212" t="inlineStr">
        <is>
          <t>Ledereinband, Schließen, erhabene Buchbeschläge</t>
        </is>
      </c>
      <c r="S212" t="inlineStr">
        <is>
          <t>bis 25 cm</t>
        </is>
      </c>
      <c r="T212" t="inlineStr">
        <is>
          <t>nur sehr geringer Öffnungswinkel</t>
        </is>
      </c>
      <c r="U212" t="inlineStr">
        <is>
          <t>fester Rücken mit Schmuckprägung, welliger Buchblock, Schrift bis in den Falz</t>
        </is>
      </c>
      <c r="V212" t="inlineStr"/>
      <c r="W212" t="inlineStr">
        <is>
          <t>Kassette</t>
        </is>
      </c>
      <c r="X212" t="inlineStr">
        <is>
          <t>Nein</t>
        </is>
      </c>
      <c r="Y212" t="n">
        <v>0</v>
      </c>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inlineStr"/>
      <c r="BI212" t="inlineStr"/>
      <c r="BJ212" t="inlineStr"/>
      <c r="BK212" t="inlineStr"/>
      <c r="BL212" t="inlineStr"/>
      <c r="BM212" t="inlineStr"/>
      <c r="BN212" t="n">
        <v>0</v>
      </c>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c r="DC212" t="inlineStr"/>
      <c r="DD212" t="inlineStr"/>
      <c r="DE212" t="inlineStr"/>
      <c r="DF212" t="inlineStr"/>
      <c r="DG212" t="inlineStr"/>
    </row>
    <row r="213">
      <c r="A213" t="inlineStr">
        <is>
          <t>III</t>
        </is>
      </c>
      <c r="B213" t="b">
        <v>1</v>
      </c>
      <c r="C213" t="inlineStr"/>
      <c r="D213" t="inlineStr"/>
      <c r="E213" t="n">
        <v>228</v>
      </c>
      <c r="F213">
        <f>HYPERLINK("https://portal.dnb.de/opac.htm?method=simpleSearch&amp;cqlMode=true&amp;query=idn%3D1066962561", "Portal")</f>
        <v/>
      </c>
      <c r="G213" t="inlineStr">
        <is>
          <t>Aaf</t>
        </is>
      </c>
      <c r="H213" t="inlineStr">
        <is>
          <t>L-1506-315492910</t>
        </is>
      </c>
      <c r="I213" t="inlineStr">
        <is>
          <t>1066962561</t>
        </is>
      </c>
      <c r="J213" t="inlineStr">
        <is>
          <t>III 21, 15</t>
        </is>
      </c>
      <c r="K213" t="inlineStr">
        <is>
          <t>III 21, 15</t>
        </is>
      </c>
      <c r="L213" t="inlineStr">
        <is>
          <t>III 21, 15</t>
        </is>
      </c>
      <c r="M213" t="inlineStr"/>
      <c r="N213" t="inlineStr">
        <is>
          <t>Compendium Juris ciuilis dñi|| Doctoris Petri Rauennatis cu|| multis Additiõibus #[et] Aureis di||ctis que non sunt in primo Com||pendio eiusdem Docto</t>
        </is>
      </c>
      <c r="O213" t="inlineStr">
        <is>
          <t xml:space="preserve"> : </t>
        </is>
      </c>
      <c r="P213" t="inlineStr">
        <is>
          <t>X</t>
        </is>
      </c>
      <c r="Q213" t="inlineStr"/>
      <c r="R213" t="inlineStr">
        <is>
          <t>Halbledereinband, Schließen, erhabene Buchbeschläge</t>
        </is>
      </c>
      <c r="S213" t="inlineStr">
        <is>
          <t>bis 25 cm</t>
        </is>
      </c>
      <c r="T213" t="inlineStr">
        <is>
          <t>80° bis 110°, einseitig digitalisierbar?</t>
        </is>
      </c>
      <c r="U213" t="inlineStr">
        <is>
          <t>fester Rücken mit Schmuckprägung</t>
        </is>
      </c>
      <c r="V213" t="inlineStr"/>
      <c r="W213" t="inlineStr">
        <is>
          <t>Buchschuh</t>
        </is>
      </c>
      <c r="X213" t="inlineStr">
        <is>
          <t>Nein</t>
        </is>
      </c>
      <c r="Y213" t="n">
        <v>0</v>
      </c>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inlineStr"/>
      <c r="BI213" t="inlineStr"/>
      <c r="BJ213" t="inlineStr"/>
      <c r="BK213" t="inlineStr"/>
      <c r="BL213" t="inlineStr"/>
      <c r="BM213" t="inlineStr"/>
      <c r="BN213" t="n">
        <v>0</v>
      </c>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c r="DC213" t="inlineStr"/>
      <c r="DD213" t="inlineStr"/>
      <c r="DE213" t="inlineStr"/>
      <c r="DF213" t="inlineStr"/>
      <c r="DG213" t="inlineStr"/>
    </row>
    <row r="214">
      <c r="A214" t="inlineStr">
        <is>
          <t>III</t>
        </is>
      </c>
      <c r="B214" t="b">
        <v>1</v>
      </c>
      <c r="C214" t="inlineStr"/>
      <c r="D214" t="inlineStr"/>
      <c r="E214" t="n">
        <v>229</v>
      </c>
      <c r="F214">
        <f>HYPERLINK("https://portal.dnb.de/opac.htm?method=simpleSearch&amp;cqlMode=true&amp;query=idn%3D1066865949", "Portal")</f>
        <v/>
      </c>
      <c r="G214" t="inlineStr">
        <is>
          <t>Aaf</t>
        </is>
      </c>
      <c r="H214" t="inlineStr">
        <is>
          <t>L-1508-315324228</t>
        </is>
      </c>
      <c r="I214" t="inlineStr">
        <is>
          <t>1066865949</t>
        </is>
      </c>
      <c r="J214" t="inlineStr">
        <is>
          <t>III 21, 16</t>
        </is>
      </c>
      <c r="K214" t="inlineStr">
        <is>
          <t>III 21, 16</t>
        </is>
      </c>
      <c r="L214" t="inlineStr">
        <is>
          <t>III 21, 16</t>
        </is>
      </c>
      <c r="M214" t="inlineStr"/>
      <c r="N214" t="inlineStr">
        <is>
          <t xml:space="preserve">MAgistri Laurẽ||tij Coruini Nouoforensis: viri lepidissimi|| Compendiosa et facilis diuersorum, Car=||minum structura: cũ exemplis aptissimis|| ac ad </t>
        </is>
      </c>
      <c r="O214" t="inlineStr">
        <is>
          <t xml:space="preserve"> : </t>
        </is>
      </c>
      <c r="P214" t="inlineStr">
        <is>
          <t>X</t>
        </is>
      </c>
      <c r="Q214" t="inlineStr"/>
      <c r="R214" t="inlineStr">
        <is>
          <t>Gewebeeinband</t>
        </is>
      </c>
      <c r="S214" t="inlineStr">
        <is>
          <t>bis 25 cm</t>
        </is>
      </c>
      <c r="T214" t="inlineStr">
        <is>
          <t>180°</t>
        </is>
      </c>
      <c r="U214" t="inlineStr">
        <is>
          <t>hohler Rücken</t>
        </is>
      </c>
      <c r="V214" t="inlineStr"/>
      <c r="W214" t="inlineStr"/>
      <c r="X214" t="inlineStr"/>
      <c r="Y214" t="n">
        <v>0</v>
      </c>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inlineStr"/>
      <c r="BI214" t="inlineStr"/>
      <c r="BJ214" t="inlineStr"/>
      <c r="BK214" t="inlineStr"/>
      <c r="BL214" t="inlineStr"/>
      <c r="BM214" t="inlineStr"/>
      <c r="BN214" t="n">
        <v>0</v>
      </c>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c r="DC214" t="inlineStr"/>
      <c r="DD214" t="inlineStr"/>
      <c r="DE214" t="inlineStr"/>
      <c r="DF214" t="inlineStr"/>
      <c r="DG214" t="inlineStr"/>
    </row>
    <row r="215">
      <c r="A215" t="inlineStr">
        <is>
          <t>III</t>
        </is>
      </c>
      <c r="B215" t="b">
        <v>1</v>
      </c>
      <c r="C215" t="inlineStr"/>
      <c r="D215" t="inlineStr"/>
      <c r="E215" t="n">
        <v>230</v>
      </c>
      <c r="F215">
        <f>HYPERLINK("https://portal.dnb.de/opac.htm?method=simpleSearch&amp;cqlMode=true&amp;query=idn%3D106695643X", "Portal")</f>
        <v/>
      </c>
      <c r="G215" t="inlineStr">
        <is>
          <t>Aaf</t>
        </is>
      </c>
      <c r="H215" t="inlineStr">
        <is>
          <t>L-1510-315487119</t>
        </is>
      </c>
      <c r="I215" t="inlineStr">
        <is>
          <t>106695643X</t>
        </is>
      </c>
      <c r="J215" t="inlineStr">
        <is>
          <t>III 21, 17</t>
        </is>
      </c>
      <c r="K215" t="inlineStr">
        <is>
          <t>III 21, 17</t>
        </is>
      </c>
      <c r="L215" t="inlineStr">
        <is>
          <t>III 21, 17</t>
        </is>
      </c>
      <c r="M215" t="inlineStr"/>
      <c r="N215" t="inlineStr">
        <is>
          <t>Ad Reuerẽdissimũ dñm dñm|| Philippũ sancte ecclesie Colo||niensis archiep̃m. Tractat#[us] magi/||stralis declarans #[qua...] grauiter peccẽt|| querent</t>
        </is>
      </c>
      <c r="O215" t="inlineStr">
        <is>
          <t xml:space="preserve"> : </t>
        </is>
      </c>
      <c r="P215" t="inlineStr">
        <is>
          <t>X</t>
        </is>
      </c>
      <c r="Q215" t="inlineStr"/>
      <c r="R215" t="inlineStr">
        <is>
          <t>Gewebeeinband, Schließen, erhabene Buchbeschläge</t>
        </is>
      </c>
      <c r="S215" t="inlineStr">
        <is>
          <t>bis 25 cm</t>
        </is>
      </c>
      <c r="T215" t="inlineStr">
        <is>
          <t>80° bis 110°, einseitig digitalisierbar?</t>
        </is>
      </c>
      <c r="U215" t="inlineStr">
        <is>
          <t>hohler Rücken</t>
        </is>
      </c>
      <c r="V215" t="inlineStr"/>
      <c r="W215" t="inlineStr">
        <is>
          <t>Buchschuh</t>
        </is>
      </c>
      <c r="X215" t="inlineStr">
        <is>
          <t>Nein</t>
        </is>
      </c>
      <c r="Y215" t="n">
        <v>0</v>
      </c>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n">
        <v>0</v>
      </c>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c r="DC215" t="inlineStr"/>
      <c r="DD215" t="inlineStr"/>
      <c r="DE215" t="inlineStr"/>
      <c r="DF215" t="inlineStr"/>
      <c r="DG215" t="inlineStr"/>
    </row>
    <row r="216">
      <c r="A216" t="inlineStr">
        <is>
          <t>III</t>
        </is>
      </c>
      <c r="B216" t="b">
        <v>1</v>
      </c>
      <c r="C216" t="inlineStr"/>
      <c r="D216" t="inlineStr"/>
      <c r="E216" t="inlineStr"/>
      <c r="F216">
        <f>HYPERLINK("https://portal.dnb.de/opac.htm?method=simpleSearch&amp;cqlMode=true&amp;query=idn%3D1138244430", "Portal")</f>
        <v/>
      </c>
      <c r="G216" t="inlineStr">
        <is>
          <t>Qd</t>
        </is>
      </c>
      <c r="H216" t="inlineStr">
        <is>
          <t>L-9999-414748514</t>
        </is>
      </c>
      <c r="I216" t="inlineStr">
        <is>
          <t>1138244430</t>
        </is>
      </c>
      <c r="J216" t="inlineStr">
        <is>
          <t>III 21, 18</t>
        </is>
      </c>
      <c r="K216" t="inlineStr">
        <is>
          <t>III 21, 18</t>
        </is>
      </c>
      <c r="L216" t="inlineStr">
        <is>
          <t>III 21, 18</t>
        </is>
      </c>
      <c r="M216" t="inlineStr"/>
      <c r="N216" t="inlineStr">
        <is>
          <t xml:space="preserve">Sammelband mit "Füllmaterial" : </t>
        </is>
      </c>
      <c r="O216" t="inlineStr">
        <is>
          <t xml:space="preserve"> : </t>
        </is>
      </c>
      <c r="P216" t="inlineStr">
        <is>
          <t>X</t>
        </is>
      </c>
      <c r="Q216" t="inlineStr"/>
      <c r="R216" t="inlineStr">
        <is>
          <t>Halbledereinband, Schließen, erhabene Buchbeschläge</t>
        </is>
      </c>
      <c r="S216" t="inlineStr">
        <is>
          <t>bis 25 cm</t>
        </is>
      </c>
      <c r="T216" t="inlineStr">
        <is>
          <t>180°</t>
        </is>
      </c>
      <c r="U216" t="inlineStr">
        <is>
          <t>hohler Rücken</t>
        </is>
      </c>
      <c r="V216" t="inlineStr"/>
      <c r="W216" t="inlineStr">
        <is>
          <t>Buchschuh</t>
        </is>
      </c>
      <c r="X216" t="inlineStr">
        <is>
          <t>Nein</t>
        </is>
      </c>
      <c r="Y216" t="n">
        <v>0</v>
      </c>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n">
        <v>0</v>
      </c>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c r="DC216" t="inlineStr"/>
      <c r="DD216" t="inlineStr"/>
      <c r="DE216" t="inlineStr"/>
      <c r="DF216" t="inlineStr"/>
      <c r="DG216" t="inlineStr"/>
    </row>
    <row r="217">
      <c r="A217" t="inlineStr">
        <is>
          <t>III</t>
        </is>
      </c>
      <c r="B217" t="b">
        <v>1</v>
      </c>
      <c r="C217" t="inlineStr"/>
      <c r="D217" t="inlineStr"/>
      <c r="E217" t="n">
        <v>232</v>
      </c>
      <c r="F217">
        <f>HYPERLINK("https://portal.dnb.de/opac.htm?method=simpleSearch&amp;cqlMode=true&amp;query=idn%3D1066960623", "Portal")</f>
        <v/>
      </c>
      <c r="G217" t="inlineStr">
        <is>
          <t>Aaf</t>
        </is>
      </c>
      <c r="H217" t="inlineStr">
        <is>
          <t>L-1508-315491116</t>
        </is>
      </c>
      <c r="I217" t="inlineStr">
        <is>
          <t>1066960623</t>
        </is>
      </c>
      <c r="J217" t="inlineStr">
        <is>
          <t>III 21, 19</t>
        </is>
      </c>
      <c r="K217" t="inlineStr">
        <is>
          <t>III 21, 19</t>
        </is>
      </c>
      <c r="L217" t="inlineStr">
        <is>
          <t>III 21, 19</t>
        </is>
      </c>
      <c r="M217" t="inlineStr"/>
      <c r="N217" t="inlineStr">
        <is>
          <t>Jch heysch eyn boichel||gyn der ioeden bicht.|| Jn allen orten vint men mich licht.|| Vil neuwer meren synt myr wail becant|| Jch wil mich spreyden in</t>
        </is>
      </c>
      <c r="O217" t="inlineStr">
        <is>
          <t xml:space="preserve"> : </t>
        </is>
      </c>
      <c r="P217" t="inlineStr">
        <is>
          <t>X</t>
        </is>
      </c>
      <c r="Q217" t="inlineStr"/>
      <c r="R217" t="inlineStr">
        <is>
          <t>Halbledereinband</t>
        </is>
      </c>
      <c r="S217" t="inlineStr">
        <is>
          <t>bis 25 cm</t>
        </is>
      </c>
      <c r="T217" t="inlineStr">
        <is>
          <t>180°</t>
        </is>
      </c>
      <c r="U217" t="inlineStr">
        <is>
          <t>hohler Rücken</t>
        </is>
      </c>
      <c r="V217" t="inlineStr"/>
      <c r="W217" t="inlineStr"/>
      <c r="X217" t="inlineStr"/>
      <c r="Y217" t="n">
        <v>1</v>
      </c>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inlineStr"/>
      <c r="BJ217" t="inlineStr"/>
      <c r="BK217" t="inlineStr"/>
      <c r="BL217" t="inlineStr"/>
      <c r="BM217" t="inlineStr"/>
      <c r="BN217" t="n">
        <v>0</v>
      </c>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c r="DC217" t="inlineStr"/>
      <c r="DD217" t="inlineStr"/>
      <c r="DE217" t="inlineStr"/>
      <c r="DF217" t="inlineStr"/>
      <c r="DG217" t="inlineStr"/>
    </row>
    <row r="218">
      <c r="A218" t="inlineStr">
        <is>
          <t>III</t>
        </is>
      </c>
      <c r="B218" t="b">
        <v>1</v>
      </c>
      <c r="C218" t="inlineStr"/>
      <c r="D218" t="inlineStr"/>
      <c r="E218" t="n">
        <v>233</v>
      </c>
      <c r="F218">
        <f>HYPERLINK("https://portal.dnb.de/opac.htm?method=simpleSearch&amp;cqlMode=true&amp;query=idn%3D1066962944", "Portal")</f>
        <v/>
      </c>
      <c r="G218" t="inlineStr">
        <is>
          <t>Aaf</t>
        </is>
      </c>
      <c r="H218" t="inlineStr">
        <is>
          <t>L-1509-315493216</t>
        </is>
      </c>
      <c r="I218" t="inlineStr">
        <is>
          <t>1066962944</t>
        </is>
      </c>
      <c r="J218" t="inlineStr">
        <is>
          <t>III 21, 20</t>
        </is>
      </c>
      <c r="K218" t="inlineStr">
        <is>
          <t>III 21, 20</t>
        </is>
      </c>
      <c r="L218" t="inlineStr">
        <is>
          <t>III 21, 20</t>
        </is>
      </c>
      <c r="M218" t="inlineStr"/>
      <c r="N218" t="inlineStr">
        <is>
          <t>Op#[us] aureum ac no||uum et a doctis viris diu expectatum|| dñi Victoris de Carben olim iudei s#[m] mõ x~piani #[et] sacerdo#[is]|| in quo o?s iudeo#</t>
        </is>
      </c>
      <c r="O218" t="inlineStr">
        <is>
          <t xml:space="preserve"> : </t>
        </is>
      </c>
      <c r="P218" t="inlineStr">
        <is>
          <t>X</t>
        </is>
      </c>
      <c r="Q218" t="inlineStr"/>
      <c r="R218" t="inlineStr">
        <is>
          <t>Gewebeeinband, Schließen, erhabene Buchbeschläge</t>
        </is>
      </c>
      <c r="S218" t="inlineStr">
        <is>
          <t>bis 25 cm</t>
        </is>
      </c>
      <c r="T218" t="inlineStr">
        <is>
          <t>180°</t>
        </is>
      </c>
      <c r="U218" t="inlineStr">
        <is>
          <t>hohler Rücken</t>
        </is>
      </c>
      <c r="V218" t="inlineStr"/>
      <c r="W218" t="inlineStr">
        <is>
          <t>Buchschuh</t>
        </is>
      </c>
      <c r="X218" t="inlineStr">
        <is>
          <t>Nein</t>
        </is>
      </c>
      <c r="Y218" t="n">
        <v>0</v>
      </c>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inlineStr"/>
      <c r="BJ218" t="inlineStr"/>
      <c r="BK218" t="inlineStr"/>
      <c r="BL218" t="inlineStr"/>
      <c r="BM218" t="inlineStr"/>
      <c r="BN218" t="n">
        <v>0</v>
      </c>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c r="DC218" t="inlineStr"/>
      <c r="DD218" t="inlineStr"/>
      <c r="DE218" t="inlineStr"/>
      <c r="DF218" t="inlineStr"/>
      <c r="DG218" t="inlineStr"/>
    </row>
    <row r="219">
      <c r="A219" t="inlineStr">
        <is>
          <t>III</t>
        </is>
      </c>
      <c r="B219" t="b">
        <v>1</v>
      </c>
      <c r="C219" t="inlineStr"/>
      <c r="D219" t="inlineStr"/>
      <c r="E219" t="inlineStr"/>
      <c r="F219">
        <f>HYPERLINK("https://portal.dnb.de/opac.htm?method=simpleSearch&amp;cqlMode=true&amp;query=idn%3D1138241431", "Portal")</f>
        <v/>
      </c>
      <c r="G219" t="inlineStr">
        <is>
          <t>Qd</t>
        </is>
      </c>
      <c r="H219" t="inlineStr">
        <is>
          <t>L-9999-414746635</t>
        </is>
      </c>
      <c r="I219" t="inlineStr">
        <is>
          <t>1138241431</t>
        </is>
      </c>
      <c r="J219" t="inlineStr">
        <is>
          <t>III 21, 21</t>
        </is>
      </c>
      <c r="K219" t="inlineStr">
        <is>
          <t>III 21, 21</t>
        </is>
      </c>
      <c r="L219" t="inlineStr">
        <is>
          <t>III 21, 21</t>
        </is>
      </c>
      <c r="M219" t="inlineStr"/>
      <c r="N219" t="inlineStr">
        <is>
          <t xml:space="preserve">Sammelband mit zwei Werken von Albert Krantz : </t>
        </is>
      </c>
      <c r="O219" t="inlineStr">
        <is>
          <t xml:space="preserve"> : </t>
        </is>
      </c>
      <c r="P219" t="inlineStr">
        <is>
          <t>X</t>
        </is>
      </c>
      <c r="Q219" t="inlineStr"/>
      <c r="R219" t="inlineStr">
        <is>
          <t>Ledereinband, Schließen, erhabene Buchbeschläge</t>
        </is>
      </c>
      <c r="S219" t="inlineStr">
        <is>
          <t>bis 35 cm</t>
        </is>
      </c>
      <c r="T219" t="inlineStr">
        <is>
          <t>80° bis 110°, einseitig digitalisierbar?</t>
        </is>
      </c>
      <c r="U219" t="inlineStr">
        <is>
          <t>fester Rücken mit Schmuckprägung</t>
        </is>
      </c>
      <c r="V219" t="inlineStr"/>
      <c r="W219" t="inlineStr">
        <is>
          <t>Kassette</t>
        </is>
      </c>
      <c r="X219" t="inlineStr">
        <is>
          <t>Nein</t>
        </is>
      </c>
      <c r="Y219" t="n">
        <v>0</v>
      </c>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inlineStr"/>
      <c r="BK219" t="inlineStr"/>
      <c r="BL219" t="inlineStr"/>
      <c r="BM219" t="inlineStr"/>
      <c r="BN219" t="n">
        <v>0</v>
      </c>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c r="DC219" t="inlineStr"/>
      <c r="DD219" t="inlineStr"/>
      <c r="DE219" t="inlineStr"/>
      <c r="DF219" t="inlineStr"/>
      <c r="DG219" t="inlineStr"/>
    </row>
    <row r="220">
      <c r="A220" t="inlineStr">
        <is>
          <t>III</t>
        </is>
      </c>
      <c r="B220" t="b">
        <v>1</v>
      </c>
      <c r="C220" t="inlineStr"/>
      <c r="D220" t="inlineStr"/>
      <c r="E220" t="inlineStr"/>
      <c r="F220">
        <f>HYPERLINK("https://portal.dnb.de/opac.htm?method=simpleSearch&amp;cqlMode=true&amp;query=idn%3D1267872691", "Portal")</f>
        <v/>
      </c>
      <c r="G220" t="inlineStr">
        <is>
          <t>Qd</t>
        </is>
      </c>
      <c r="H220" t="inlineStr">
        <is>
          <t>L-1529-812449851</t>
        </is>
      </c>
      <c r="I220" t="inlineStr">
        <is>
          <t>1267872691</t>
        </is>
      </c>
      <c r="J220" t="inlineStr">
        <is>
          <t>III 21, 21 a</t>
        </is>
      </c>
      <c r="K220" t="inlineStr">
        <is>
          <t>III 21, 21 a</t>
        </is>
      </c>
      <c r="L220" t="inlineStr">
        <is>
          <t>III 21, 21 a</t>
        </is>
      </c>
      <c r="M220" t="inlineStr"/>
      <c r="N220" t="inlineStr">
        <is>
          <t xml:space="preserve">Sammelband : </t>
        </is>
      </c>
      <c r="O220" t="inlineStr">
        <is>
          <t xml:space="preserve"> : </t>
        </is>
      </c>
      <c r="P220" t="inlineStr"/>
      <c r="Q220" t="inlineStr"/>
      <c r="R220" t="inlineStr">
        <is>
          <t>Ledereinband, Schließen, erhabene Buchbeschläge</t>
        </is>
      </c>
      <c r="S220" t="inlineStr">
        <is>
          <t>bis 25 cm</t>
        </is>
      </c>
      <c r="T220" t="inlineStr">
        <is>
          <t>nur sehr geringer Öffnungswinkel</t>
        </is>
      </c>
      <c r="U220" t="inlineStr">
        <is>
          <t>fester Rücken mit Schmuckprägung, Schrift bis in den Falz</t>
        </is>
      </c>
      <c r="V220" t="inlineStr"/>
      <c r="W220" t="inlineStr">
        <is>
          <t>Kassette</t>
        </is>
      </c>
      <c r="X220" t="inlineStr">
        <is>
          <t>Nein</t>
        </is>
      </c>
      <c r="Y220" t="n">
        <v>0</v>
      </c>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inlineStr"/>
      <c r="BI220" t="inlineStr"/>
      <c r="BJ220" t="inlineStr"/>
      <c r="BK220" t="inlineStr"/>
      <c r="BL220" t="inlineStr"/>
      <c r="BM220" t="inlineStr"/>
      <c r="BN220" t="n">
        <v>0</v>
      </c>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c r="DC220" t="inlineStr"/>
      <c r="DD220" t="inlineStr"/>
      <c r="DE220" t="inlineStr"/>
      <c r="DF220" t="inlineStr"/>
      <c r="DG220" t="inlineStr"/>
    </row>
    <row r="221">
      <c r="A221" t="inlineStr">
        <is>
          <t>III</t>
        </is>
      </c>
      <c r="B221" t="b">
        <v>1</v>
      </c>
      <c r="C221" t="inlineStr"/>
      <c r="D221" t="inlineStr"/>
      <c r="E221" t="inlineStr"/>
      <c r="F221">
        <f>HYPERLINK("https://portal.dnb.de/opac.htm?method=simpleSearch&amp;cqlMode=true&amp;query=idn%3D1268481602", "Portal")</f>
        <v/>
      </c>
      <c r="G221" t="inlineStr">
        <is>
          <t>Qd</t>
        </is>
      </c>
      <c r="H221" t="inlineStr">
        <is>
          <t>L-1532-833464094</t>
        </is>
      </c>
      <c r="I221" t="inlineStr">
        <is>
          <t>1268481602</t>
        </is>
      </c>
      <c r="J221" t="inlineStr">
        <is>
          <t>III 21, 21 c</t>
        </is>
      </c>
      <c r="K221" t="inlineStr">
        <is>
          <t>III 21, 21 c</t>
        </is>
      </c>
      <c r="L221" t="inlineStr">
        <is>
          <t>III 21, 21 c</t>
        </is>
      </c>
      <c r="M221" t="inlineStr"/>
      <c r="N221" t="inlineStr">
        <is>
          <t xml:space="preserve">Sammelband : </t>
        </is>
      </c>
      <c r="O221" t="inlineStr">
        <is>
          <t xml:space="preserve"> : </t>
        </is>
      </c>
      <c r="P221" t="inlineStr">
        <is>
          <t>X</t>
        </is>
      </c>
      <c r="Q221" t="inlineStr"/>
      <c r="R221" t="inlineStr">
        <is>
          <t>Ledereinband, Schließen, erhabene Buchbeschläge</t>
        </is>
      </c>
      <c r="S221" t="inlineStr">
        <is>
          <t>bis 25 cm</t>
        </is>
      </c>
      <c r="T221" t="inlineStr">
        <is>
          <t>nur sehr geringer Öffnungswinkel</t>
        </is>
      </c>
      <c r="U221" t="inlineStr">
        <is>
          <t>fester Rücken mit Schmuckprägung, Schrift bis in den Falz</t>
        </is>
      </c>
      <c r="V221" t="inlineStr"/>
      <c r="W221" t="inlineStr">
        <is>
          <t>Kassette</t>
        </is>
      </c>
      <c r="X221" t="inlineStr">
        <is>
          <t>Nein</t>
        </is>
      </c>
      <c r="Y221" t="n">
        <v>0</v>
      </c>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inlineStr"/>
      <c r="BI221" t="inlineStr"/>
      <c r="BJ221" t="inlineStr"/>
      <c r="BK221" t="inlineStr"/>
      <c r="BL221" t="inlineStr"/>
      <c r="BM221" t="inlineStr"/>
      <c r="BN221" t="n">
        <v>0</v>
      </c>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c r="DC221" t="inlineStr"/>
      <c r="DD221" t="inlineStr"/>
      <c r="DE221" t="inlineStr"/>
      <c r="DF221" t="inlineStr"/>
      <c r="DG221" t="inlineStr"/>
    </row>
    <row r="222">
      <c r="A222" t="inlineStr">
        <is>
          <t>III</t>
        </is>
      </c>
      <c r="B222" t="b">
        <v>1</v>
      </c>
      <c r="C222" t="inlineStr"/>
      <c r="D222" t="inlineStr"/>
      <c r="E222" t="n">
        <v>271</v>
      </c>
      <c r="F222">
        <f>HYPERLINK("https://portal.dnb.de/opac.htm?method=simpleSearch&amp;cqlMode=true&amp;query=idn%3D981668178", "Portal")</f>
        <v/>
      </c>
      <c r="G222" t="inlineStr">
        <is>
          <t>Aa</t>
        </is>
      </c>
      <c r="H222" t="inlineStr">
        <is>
          <t>L-2006-325430</t>
        </is>
      </c>
      <c r="I222" t="inlineStr">
        <is>
          <t>981668178</t>
        </is>
      </c>
      <c r="J222" t="inlineStr">
        <is>
          <t>III 21, 21 d</t>
        </is>
      </c>
      <c r="K222" t="inlineStr">
        <is>
          <t>III 21, 21 d</t>
        </is>
      </c>
      <c r="L222" t="inlineStr">
        <is>
          <t>III 21, 21 d</t>
        </is>
      </c>
      <c r="M222" t="inlineStr"/>
      <c r="N222" t="inlineStr">
        <is>
          <t>C. Ivlii Higini, Avgvsti Liberti, poeticon astronomicon : ad vetervm exemplarium eorumq[ue] manuscriptorum fidem diligentissime recognitum, &amp; ab innum</t>
        </is>
      </c>
      <c r="O222" t="inlineStr">
        <is>
          <t xml:space="preserve"> : </t>
        </is>
      </c>
      <c r="P222" t="inlineStr"/>
      <c r="Q222" t="inlineStr"/>
      <c r="R222" t="inlineStr">
        <is>
          <t>Halbgewebeband, Halbledereinband</t>
        </is>
      </c>
      <c r="S222" t="inlineStr">
        <is>
          <t>bis 35 cm</t>
        </is>
      </c>
      <c r="T222" t="inlineStr">
        <is>
          <t>180°</t>
        </is>
      </c>
      <c r="U222" t="inlineStr">
        <is>
          <t>fester Rücken mit Schmuckprägung</t>
        </is>
      </c>
      <c r="V222" t="inlineStr"/>
      <c r="W222" t="inlineStr">
        <is>
          <t>Mappe</t>
        </is>
      </c>
      <c r="X222" t="inlineStr">
        <is>
          <t>Nein</t>
        </is>
      </c>
      <c r="Y222" t="n">
        <v>2</v>
      </c>
      <c r="Z222" t="inlineStr"/>
      <c r="AA222" t="inlineStr"/>
      <c r="AB222" t="inlineStr"/>
      <c r="AC222" t="inlineStr"/>
      <c r="AD222" t="inlineStr"/>
      <c r="AE222" t="inlineStr"/>
      <c r="AF222" t="inlineStr"/>
      <c r="AG222" t="inlineStr"/>
      <c r="AH222" t="inlineStr"/>
      <c r="AI222" t="inlineStr">
        <is>
          <t>HPg</t>
        </is>
      </c>
      <c r="AJ222" t="inlineStr"/>
      <c r="AK222" t="inlineStr"/>
      <c r="AL222" t="inlineStr"/>
      <c r="AM222" t="inlineStr">
        <is>
          <t>h</t>
        </is>
      </c>
      <c r="AN222" t="inlineStr"/>
      <c r="AO222" t="inlineStr"/>
      <c r="AP222" t="inlineStr"/>
      <c r="AQ222" t="inlineStr"/>
      <c r="AR222" t="inlineStr"/>
      <c r="AS222" t="inlineStr">
        <is>
          <t>Pa</t>
        </is>
      </c>
      <c r="AT222" t="inlineStr"/>
      <c r="AU222" t="inlineStr"/>
      <c r="AV222" t="inlineStr"/>
      <c r="AW222" t="inlineStr"/>
      <c r="AX222" t="inlineStr"/>
      <c r="AY222" t="inlineStr"/>
      <c r="AZ222" t="inlineStr"/>
      <c r="BA222" t="inlineStr"/>
      <c r="BB222" t="inlineStr"/>
      <c r="BC222" t="inlineStr"/>
      <c r="BD222" t="inlineStr"/>
      <c r="BE222" t="inlineStr"/>
      <c r="BF222" t="inlineStr"/>
      <c r="BG222" t="n">
        <v>110</v>
      </c>
      <c r="BH222" t="inlineStr"/>
      <c r="BI222" t="inlineStr"/>
      <c r="BJ222" t="inlineStr"/>
      <c r="BK222" t="inlineStr"/>
      <c r="BL222" t="inlineStr"/>
      <c r="BM222" t="inlineStr">
        <is>
          <t>n</t>
        </is>
      </c>
      <c r="BN222" t="n">
        <v>0</v>
      </c>
      <c r="BO222" t="inlineStr"/>
      <c r="BP222" t="inlineStr"/>
      <c r="BQ222" t="inlineStr"/>
      <c r="BR222" t="inlineStr"/>
      <c r="BS222" t="inlineStr">
        <is>
          <t>x</t>
        </is>
      </c>
      <c r="BT222" t="inlineStr"/>
      <c r="BU222" t="inlineStr"/>
      <c r="BV222" t="inlineStr">
        <is>
          <t>Schaden stabil</t>
        </is>
      </c>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c r="DC222" t="inlineStr"/>
      <c r="DD222" t="inlineStr"/>
      <c r="DE222" t="inlineStr"/>
      <c r="DF222" t="inlineStr"/>
      <c r="DG222" t="inlineStr"/>
    </row>
    <row r="223">
      <c r="A223" t="inlineStr">
        <is>
          <t>III</t>
        </is>
      </c>
      <c r="B223" t="b">
        <v>1</v>
      </c>
      <c r="C223" t="inlineStr"/>
      <c r="D223" t="inlineStr"/>
      <c r="E223" t="n">
        <v>272</v>
      </c>
      <c r="F223">
        <f>HYPERLINK("https://portal.dnb.de/opac.htm?method=simpleSearch&amp;cqlMode=true&amp;query=idn%3D995935467", "Portal")</f>
        <v/>
      </c>
      <c r="G223" t="inlineStr">
        <is>
          <t>Aal</t>
        </is>
      </c>
      <c r="H223" t="inlineStr">
        <is>
          <t>L-1525-161362591</t>
        </is>
      </c>
      <c r="I223" t="inlineStr">
        <is>
          <t>995935467</t>
        </is>
      </c>
      <c r="J223" t="inlineStr">
        <is>
          <t>III 21, 21/b</t>
        </is>
      </c>
      <c r="K223" t="inlineStr">
        <is>
          <t>III 21, 21/b</t>
        </is>
      </c>
      <c r="L223" t="inlineStr">
        <is>
          <t>III 21, 21/b</t>
        </is>
      </c>
      <c r="M223" t="inlineStr"/>
      <c r="N223" t="inlineStr">
        <is>
          <t xml:space="preserve">THEO||DORI GAZAE IN-||troductionis Grammaticae|| libri quatuor, unà cum|| interpretatione La||tina sanè quàm|| doctißima ... : </t>
        </is>
      </c>
      <c r="O223" t="inlineStr">
        <is>
          <t xml:space="preserve"> : </t>
        </is>
      </c>
      <c r="P223" t="inlineStr"/>
      <c r="Q223" t="inlineStr"/>
      <c r="R223" t="inlineStr">
        <is>
          <t>Papier- oder Pappeinband</t>
        </is>
      </c>
      <c r="S223" t="inlineStr">
        <is>
          <t>bis 25 cm</t>
        </is>
      </c>
      <c r="T223" t="inlineStr">
        <is>
          <t>180°</t>
        </is>
      </c>
      <c r="U223" t="inlineStr">
        <is>
          <t>hohler Rücken</t>
        </is>
      </c>
      <c r="V223" t="inlineStr"/>
      <c r="W223" t="inlineStr"/>
      <c r="X223" t="inlineStr">
        <is>
          <t>Signaturfahne austauschen</t>
        </is>
      </c>
      <c r="Y223" t="n">
        <v>0</v>
      </c>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inlineStr"/>
      <c r="BJ223" t="inlineStr"/>
      <c r="BK223" t="inlineStr"/>
      <c r="BL223" t="inlineStr"/>
      <c r="BM223" t="inlineStr"/>
      <c r="BN223" t="n">
        <v>0</v>
      </c>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c r="DC223" t="inlineStr"/>
      <c r="DD223" t="inlineStr"/>
      <c r="DE223" t="inlineStr"/>
      <c r="DF223" t="inlineStr"/>
      <c r="DG223" t="inlineStr"/>
    </row>
    <row r="224">
      <c r="A224" t="inlineStr">
        <is>
          <t>III</t>
        </is>
      </c>
      <c r="B224" t="b">
        <v>1</v>
      </c>
      <c r="C224" t="inlineStr"/>
      <c r="D224" t="inlineStr"/>
      <c r="E224" t="n">
        <v>235</v>
      </c>
      <c r="F224">
        <f>HYPERLINK("https://portal.dnb.de/opac.htm?method=simpleSearch&amp;cqlMode=true&amp;query=idn%3D1066963983", "Portal")</f>
        <v/>
      </c>
      <c r="G224" t="inlineStr">
        <is>
          <t>Aaf</t>
        </is>
      </c>
      <c r="H224" t="inlineStr">
        <is>
          <t>L-1522-315494190</t>
        </is>
      </c>
      <c r="I224" t="inlineStr">
        <is>
          <t>1066963983</t>
        </is>
      </c>
      <c r="J224" t="inlineStr">
        <is>
          <t>III 21, 22</t>
        </is>
      </c>
      <c r="K224" t="inlineStr">
        <is>
          <t>III 21, 22</t>
        </is>
      </c>
      <c r="L224" t="inlineStr">
        <is>
          <t>III 21, 22</t>
        </is>
      </c>
      <c r="M224" t="inlineStr"/>
      <c r="N224" t="inlineStr">
        <is>
          <t>BEATIS||SIMI PATRIS NILI|| EPISCOPI ET MAR||tyris antiquissimi Sent?tiae mo=||rales egreco in latinum|| uersae.|| BILIBALDO PIR=||cheimero Norimbergen</t>
        </is>
      </c>
      <c r="O224" t="inlineStr">
        <is>
          <t xml:space="preserve"> : </t>
        </is>
      </c>
      <c r="P224" t="inlineStr">
        <is>
          <t>X</t>
        </is>
      </c>
      <c r="Q224" t="inlineStr"/>
      <c r="R224" t="inlineStr">
        <is>
          <t>Pergamentband</t>
        </is>
      </c>
      <c r="S224" t="inlineStr">
        <is>
          <t>bis 25 cm</t>
        </is>
      </c>
      <c r="T224" t="inlineStr">
        <is>
          <t>80° bis 110°, einseitig digitalisierbar?</t>
        </is>
      </c>
      <c r="U224" t="inlineStr">
        <is>
          <t>hohler Rücken</t>
        </is>
      </c>
      <c r="V224" t="inlineStr"/>
      <c r="W224" t="inlineStr">
        <is>
          <t>Kassette</t>
        </is>
      </c>
      <c r="X224" t="inlineStr">
        <is>
          <t>Nein</t>
        </is>
      </c>
      <c r="Y224" t="n">
        <v>0</v>
      </c>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n">
        <v>0</v>
      </c>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c r="DC224" t="inlineStr"/>
      <c r="DD224" t="inlineStr"/>
      <c r="DE224" t="inlineStr"/>
      <c r="DF224" t="inlineStr"/>
      <c r="DG224" t="inlineStr"/>
    </row>
    <row r="225">
      <c r="A225" t="inlineStr">
        <is>
          <t>III</t>
        </is>
      </c>
      <c r="B225" t="b">
        <v>1</v>
      </c>
      <c r="C225" t="inlineStr"/>
      <c r="D225" t="inlineStr"/>
      <c r="E225" t="inlineStr"/>
      <c r="F225">
        <f>HYPERLINK("https://portal.dnb.de/opac.htm?method=simpleSearch&amp;cqlMode=true&amp;query=idn%3D1138379727", "Portal")</f>
        <v/>
      </c>
      <c r="G225" t="inlineStr">
        <is>
          <t>Qd</t>
        </is>
      </c>
      <c r="H225" t="inlineStr">
        <is>
          <t>L-9999-414986288</t>
        </is>
      </c>
      <c r="I225" t="inlineStr">
        <is>
          <t>1138379727</t>
        </is>
      </c>
      <c r="J225" t="inlineStr">
        <is>
          <t>III 21, 23</t>
        </is>
      </c>
      <c r="K225" t="inlineStr">
        <is>
          <t>III 21, 23</t>
        </is>
      </c>
      <c r="L225" t="inlineStr">
        <is>
          <t>III 21, 23</t>
        </is>
      </c>
      <c r="M225" t="inlineStr"/>
      <c r="N225" t="inlineStr">
        <is>
          <t xml:space="preserve">Sammelband mit Druckwerk und angebundener Handschrift : </t>
        </is>
      </c>
      <c r="O225" t="inlineStr">
        <is>
          <t xml:space="preserve"> : </t>
        </is>
      </c>
      <c r="P225" t="inlineStr">
        <is>
          <t>X</t>
        </is>
      </c>
      <c r="Q225" t="inlineStr"/>
      <c r="R225" t="inlineStr">
        <is>
          <t>Gewebeeinband</t>
        </is>
      </c>
      <c r="S225" t="inlineStr">
        <is>
          <t>bis 25 cm</t>
        </is>
      </c>
      <c r="T225" t="inlineStr">
        <is>
          <t>80° bis 110°, einseitig digitalisierbar?</t>
        </is>
      </c>
      <c r="U225" t="inlineStr">
        <is>
          <t>hohler Rücken</t>
        </is>
      </c>
      <c r="V225" t="inlineStr"/>
      <c r="W225" t="inlineStr"/>
      <c r="X225" t="inlineStr"/>
      <c r="Y225" t="n">
        <v>0</v>
      </c>
      <c r="Z225" t="inlineStr"/>
      <c r="AA225" t="inlineStr"/>
      <c r="AB225" t="inlineStr"/>
      <c r="AC225" t="inlineStr"/>
      <c r="AD225" t="inlineStr">
        <is>
          <t>Sonderkonto</t>
        </is>
      </c>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inlineStr"/>
      <c r="BJ225" t="inlineStr"/>
      <c r="BK225" t="inlineStr"/>
      <c r="BL225" t="inlineStr"/>
      <c r="BM225" t="inlineStr"/>
      <c r="BN225" t="n">
        <v>0</v>
      </c>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c r="DC225" t="inlineStr"/>
      <c r="DD225" t="inlineStr"/>
      <c r="DE225" t="inlineStr"/>
      <c r="DF225" t="inlineStr"/>
      <c r="DG225" t="inlineStr"/>
    </row>
    <row r="226">
      <c r="A226" t="inlineStr">
        <is>
          <t>III</t>
        </is>
      </c>
      <c r="B226" t="b">
        <v>1</v>
      </c>
      <c r="C226" t="inlineStr">
        <is>
          <t>x</t>
        </is>
      </c>
      <c r="D226" t="inlineStr"/>
      <c r="E226" t="inlineStr"/>
      <c r="F226">
        <f>HYPERLINK("https://portal.dnb.de/opac.htm?method=simpleSearch&amp;cqlMode=true&amp;query=idn%3D1138311480", "Portal")</f>
        <v/>
      </c>
      <c r="G226" t="inlineStr">
        <is>
          <t>Qd</t>
        </is>
      </c>
      <c r="H226" t="inlineStr">
        <is>
          <t>L-9999-414828461</t>
        </is>
      </c>
      <c r="I226" t="inlineStr">
        <is>
          <t>1138311480</t>
        </is>
      </c>
      <c r="J226" t="inlineStr">
        <is>
          <t>III 21, 24</t>
        </is>
      </c>
      <c r="K226" t="inlineStr">
        <is>
          <t>III 21, 24</t>
        </is>
      </c>
      <c r="L226" t="inlineStr">
        <is>
          <t>III 21, 24</t>
        </is>
      </c>
      <c r="M226" t="inlineStr"/>
      <c r="N226" t="inlineStr">
        <is>
          <t xml:space="preserve">Sammelband mit Werken von Rupertus Tuitensis : </t>
        </is>
      </c>
      <c r="O226" t="inlineStr">
        <is>
          <t xml:space="preserve"> : </t>
        </is>
      </c>
      <c r="P226" t="inlineStr">
        <is>
          <t>X</t>
        </is>
      </c>
      <c r="Q226" t="inlineStr">
        <is>
          <t>830,00 EUR</t>
        </is>
      </c>
      <c r="R226" t="inlineStr">
        <is>
          <t>Ledereinband, Schließen, erhabene Buchbeschläge</t>
        </is>
      </c>
      <c r="S226" t="inlineStr">
        <is>
          <t>bis 35 cm</t>
        </is>
      </c>
      <c r="T226" t="inlineStr">
        <is>
          <t>80° bis 110°, einseitig digitalisierbar?</t>
        </is>
      </c>
      <c r="U226" t="inlineStr">
        <is>
          <t>fester Rücken mit Schmuckprägung, welliger Buchblock</t>
        </is>
      </c>
      <c r="V226" t="inlineStr"/>
      <c r="W226" t="inlineStr">
        <is>
          <t>Buchschuh</t>
        </is>
      </c>
      <c r="X226" t="inlineStr">
        <is>
          <t>Nein</t>
        </is>
      </c>
      <c r="Y226" t="n">
        <v>1</v>
      </c>
      <c r="Z226" t="inlineStr"/>
      <c r="AA226" t="inlineStr"/>
      <c r="AB226" t="inlineStr"/>
      <c r="AC226" t="inlineStr"/>
      <c r="AD226" t="inlineStr"/>
      <c r="AE226" t="inlineStr"/>
      <c r="AF226" t="inlineStr"/>
      <c r="AG226" t="inlineStr"/>
      <c r="AH226" t="inlineStr"/>
      <c r="AI226" t="inlineStr">
        <is>
          <t>HD</t>
        </is>
      </c>
      <c r="AJ226" t="inlineStr"/>
      <c r="AK226" t="inlineStr">
        <is>
          <t>x</t>
        </is>
      </c>
      <c r="AL226" t="inlineStr"/>
      <c r="AM226" t="inlineStr">
        <is>
          <t>f/V</t>
        </is>
      </c>
      <c r="AN226" t="inlineStr"/>
      <c r="AO226" t="inlineStr"/>
      <c r="AP226" t="inlineStr"/>
      <c r="AQ226" t="inlineStr"/>
      <c r="AR226" t="inlineStr"/>
      <c r="AS226" t="inlineStr">
        <is>
          <t>Pa</t>
        </is>
      </c>
      <c r="AT226" t="inlineStr"/>
      <c r="AU226" t="inlineStr"/>
      <c r="AV226" t="inlineStr"/>
      <c r="AW226" t="inlineStr"/>
      <c r="AX226" t="inlineStr"/>
      <c r="AY226" t="inlineStr"/>
      <c r="AZ226" t="inlineStr"/>
      <c r="BA226" t="inlineStr"/>
      <c r="BB226" t="inlineStr"/>
      <c r="BC226" t="inlineStr"/>
      <c r="BD226" t="inlineStr"/>
      <c r="BE226" t="inlineStr"/>
      <c r="BF226" t="inlineStr"/>
      <c r="BG226" t="n">
        <v>45</v>
      </c>
      <c r="BH226" t="inlineStr"/>
      <c r="BI226" t="inlineStr"/>
      <c r="BJ226" t="inlineStr"/>
      <c r="BK226" t="inlineStr"/>
      <c r="BL226" t="inlineStr"/>
      <c r="BM226" t="inlineStr">
        <is>
          <t>ja vor</t>
        </is>
      </c>
      <c r="BN226" t="n">
        <v>1</v>
      </c>
      <c r="BO226" t="inlineStr"/>
      <c r="BP226" t="inlineStr"/>
      <c r="BQ226" t="inlineStr"/>
      <c r="BR226" t="inlineStr">
        <is>
          <t>x</t>
        </is>
      </c>
      <c r="BS226" t="inlineStr"/>
      <c r="BT226" t="inlineStr"/>
      <c r="BU226" t="inlineStr"/>
      <c r="BV226" t="inlineStr"/>
      <c r="BW226" t="inlineStr"/>
      <c r="BX226" t="inlineStr"/>
      <c r="BY226" t="inlineStr"/>
      <c r="BZ226" t="inlineStr">
        <is>
          <t>x</t>
        </is>
      </c>
      <c r="CA226" t="inlineStr"/>
      <c r="CB226" t="inlineStr">
        <is>
          <t>x</t>
        </is>
      </c>
      <c r="CC226" t="inlineStr"/>
      <c r="CD226" t="inlineStr"/>
      <c r="CE226" t="inlineStr"/>
      <c r="CF226" t="inlineStr"/>
      <c r="CG226" t="inlineStr"/>
      <c r="CH226" t="inlineStr"/>
      <c r="CI226" t="inlineStr"/>
      <c r="CJ226" t="inlineStr"/>
      <c r="CK226" t="inlineStr"/>
      <c r="CL226" t="inlineStr">
        <is>
          <t>o</t>
        </is>
      </c>
      <c r="CM226" t="n">
        <v>1</v>
      </c>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c r="DC226" t="inlineStr"/>
      <c r="DD226" t="inlineStr"/>
      <c r="DE226" t="inlineStr"/>
      <c r="DF226" t="inlineStr"/>
      <c r="DG226" t="inlineStr"/>
    </row>
    <row r="227">
      <c r="A227" t="inlineStr">
        <is>
          <t>III</t>
        </is>
      </c>
      <c r="B227" t="b">
        <v>1</v>
      </c>
      <c r="C227" t="inlineStr"/>
      <c r="D227" t="inlineStr"/>
      <c r="E227" t="n">
        <v>276</v>
      </c>
      <c r="F227">
        <f>HYPERLINK("https://portal.dnb.de/opac.htm?method=simpleSearch&amp;cqlMode=true&amp;query=idn%3D999011383", "Portal")</f>
        <v/>
      </c>
      <c r="G227" t="inlineStr">
        <is>
          <t>Aal</t>
        </is>
      </c>
      <c r="H227" t="inlineStr">
        <is>
          <t>L-1557-167360604</t>
        </is>
      </c>
      <c r="I227" t="inlineStr">
        <is>
          <t>999011383</t>
        </is>
      </c>
      <c r="J227" t="inlineStr">
        <is>
          <t>III 21, 24 a</t>
        </is>
      </c>
      <c r="K227" t="inlineStr">
        <is>
          <t>III 21, 24 a</t>
        </is>
      </c>
      <c r="L227" t="inlineStr">
        <is>
          <t>III 21, 24 a</t>
        </is>
      </c>
      <c r="M227" t="inlineStr"/>
      <c r="N227" t="inlineStr">
        <is>
          <t>RITVVM|| ECCLESI||ASTICORVM SIVE SA||CRARVM CERIMONIARVM|| SS. Romanae Ecclesiae, Libri|| tres, non antè in Germa||nia impressi|| ... : cum Indice cop</t>
        </is>
      </c>
      <c r="O227" t="inlineStr">
        <is>
          <t xml:space="preserve"> : </t>
        </is>
      </c>
      <c r="P227" t="inlineStr"/>
      <c r="Q227" t="inlineStr"/>
      <c r="R227" t="inlineStr">
        <is>
          <t>Pergamentband, Schließen, erhabene Buchbeschläge</t>
        </is>
      </c>
      <c r="S227" t="inlineStr">
        <is>
          <t>bis 25 cm</t>
        </is>
      </c>
      <c r="T227" t="inlineStr">
        <is>
          <t>80° bis 110°, einseitig digitalisierbar?</t>
        </is>
      </c>
      <c r="U227" t="inlineStr">
        <is>
          <t>hohler Rücken, Einband mit Schutz- oder Stoßkanten</t>
        </is>
      </c>
      <c r="V227" t="inlineStr"/>
      <c r="W227" t="inlineStr">
        <is>
          <t>Kassette</t>
        </is>
      </c>
      <c r="X227" t="inlineStr">
        <is>
          <t>Nein</t>
        </is>
      </c>
      <c r="Y227" t="n">
        <v>0</v>
      </c>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inlineStr"/>
      <c r="BI227" t="inlineStr"/>
      <c r="BJ227" t="inlineStr"/>
      <c r="BK227" t="inlineStr"/>
      <c r="BL227" t="inlineStr"/>
      <c r="BM227" t="inlineStr"/>
      <c r="BN227" t="n">
        <v>0</v>
      </c>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c r="DC227" t="inlineStr"/>
      <c r="DD227" t="inlineStr"/>
      <c r="DE227" t="inlineStr"/>
      <c r="DF227" t="inlineStr"/>
      <c r="DG227" t="inlineStr"/>
    </row>
    <row r="228">
      <c r="A228" t="inlineStr">
        <is>
          <t>III</t>
        </is>
      </c>
      <c r="B228" t="b">
        <v>1</v>
      </c>
      <c r="C228" t="inlineStr"/>
      <c r="D228" t="inlineStr"/>
      <c r="E228" t="n">
        <v>238</v>
      </c>
      <c r="F228">
        <f>HYPERLINK("https://portal.dnb.de/opac.htm?method=simpleSearch&amp;cqlMode=true&amp;query=idn%3D1066957754", "Portal")</f>
        <v/>
      </c>
      <c r="G228" t="inlineStr">
        <is>
          <t>Aaf</t>
        </is>
      </c>
      <c r="H228" t="inlineStr">
        <is>
          <t>L-1526-315488379</t>
        </is>
      </c>
      <c r="I228" t="inlineStr">
        <is>
          <t>1066957754</t>
        </is>
      </c>
      <c r="J228" t="inlineStr">
        <is>
          <t>III 21, 25</t>
        </is>
      </c>
      <c r="K228" t="inlineStr">
        <is>
          <t>III 21, 25</t>
        </is>
      </c>
      <c r="L228" t="inlineStr">
        <is>
          <t>III 21, 25</t>
        </is>
      </c>
      <c r="M228" t="inlineStr"/>
      <c r="N228" t="inlineStr">
        <is>
          <t>MACRO||BII AVRELII THEODO-||SII VIRI CONSVLARIS|| IN SOMNIVM SCIPIONIS|| LIBRI DVO:|| ET SEPTEM EIVSDEM|| SATVRNALIORVM.|| Nunc denuo recogniti, &amp; mul</t>
        </is>
      </c>
      <c r="O228" t="inlineStr">
        <is>
          <t xml:space="preserve"> : </t>
        </is>
      </c>
      <c r="P228" t="inlineStr">
        <is>
          <t>X</t>
        </is>
      </c>
      <c r="Q228" t="inlineStr"/>
      <c r="R228" t="inlineStr">
        <is>
          <t>Gewebeeinband, Schließen, erhabene Buchbeschläge</t>
        </is>
      </c>
      <c r="S228" t="inlineStr">
        <is>
          <t>bis 35 cm</t>
        </is>
      </c>
      <c r="T228" t="inlineStr">
        <is>
          <t>180°</t>
        </is>
      </c>
      <c r="U228" t="inlineStr">
        <is>
          <t>hohler Rücken</t>
        </is>
      </c>
      <c r="V228" t="inlineStr"/>
      <c r="W228" t="inlineStr">
        <is>
          <t>Buchschuh</t>
        </is>
      </c>
      <c r="X228" t="inlineStr">
        <is>
          <t>Nein</t>
        </is>
      </c>
      <c r="Y228" t="n">
        <v>1</v>
      </c>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inlineStr"/>
      <c r="BI228" t="inlineStr"/>
      <c r="BJ228" t="inlineStr"/>
      <c r="BK228" t="inlineStr"/>
      <c r="BL228" t="inlineStr"/>
      <c r="BM228" t="inlineStr"/>
      <c r="BN228" t="n">
        <v>0</v>
      </c>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c r="DC228" t="inlineStr"/>
      <c r="DD228" t="inlineStr"/>
      <c r="DE228" t="inlineStr"/>
      <c r="DF228" t="inlineStr"/>
      <c r="DG228" t="inlineStr"/>
    </row>
    <row r="229">
      <c r="A229" t="inlineStr">
        <is>
          <t>III</t>
        </is>
      </c>
      <c r="B229" t="b">
        <v>1</v>
      </c>
      <c r="C229" t="inlineStr"/>
      <c r="D229" t="inlineStr"/>
      <c r="E229" t="n">
        <v>239</v>
      </c>
      <c r="F229">
        <f>HYPERLINK("https://portal.dnb.de/opac.htm?method=simpleSearch&amp;cqlMode=true&amp;query=idn%3D1066758786", "Portal")</f>
        <v/>
      </c>
      <c r="G229" t="inlineStr">
        <is>
          <t>Aaf</t>
        </is>
      </c>
      <c r="H229" t="inlineStr">
        <is>
          <t>L-1526-315181427</t>
        </is>
      </c>
      <c r="I229" t="inlineStr">
        <is>
          <t>1066758786</t>
        </is>
      </c>
      <c r="J229" t="inlineStr">
        <is>
          <t>III 21, 26</t>
        </is>
      </c>
      <c r="K229" t="inlineStr">
        <is>
          <t>III 21, 26</t>
        </is>
      </c>
      <c r="L229" t="inlineStr">
        <is>
          <t>III 21, 26</t>
        </is>
      </c>
      <c r="M229" t="inlineStr"/>
      <c r="N229" t="inlineStr">
        <is>
          <t>A.GELLII|| LVCVLENTISS.|| SCRIPTORIS|| NOCTES|| ATTI||CAE|| Castigatae sunt emaculatae´q; diuersorum codicum colla-||tione, nec id tam? sine doctioris</t>
        </is>
      </c>
      <c r="O229" t="inlineStr">
        <is>
          <t xml:space="preserve"> : </t>
        </is>
      </c>
      <c r="P229" t="inlineStr">
        <is>
          <t>X</t>
        </is>
      </c>
      <c r="Q229" t="inlineStr"/>
      <c r="R229" t="inlineStr">
        <is>
          <t>Gewebeeinband</t>
        </is>
      </c>
      <c r="S229" t="inlineStr">
        <is>
          <t>bis 35 cm</t>
        </is>
      </c>
      <c r="T229" t="inlineStr">
        <is>
          <t>180°</t>
        </is>
      </c>
      <c r="U229" t="inlineStr">
        <is>
          <t>hohler Rücken</t>
        </is>
      </c>
      <c r="V229" t="inlineStr"/>
      <c r="W229" t="inlineStr"/>
      <c r="X229" t="inlineStr"/>
      <c r="Y229" t="n">
        <v>1</v>
      </c>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inlineStr"/>
      <c r="BI229" t="inlineStr"/>
      <c r="BJ229" t="inlineStr"/>
      <c r="BK229" t="inlineStr"/>
      <c r="BL229" t="inlineStr"/>
      <c r="BM229" t="inlineStr"/>
      <c r="BN229" t="n">
        <v>0</v>
      </c>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c r="DC229" t="inlineStr"/>
      <c r="DD229" t="inlineStr"/>
      <c r="DE229" t="inlineStr"/>
      <c r="DF229" t="inlineStr"/>
      <c r="DG229" t="inlineStr"/>
    </row>
    <row r="230">
      <c r="A230" t="inlineStr">
        <is>
          <t>III</t>
        </is>
      </c>
      <c r="B230" t="b">
        <v>1</v>
      </c>
      <c r="C230" t="inlineStr"/>
      <c r="D230" t="inlineStr"/>
      <c r="E230" t="n">
        <v>240</v>
      </c>
      <c r="F230">
        <f>HYPERLINK("https://portal.dnb.de/opac.htm?method=simpleSearch&amp;cqlMode=true&amp;query=idn%3D993901212", "Portal")</f>
        <v/>
      </c>
      <c r="G230" t="inlineStr">
        <is>
          <t>Aal</t>
        </is>
      </c>
      <c r="H230" t="inlineStr">
        <is>
          <t>L-1531-153964464</t>
        </is>
      </c>
      <c r="I230" t="inlineStr">
        <is>
          <t>993901212</t>
        </is>
      </c>
      <c r="J230" t="inlineStr">
        <is>
          <t>III 21, 27</t>
        </is>
      </c>
      <c r="K230" t="inlineStr">
        <is>
          <t>III 21, 27</t>
        </is>
      </c>
      <c r="L230" t="inlineStr">
        <is>
          <t>III 21, 27</t>
        </is>
      </c>
      <c r="M230" t="inlineStr"/>
      <c r="N230" t="inlineStr">
        <is>
          <t>HENRICI|| CORNELII AGRIPPAE|| AB HETTESHEYM|| De incertitudine &amp; vanitate|| scientia declamatio|| inuectiua, qua vniuersa illa sophorum gigantomachia|</t>
        </is>
      </c>
      <c r="O230" t="inlineStr">
        <is>
          <t xml:space="preserve"> : </t>
        </is>
      </c>
      <c r="P230" t="inlineStr">
        <is>
          <t>X</t>
        </is>
      </c>
      <c r="Q230" t="inlineStr"/>
      <c r="R230" t="inlineStr">
        <is>
          <t>Pergamentband, Schließen, erhabene Buchbeschläge</t>
        </is>
      </c>
      <c r="S230" t="inlineStr">
        <is>
          <t>bis 25 cm</t>
        </is>
      </c>
      <c r="T230" t="inlineStr">
        <is>
          <t>80° bis 110°, einseitig digitalisierbar?</t>
        </is>
      </c>
      <c r="U230" t="inlineStr"/>
      <c r="V230" t="inlineStr"/>
      <c r="W230" t="inlineStr">
        <is>
          <t>Kassette</t>
        </is>
      </c>
      <c r="X230" t="inlineStr">
        <is>
          <t>Nein</t>
        </is>
      </c>
      <c r="Y230" t="n">
        <v>0</v>
      </c>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inlineStr"/>
      <c r="BK230" t="inlineStr"/>
      <c r="BL230" t="inlineStr"/>
      <c r="BM230" t="inlineStr"/>
      <c r="BN230" t="n">
        <v>0</v>
      </c>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c r="DC230" t="inlineStr"/>
      <c r="DD230" t="inlineStr"/>
      <c r="DE230" t="inlineStr"/>
      <c r="DF230" t="inlineStr"/>
      <c r="DG230" t="inlineStr"/>
    </row>
    <row r="231">
      <c r="A231" t="inlineStr">
        <is>
          <t>III</t>
        </is>
      </c>
      <c r="B231" t="b">
        <v>1</v>
      </c>
      <c r="C231" t="inlineStr"/>
      <c r="D231" t="inlineStr"/>
      <c r="E231" t="n">
        <v>241</v>
      </c>
      <c r="F231">
        <f>HYPERLINK("https://portal.dnb.de/opac.htm?method=simpleSearch&amp;cqlMode=true&amp;query=idn%3D994000316", "Portal")</f>
        <v/>
      </c>
      <c r="G231" t="inlineStr">
        <is>
          <t>Aal</t>
        </is>
      </c>
      <c r="H231" t="inlineStr">
        <is>
          <t>L-1527-154280437</t>
        </is>
      </c>
      <c r="I231" t="inlineStr">
        <is>
          <t>994000316</t>
        </is>
      </c>
      <c r="J231" t="inlineStr">
        <is>
          <t>III 21, 28</t>
        </is>
      </c>
      <c r="K231" t="inlineStr">
        <is>
          <t>III 21, 28</t>
        </is>
      </c>
      <c r="L231" t="inlineStr">
        <is>
          <t>III 21, 28</t>
        </is>
      </c>
      <c r="M231" t="inlineStr"/>
      <c r="N231" t="inlineStr">
        <is>
          <t xml:space="preserve">DIVI|| AVRELII AV-||GVSTINI DE SPIRITV|| ET LITERA LIBER|| VNVS.|| : </t>
        </is>
      </c>
      <c r="O231" t="inlineStr">
        <is>
          <t xml:space="preserve"> : </t>
        </is>
      </c>
      <c r="P231" t="inlineStr">
        <is>
          <t>X</t>
        </is>
      </c>
      <c r="Q231" t="inlineStr"/>
      <c r="R231" t="inlineStr">
        <is>
          <t>Gewebeeinband</t>
        </is>
      </c>
      <c r="S231" t="inlineStr">
        <is>
          <t>bis 25 cm</t>
        </is>
      </c>
      <c r="T231" t="inlineStr">
        <is>
          <t>80° bis 110°, einseitig digitalisierbar?</t>
        </is>
      </c>
      <c r="U231" t="inlineStr">
        <is>
          <t>hohler Rücken, Schrift bis in den Falz</t>
        </is>
      </c>
      <c r="V231" t="inlineStr"/>
      <c r="W231" t="inlineStr"/>
      <c r="X231" t="inlineStr"/>
      <c r="Y231" t="n">
        <v>0</v>
      </c>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inlineStr"/>
      <c r="BJ231" t="inlineStr"/>
      <c r="BK231" t="inlineStr"/>
      <c r="BL231" t="inlineStr"/>
      <c r="BM231" t="inlineStr"/>
      <c r="BN231" t="n">
        <v>0</v>
      </c>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c r="DC231" t="inlineStr"/>
      <c r="DD231" t="inlineStr"/>
      <c r="DE231" t="inlineStr"/>
      <c r="DF231" t="inlineStr"/>
      <c r="DG231" t="inlineStr"/>
    </row>
    <row r="232">
      <c r="A232" t="inlineStr">
        <is>
          <t>III</t>
        </is>
      </c>
      <c r="B232" t="b">
        <v>1</v>
      </c>
      <c r="C232" t="inlineStr"/>
      <c r="D232" t="inlineStr"/>
      <c r="E232" t="n">
        <v>242</v>
      </c>
      <c r="F232">
        <f>HYPERLINK("https://portal.dnb.de/opac.htm?method=simpleSearch&amp;cqlMode=true&amp;query=idn%3D1066940754", "Portal")</f>
        <v/>
      </c>
      <c r="G232" t="inlineStr">
        <is>
          <t>Aaf</t>
        </is>
      </c>
      <c r="H232" t="inlineStr">
        <is>
          <t>L-1531-315468513</t>
        </is>
      </c>
      <c r="I232" t="inlineStr">
        <is>
          <t>1066940754</t>
        </is>
      </c>
      <c r="J232" t="inlineStr">
        <is>
          <t>III 21, 29</t>
        </is>
      </c>
      <c r="K232" t="inlineStr">
        <is>
          <t>III 21, 29</t>
        </is>
      </c>
      <c r="L232" t="inlineStr">
        <is>
          <t>III 21, 29</t>
        </is>
      </c>
      <c r="M232" t="inlineStr"/>
      <c r="N232" t="inlineStr">
        <is>
          <t xml:space="preserve">D. HAYMO/||NIS EPISCOPI HAL/||BERSTATTENSIS, DE VARIETATE|| librorum, siue de Amore coelestis|| patriae, libri III. nunc primu|| types excusi.|| : </t>
        </is>
      </c>
      <c r="O232" t="inlineStr">
        <is>
          <t xml:space="preserve"> : </t>
        </is>
      </c>
      <c r="P232" t="inlineStr">
        <is>
          <t>X</t>
        </is>
      </c>
      <c r="Q232" t="inlineStr"/>
      <c r="R232" t="inlineStr">
        <is>
          <t>Papier- oder Pappeinband</t>
        </is>
      </c>
      <c r="S232" t="inlineStr">
        <is>
          <t>bis 25 cm</t>
        </is>
      </c>
      <c r="T232" t="inlineStr">
        <is>
          <t>80° bis 110°, einseitig digitalisierbar?</t>
        </is>
      </c>
      <c r="U232" t="inlineStr">
        <is>
          <t>hohler Rücken</t>
        </is>
      </c>
      <c r="V232" t="inlineStr"/>
      <c r="W232" t="inlineStr"/>
      <c r="X232" t="inlineStr"/>
      <c r="Y232" t="n">
        <v>1</v>
      </c>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inlineStr"/>
      <c r="BI232" t="inlineStr"/>
      <c r="BJ232" t="inlineStr"/>
      <c r="BK232" t="inlineStr"/>
      <c r="BL232" t="inlineStr"/>
      <c r="BM232" t="inlineStr"/>
      <c r="BN232" t="n">
        <v>0</v>
      </c>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c r="DC232" t="inlineStr"/>
      <c r="DD232" t="inlineStr"/>
      <c r="DE232" t="inlineStr"/>
      <c r="DF232" t="inlineStr"/>
      <c r="DG232" t="inlineStr"/>
    </row>
    <row r="233">
      <c r="A233" t="inlineStr">
        <is>
          <t>III</t>
        </is>
      </c>
      <c r="B233" t="b">
        <v>1</v>
      </c>
      <c r="C233" t="inlineStr"/>
      <c r="D233" t="inlineStr"/>
      <c r="E233" t="n">
        <v>243</v>
      </c>
      <c r="F233">
        <f>HYPERLINK("https://portal.dnb.de/opac.htm?method=simpleSearch&amp;cqlMode=true&amp;query=idn%3D1066957185", "Portal")</f>
        <v/>
      </c>
      <c r="G233" t="inlineStr">
        <is>
          <t>Aaf</t>
        </is>
      </c>
      <c r="H233" t="inlineStr">
        <is>
          <t>L-1532-315487801</t>
        </is>
      </c>
      <c r="I233" t="inlineStr">
        <is>
          <t>1066957185</t>
        </is>
      </c>
      <c r="J233" t="inlineStr">
        <is>
          <t>III 21, 30</t>
        </is>
      </c>
      <c r="K233" t="inlineStr">
        <is>
          <t>III 21, 30</t>
        </is>
      </c>
      <c r="L233" t="inlineStr">
        <is>
          <t>III 21, 30</t>
        </is>
      </c>
      <c r="M233" t="inlineStr"/>
      <c r="N233" t="inlineStr">
        <is>
          <t>RABANI|| MAVRI MOGVNTI=||nensis Archiepiscopi, de Clericorum|| institutione &amp; ceremonijs Ecclesiae, ex|| Veteri &amp; Nouo Testamento, ad Hei=||stulphum A</t>
        </is>
      </c>
      <c r="O233" t="inlineStr">
        <is>
          <t xml:space="preserve"> : </t>
        </is>
      </c>
      <c r="P233" t="inlineStr">
        <is>
          <t>X</t>
        </is>
      </c>
      <c r="Q233" t="inlineStr"/>
      <c r="R233" t="inlineStr">
        <is>
          <t>Gewebeeinband</t>
        </is>
      </c>
      <c r="S233" t="inlineStr">
        <is>
          <t>bis 25 cm</t>
        </is>
      </c>
      <c r="T233" t="inlineStr">
        <is>
          <t>80° bis 110°, einseitig digitalisierbar?</t>
        </is>
      </c>
      <c r="U233" t="inlineStr">
        <is>
          <t>hohler Rücken</t>
        </is>
      </c>
      <c r="V233" t="inlineStr"/>
      <c r="W233" t="inlineStr"/>
      <c r="X233" t="inlineStr"/>
      <c r="Y233" t="n">
        <v>0</v>
      </c>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inlineStr"/>
      <c r="BJ233" t="inlineStr"/>
      <c r="BK233" t="inlineStr"/>
      <c r="BL233" t="inlineStr"/>
      <c r="BM233" t="inlineStr"/>
      <c r="BN233" t="n">
        <v>0</v>
      </c>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c r="DC233" t="inlineStr"/>
      <c r="DD233" t="inlineStr"/>
      <c r="DE233" t="inlineStr"/>
      <c r="DF233" t="inlineStr"/>
      <c r="DG233" t="inlineStr"/>
    </row>
    <row r="234">
      <c r="A234" t="inlineStr">
        <is>
          <t>III</t>
        </is>
      </c>
      <c r="B234" t="b">
        <v>1</v>
      </c>
      <c r="C234" t="inlineStr"/>
      <c r="D234" t="inlineStr"/>
      <c r="E234" t="n">
        <v>244</v>
      </c>
      <c r="F234">
        <f>HYPERLINK("https://portal.dnb.de/opac.htm?method=simpleSearch&amp;cqlMode=true&amp;query=idn%3D1066960682", "Portal")</f>
        <v/>
      </c>
      <c r="G234" t="inlineStr">
        <is>
          <t>Aaf</t>
        </is>
      </c>
      <c r="H234" t="inlineStr">
        <is>
          <t>L-1532-315491167</t>
        </is>
      </c>
      <c r="I234" t="inlineStr">
        <is>
          <t>1066960682</t>
        </is>
      </c>
      <c r="J234" t="inlineStr">
        <is>
          <t>III 21, 31</t>
        </is>
      </c>
      <c r="K234" t="inlineStr">
        <is>
          <t>III 21, 31</t>
        </is>
      </c>
      <c r="L234" t="inlineStr">
        <is>
          <t>III 21, 31</t>
        </is>
      </c>
      <c r="M234" t="inlineStr"/>
      <c r="N234" t="inlineStr">
        <is>
          <t xml:space="preserve">PHILO-||STRATI LEMNII SE||nioris Historiae de uita Apollonij : </t>
        </is>
      </c>
      <c r="O234" t="inlineStr">
        <is>
          <t xml:space="preserve"> : </t>
        </is>
      </c>
      <c r="P234" t="inlineStr">
        <is>
          <t>X</t>
        </is>
      </c>
      <c r="Q234" t="inlineStr"/>
      <c r="R234" t="inlineStr">
        <is>
          <t>Ledereinband, Schließen, erhabene Buchbeschläge</t>
        </is>
      </c>
      <c r="S234" t="inlineStr">
        <is>
          <t>bis 25 cm</t>
        </is>
      </c>
      <c r="T234" t="inlineStr">
        <is>
          <t>80° bis 110°, einseitig digitalisierbar?</t>
        </is>
      </c>
      <c r="U234" t="inlineStr">
        <is>
          <t>fester Rücken mit Schmuckprägung</t>
        </is>
      </c>
      <c r="V234" t="inlineStr"/>
      <c r="W234" t="inlineStr">
        <is>
          <t>Buchschuh</t>
        </is>
      </c>
      <c r="X234" t="inlineStr">
        <is>
          <t>Nein</t>
        </is>
      </c>
      <c r="Y234" t="n">
        <v>2</v>
      </c>
      <c r="Z234" t="inlineStr"/>
      <c r="AA234" t="inlineStr"/>
      <c r="AB234" t="inlineStr"/>
      <c r="AC234" t="inlineStr"/>
      <c r="AD234" t="inlineStr"/>
      <c r="AE234" t="inlineStr"/>
      <c r="AF234" t="inlineStr"/>
      <c r="AG234" t="inlineStr"/>
      <c r="AH234" t="inlineStr"/>
      <c r="AI234" t="inlineStr">
        <is>
          <t>L</t>
        </is>
      </c>
      <c r="AJ234" t="inlineStr"/>
      <c r="AK234" t="inlineStr">
        <is>
          <t>x</t>
        </is>
      </c>
      <c r="AL234" t="inlineStr"/>
      <c r="AM234" t="inlineStr">
        <is>
          <t>h</t>
        </is>
      </c>
      <c r="AN234" t="inlineStr"/>
      <c r="AO234" t="inlineStr"/>
      <c r="AP234" t="inlineStr"/>
      <c r="AQ234" t="inlineStr"/>
      <c r="AR234" t="inlineStr"/>
      <c r="AS234" t="inlineStr">
        <is>
          <t>Pa</t>
        </is>
      </c>
      <c r="AT234" t="inlineStr"/>
      <c r="AU234" t="inlineStr"/>
      <c r="AV234" t="inlineStr"/>
      <c r="AW234" t="inlineStr"/>
      <c r="AX234" t="inlineStr"/>
      <c r="AY234" t="inlineStr"/>
      <c r="AZ234" t="inlineStr"/>
      <c r="BA234" t="inlineStr"/>
      <c r="BB234" t="inlineStr"/>
      <c r="BC234" t="inlineStr"/>
      <c r="BD234" t="inlineStr"/>
      <c r="BE234" t="inlineStr"/>
      <c r="BF234" t="inlineStr"/>
      <c r="BG234" t="n">
        <v>110</v>
      </c>
      <c r="BH234" t="inlineStr"/>
      <c r="BI234" t="inlineStr"/>
      <c r="BJ234" t="inlineStr"/>
      <c r="BK234" t="inlineStr"/>
      <c r="BL234" t="inlineStr"/>
      <c r="BM234" t="inlineStr">
        <is>
          <t>n</t>
        </is>
      </c>
      <c r="BN234" t="n">
        <v>0</v>
      </c>
      <c r="BO234" t="inlineStr"/>
      <c r="BP234" t="inlineStr"/>
      <c r="BQ234" t="inlineStr"/>
      <c r="BR234" t="inlineStr">
        <is>
          <t>x</t>
        </is>
      </c>
      <c r="BS234" t="inlineStr"/>
      <c r="BT234" t="inlineStr"/>
      <c r="BU234" t="inlineStr"/>
      <c r="BV234" t="inlineStr">
        <is>
          <t>Schaden stabil</t>
        </is>
      </c>
      <c r="BW234" t="inlineStr">
        <is>
          <t>x 110</t>
        </is>
      </c>
      <c r="BX234" t="inlineStr">
        <is>
          <t xml:space="preserve">
beschädigt</t>
        </is>
      </c>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c r="DC234" t="inlineStr"/>
      <c r="DD234" t="inlineStr"/>
      <c r="DE234" t="inlineStr"/>
      <c r="DF234" t="inlineStr"/>
      <c r="DG234" t="inlineStr"/>
    </row>
    <row r="235">
      <c r="A235" t="inlineStr">
        <is>
          <t>III</t>
        </is>
      </c>
      <c r="B235" t="b">
        <v>1</v>
      </c>
      <c r="C235" t="inlineStr"/>
      <c r="D235" t="inlineStr"/>
      <c r="E235" t="n">
        <v>277</v>
      </c>
      <c r="F235">
        <f>HYPERLINK("https://portal.dnb.de/opac.htm?method=simpleSearch&amp;cqlMode=true&amp;query=idn%3D1000055183", "Portal")</f>
        <v/>
      </c>
      <c r="G235" t="inlineStr">
        <is>
          <t>Aal</t>
        </is>
      </c>
      <c r="H235" t="inlineStr">
        <is>
          <t>L-1530-169953572</t>
        </is>
      </c>
      <c r="I235" t="inlineStr">
        <is>
          <t>1000055183</t>
        </is>
      </c>
      <c r="J235" t="inlineStr">
        <is>
          <t>III 21, 31 a</t>
        </is>
      </c>
      <c r="K235" t="inlineStr">
        <is>
          <t>III 21, 31 a</t>
        </is>
      </c>
      <c r="L235" t="inlineStr">
        <is>
          <t>III 21, 31 a</t>
        </is>
      </c>
      <c r="M235" t="inlineStr"/>
      <c r="N235" t="inlineStr">
        <is>
          <t>M. ACCII|| PLAVTI SARSINATIS COMICI|| FESTIVISSIMI COMOEDIAE XX|| iam denuo diligentius recognitae.|| Restitura in mensum suum non pauca car||mina à n</t>
        </is>
      </c>
      <c r="O235" t="inlineStr">
        <is>
          <t xml:space="preserve"> : </t>
        </is>
      </c>
      <c r="P235" t="inlineStr"/>
      <c r="Q235" t="inlineStr"/>
      <c r="R235" t="inlineStr">
        <is>
          <t>Pergamentband</t>
        </is>
      </c>
      <c r="S235" t="inlineStr">
        <is>
          <t>bis 25 cm</t>
        </is>
      </c>
      <c r="T235" t="inlineStr">
        <is>
          <t>80° bis 110°, einseitig digitalisierbar?</t>
        </is>
      </c>
      <c r="U235" t="inlineStr"/>
      <c r="V235" t="inlineStr"/>
      <c r="W235" t="inlineStr">
        <is>
          <t xml:space="preserve">Papierumschlag </t>
        </is>
      </c>
      <c r="X235" t="inlineStr">
        <is>
          <t>Ja</t>
        </is>
      </c>
      <c r="Y235" t="n">
        <v>1</v>
      </c>
      <c r="Z235" t="inlineStr"/>
      <c r="AA235" t="inlineStr"/>
      <c r="AB235" t="inlineStr"/>
      <c r="AC235" t="inlineStr"/>
      <c r="AD235" t="inlineStr"/>
      <c r="AE235" t="inlineStr"/>
      <c r="AF235" t="inlineStr"/>
      <c r="AG235" t="inlineStr"/>
      <c r="AH235" t="inlineStr"/>
      <c r="AI235" t="inlineStr">
        <is>
          <t>Pg</t>
        </is>
      </c>
      <c r="AJ235" t="inlineStr">
        <is>
          <t xml:space="preserve">
flexibler Pg.</t>
        </is>
      </c>
      <c r="AK235" t="inlineStr"/>
      <c r="AL235" t="inlineStr"/>
      <c r="AM235" t="inlineStr">
        <is>
          <t>h</t>
        </is>
      </c>
      <c r="AN235" t="inlineStr"/>
      <c r="AO235" t="inlineStr"/>
      <c r="AP235" t="inlineStr"/>
      <c r="AQ235" t="inlineStr"/>
      <c r="AR235" t="inlineStr"/>
      <c r="AS235" t="inlineStr">
        <is>
          <t>Pa</t>
        </is>
      </c>
      <c r="AT235" t="inlineStr"/>
      <c r="AU235" t="inlineStr"/>
      <c r="AV235" t="inlineStr"/>
      <c r="AW235" t="inlineStr"/>
      <c r="AX235" t="inlineStr"/>
      <c r="AY235" t="inlineStr"/>
      <c r="AZ235" t="inlineStr"/>
      <c r="BA235" t="inlineStr"/>
      <c r="BB235" t="inlineStr"/>
      <c r="BC235" t="inlineStr"/>
      <c r="BD235" t="inlineStr"/>
      <c r="BE235" t="inlineStr"/>
      <c r="BF235" t="inlineStr"/>
      <c r="BG235" t="n">
        <v>45</v>
      </c>
      <c r="BH235" t="inlineStr"/>
      <c r="BI235" t="inlineStr"/>
      <c r="BJ235" t="inlineStr"/>
      <c r="BK235" t="inlineStr"/>
      <c r="BL235" t="inlineStr"/>
      <c r="BM235" t="inlineStr">
        <is>
          <t>n</t>
        </is>
      </c>
      <c r="BN235" t="n">
        <v>0</v>
      </c>
      <c r="BO235" t="inlineStr"/>
      <c r="BP235" t="inlineStr"/>
      <c r="BQ235" t="inlineStr"/>
      <c r="BR235" t="inlineStr"/>
      <c r="BS235" t="inlineStr"/>
      <c r="BT235" t="inlineStr">
        <is>
          <t>x sauer</t>
        </is>
      </c>
      <c r="BU235" t="inlineStr">
        <is>
          <t>x</t>
        </is>
      </c>
      <c r="BV235" t="inlineStr">
        <is>
          <t>Schaden stabil</t>
        </is>
      </c>
      <c r="BW235" t="inlineStr"/>
      <c r="BX235" t="inlineStr"/>
      <c r="BY235" t="inlineStr">
        <is>
          <t>Box (flexibler Pg.)</t>
        </is>
      </c>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c r="DB235" t="inlineStr"/>
      <c r="DC235" t="inlineStr"/>
      <c r="DD235" t="inlineStr"/>
      <c r="DE235" t="inlineStr"/>
      <c r="DF235" t="inlineStr"/>
      <c r="DG235" t="inlineStr"/>
    </row>
    <row r="236">
      <c r="A236" t="inlineStr">
        <is>
          <t>III</t>
        </is>
      </c>
      <c r="B236" t="b">
        <v>1</v>
      </c>
      <c r="C236" t="inlineStr"/>
      <c r="D236" t="inlineStr"/>
      <c r="E236" t="n">
        <v>245</v>
      </c>
      <c r="F236">
        <f>HYPERLINK("https://portal.dnb.de/opac.htm?method=simpleSearch&amp;cqlMode=true&amp;query=idn%3D1066778531", "Portal")</f>
        <v/>
      </c>
      <c r="G236" t="inlineStr">
        <is>
          <t>Aaf</t>
        </is>
      </c>
      <c r="H236" t="inlineStr">
        <is>
          <t>L-1536-315200499</t>
        </is>
      </c>
      <c r="I236" t="inlineStr">
        <is>
          <t>1066778531</t>
        </is>
      </c>
      <c r="J236" t="inlineStr">
        <is>
          <t>III 21, 32</t>
        </is>
      </c>
      <c r="K236" t="inlineStr">
        <is>
          <t>III 21, 32</t>
        </is>
      </c>
      <c r="L236" t="inlineStr">
        <is>
          <t>III 21, 32</t>
        </is>
      </c>
      <c r="M236" t="inlineStr"/>
      <c r="N236" t="inlineStr">
        <is>
          <t>DES. ERA-||SMI ROTERODAMI, DE DV-||plici Copia Verborum ac Rerum|| Commentarij duo multa|| accessione, novisqz for||mulis locuple||tati.|| Vnà cum Com</t>
        </is>
      </c>
      <c r="O236" t="inlineStr">
        <is>
          <t xml:space="preserve"> : </t>
        </is>
      </c>
      <c r="P236" t="inlineStr">
        <is>
          <t>X</t>
        </is>
      </c>
      <c r="Q236" t="inlineStr"/>
      <c r="R236" t="inlineStr">
        <is>
          <t>Ledereinband, Schließen, erhabene Buchbeschläge</t>
        </is>
      </c>
      <c r="S236" t="inlineStr">
        <is>
          <t>bis 25 cm</t>
        </is>
      </c>
      <c r="T236" t="inlineStr">
        <is>
          <t>80° bis 110°, einseitig digitalisierbar?</t>
        </is>
      </c>
      <c r="U236" t="inlineStr">
        <is>
          <t>fester Rücken mit Schmuckprägung</t>
        </is>
      </c>
      <c r="V236" t="inlineStr"/>
      <c r="W236" t="inlineStr">
        <is>
          <t>Buchschuh</t>
        </is>
      </c>
      <c r="X236" t="inlineStr">
        <is>
          <t>Nein</t>
        </is>
      </c>
      <c r="Y236" t="n">
        <v>0</v>
      </c>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inlineStr"/>
      <c r="BK236" t="inlineStr"/>
      <c r="BL236" t="inlineStr"/>
      <c r="BM236" t="inlineStr"/>
      <c r="BN236" t="n">
        <v>0</v>
      </c>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c r="DC236" t="inlineStr"/>
      <c r="DD236" t="inlineStr"/>
      <c r="DE236" t="inlineStr"/>
      <c r="DF236" t="inlineStr"/>
      <c r="DG236" t="inlineStr"/>
    </row>
    <row r="237">
      <c r="A237" t="inlineStr">
        <is>
          <t>III</t>
        </is>
      </c>
      <c r="B237" t="b">
        <v>1</v>
      </c>
      <c r="C237" t="inlineStr"/>
      <c r="D237" t="inlineStr"/>
      <c r="E237" t="n">
        <v>246</v>
      </c>
      <c r="F237">
        <f>HYPERLINK("https://portal.dnb.de/opac.htm?method=simpleSearch&amp;cqlMode=true&amp;query=idn%3D1066964254", "Portal")</f>
        <v/>
      </c>
      <c r="G237" t="inlineStr">
        <is>
          <t>Aaf</t>
        </is>
      </c>
      <c r="H237" t="inlineStr">
        <is>
          <t>L-1539-315494484</t>
        </is>
      </c>
      <c r="I237" t="inlineStr">
        <is>
          <t>1066964254</t>
        </is>
      </c>
      <c r="J237" t="inlineStr">
        <is>
          <t>III 21, 33</t>
        </is>
      </c>
      <c r="K237" t="inlineStr">
        <is>
          <t>III 21, 33</t>
        </is>
      </c>
      <c r="L237" t="inlineStr">
        <is>
          <t>III 21, 33</t>
        </is>
      </c>
      <c r="M237" t="inlineStr"/>
      <c r="N237" t="inlineStr">
        <is>
          <t xml:space="preserve">HOMILIAE|| ORTHODOXAE.|| Postill/ oder : </t>
        </is>
      </c>
      <c r="O237" t="inlineStr">
        <is>
          <t xml:space="preserve"> : </t>
        </is>
      </c>
      <c r="P237" t="inlineStr">
        <is>
          <t>X</t>
        </is>
      </c>
      <c r="Q237" t="inlineStr"/>
      <c r="R237" t="inlineStr">
        <is>
          <t>Gewebeeinband</t>
        </is>
      </c>
      <c r="S237" t="inlineStr">
        <is>
          <t>bis 35 cm</t>
        </is>
      </c>
      <c r="T237" t="inlineStr">
        <is>
          <t>80° bis 110°, einseitig digitalisierbar?</t>
        </is>
      </c>
      <c r="U237" t="inlineStr">
        <is>
          <t>hohler Rücken</t>
        </is>
      </c>
      <c r="V237" t="inlineStr"/>
      <c r="W237" t="inlineStr"/>
      <c r="X237" t="inlineStr"/>
      <c r="Y237" t="n">
        <v>1</v>
      </c>
      <c r="Z237" t="inlineStr"/>
      <c r="AA237" t="inlineStr"/>
      <c r="AB237" t="inlineStr"/>
      <c r="AC237" t="inlineStr"/>
      <c r="AD237" t="inlineStr"/>
      <c r="AE237" t="inlineStr"/>
      <c r="AF237" t="inlineStr"/>
      <c r="AG237" t="inlineStr"/>
      <c r="AH237" t="inlineStr"/>
      <c r="AI237" t="inlineStr">
        <is>
          <t>G</t>
        </is>
      </c>
      <c r="AJ237" t="inlineStr"/>
      <c r="AK237" t="inlineStr">
        <is>
          <t>x</t>
        </is>
      </c>
      <c r="AL237" t="inlineStr"/>
      <c r="AM237" t="inlineStr">
        <is>
          <t>h/E</t>
        </is>
      </c>
      <c r="AN237" t="inlineStr"/>
      <c r="AO237" t="inlineStr"/>
      <c r="AP237" t="inlineStr"/>
      <c r="AQ237" t="inlineStr"/>
      <c r="AR237" t="inlineStr"/>
      <c r="AS237" t="inlineStr">
        <is>
          <t>Pa</t>
        </is>
      </c>
      <c r="AT237" t="inlineStr"/>
      <c r="AU237" t="inlineStr"/>
      <c r="AV237" t="inlineStr"/>
      <c r="AW237" t="inlineStr"/>
      <c r="AX237" t="inlineStr"/>
      <c r="AY237" t="inlineStr"/>
      <c r="AZ237" t="inlineStr"/>
      <c r="BA237" t="inlineStr"/>
      <c r="BB237" t="inlineStr"/>
      <c r="BC237" t="inlineStr"/>
      <c r="BD237" t="inlineStr"/>
      <c r="BE237" t="inlineStr"/>
      <c r="BF237" t="inlineStr"/>
      <c r="BG237" t="n">
        <v>45</v>
      </c>
      <c r="BH237" t="inlineStr"/>
      <c r="BI237" t="inlineStr"/>
      <c r="BJ237" t="inlineStr"/>
      <c r="BK237" t="inlineStr"/>
      <c r="BL237" t="inlineStr"/>
      <c r="BM237" t="inlineStr">
        <is>
          <t>n</t>
        </is>
      </c>
      <c r="BN237" t="n">
        <v>0</v>
      </c>
      <c r="BO237" t="inlineStr"/>
      <c r="BP237" t="inlineStr"/>
      <c r="BQ237" t="inlineStr"/>
      <c r="BR237" t="inlineStr"/>
      <c r="BS237" t="inlineStr"/>
      <c r="BT237" t="inlineStr"/>
      <c r="BU237" t="inlineStr"/>
      <c r="BV237" t="inlineStr">
        <is>
          <t>Schaden stabil</t>
        </is>
      </c>
      <c r="BW237" t="inlineStr">
        <is>
          <t>x 45</t>
        </is>
      </c>
      <c r="BX237" t="inlineStr">
        <is>
          <t xml:space="preserve">
beschädigt</t>
        </is>
      </c>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c r="DC237" t="inlineStr"/>
      <c r="DD237" t="inlineStr"/>
      <c r="DE237" t="inlineStr"/>
      <c r="DF237" t="inlineStr"/>
      <c r="DG237" t="inlineStr"/>
    </row>
    <row r="238">
      <c r="A238" t="inlineStr">
        <is>
          <t>III</t>
        </is>
      </c>
      <c r="B238" t="b">
        <v>1</v>
      </c>
      <c r="C238" t="inlineStr"/>
      <c r="D238" t="inlineStr"/>
      <c r="E238" t="n">
        <v>278</v>
      </c>
      <c r="F238">
        <f>HYPERLINK("https://portal.dnb.de/opac.htm?method=simpleSearch&amp;cqlMode=true&amp;query=idn%3D993972926", "Portal")</f>
        <v/>
      </c>
      <c r="G238" t="inlineStr">
        <is>
          <t>Aal</t>
        </is>
      </c>
      <c r="H238" t="inlineStr">
        <is>
          <t>L-1542-154112917</t>
        </is>
      </c>
      <c r="I238" t="inlineStr">
        <is>
          <t>993972926</t>
        </is>
      </c>
      <c r="J238" t="inlineStr">
        <is>
          <t>III 21, 33 a</t>
        </is>
      </c>
      <c r="K238" t="inlineStr">
        <is>
          <t>III 21, 33 a</t>
        </is>
      </c>
      <c r="L238" t="inlineStr">
        <is>
          <t>III 21, 33 a</t>
        </is>
      </c>
      <c r="M238" t="inlineStr"/>
      <c r="N238" t="inlineStr">
        <is>
          <t xml:space="preserve">Decalo||gi, sive decem||praeceptorum pia ma-||ximè diserissimaq́; exege-||sis : </t>
        </is>
      </c>
      <c r="O238" t="inlineStr">
        <is>
          <t xml:space="preserve"> : </t>
        </is>
      </c>
      <c r="P238" t="inlineStr">
        <is>
          <t>X</t>
        </is>
      </c>
      <c r="Q238" t="inlineStr"/>
      <c r="R238" t="inlineStr">
        <is>
          <t>Halbpergamentband</t>
        </is>
      </c>
      <c r="S238" t="inlineStr">
        <is>
          <t>bis 25 cm</t>
        </is>
      </c>
      <c r="T238" t="inlineStr">
        <is>
          <t>80° bis 110°, einseitig digitalisierbar?</t>
        </is>
      </c>
      <c r="U238" t="inlineStr"/>
      <c r="V238" t="inlineStr"/>
      <c r="W238" t="inlineStr"/>
      <c r="X238" t="inlineStr">
        <is>
          <t>Signaturfahne austauschen</t>
        </is>
      </c>
      <c r="Y238" t="n">
        <v>0</v>
      </c>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inlineStr"/>
      <c r="BI238" t="inlineStr"/>
      <c r="BJ238" t="inlineStr"/>
      <c r="BK238" t="inlineStr"/>
      <c r="BL238" t="inlineStr"/>
      <c r="BM238" t="inlineStr"/>
      <c r="BN238" t="n">
        <v>0</v>
      </c>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c r="DC238" t="inlineStr"/>
      <c r="DD238" t="inlineStr"/>
      <c r="DE238" t="inlineStr"/>
      <c r="DF238" t="inlineStr"/>
      <c r="DG238" t="inlineStr"/>
    </row>
    <row r="239">
      <c r="A239" t="inlineStr">
        <is>
          <t>III</t>
        </is>
      </c>
      <c r="B239" t="b">
        <v>1</v>
      </c>
      <c r="C239" t="inlineStr"/>
      <c r="D239" t="inlineStr"/>
      <c r="E239" t="n">
        <v>247</v>
      </c>
      <c r="F239">
        <f>HYPERLINK("https://portal.dnb.de/opac.htm?method=simpleSearch&amp;cqlMode=true&amp;query=idn%3D1066964149", "Portal")</f>
        <v/>
      </c>
      <c r="G239" t="inlineStr">
        <is>
          <t>Aaf</t>
        </is>
      </c>
      <c r="H239" t="inlineStr">
        <is>
          <t>L-1544-315494360</t>
        </is>
      </c>
      <c r="I239" t="inlineStr">
        <is>
          <t>1066964149</t>
        </is>
      </c>
      <c r="J239" t="inlineStr">
        <is>
          <t>III 21, 34</t>
        </is>
      </c>
      <c r="K239" t="inlineStr">
        <is>
          <t>III 21, 34</t>
        </is>
      </c>
      <c r="L239" t="inlineStr">
        <is>
          <t>III 21, 34</t>
        </is>
      </c>
      <c r="M239" t="inlineStr"/>
      <c r="N239" t="inlineStr">
        <is>
          <t xml:space="preserve">EVANGE||LIA ET EPISTOLAE|| BREVIVSCVLIS QVIBVSDAM|| Hermanni Torrentini scho=||lijs illustrata.|| : </t>
        </is>
      </c>
      <c r="O239" t="inlineStr">
        <is>
          <t xml:space="preserve"> : </t>
        </is>
      </c>
      <c r="P239" t="inlineStr">
        <is>
          <t>X</t>
        </is>
      </c>
      <c r="Q239" t="inlineStr"/>
      <c r="R239" t="inlineStr">
        <is>
          <t>Gewebeeinband</t>
        </is>
      </c>
      <c r="S239" t="inlineStr">
        <is>
          <t>bis 25 cm</t>
        </is>
      </c>
      <c r="T239" t="inlineStr">
        <is>
          <t>80° bis 110°, einseitig digitalisierbar?</t>
        </is>
      </c>
      <c r="U239" t="inlineStr">
        <is>
          <t>hohler Rücken, Schrift bis in den Falz</t>
        </is>
      </c>
      <c r="V239" t="inlineStr"/>
      <c r="W239" t="inlineStr"/>
      <c r="X239" t="inlineStr"/>
      <c r="Y239" t="n">
        <v>0</v>
      </c>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inlineStr"/>
      <c r="BI239" t="inlineStr"/>
      <c r="BJ239" t="inlineStr"/>
      <c r="BK239" t="inlineStr"/>
      <c r="BL239" t="inlineStr"/>
      <c r="BM239" t="inlineStr"/>
      <c r="BN239" t="n">
        <v>0</v>
      </c>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c r="DC239" t="inlineStr"/>
      <c r="DD239" t="inlineStr"/>
      <c r="DE239" t="inlineStr"/>
      <c r="DF239" t="inlineStr"/>
      <c r="DG239" t="inlineStr"/>
    </row>
    <row r="240">
      <c r="A240" t="inlineStr">
        <is>
          <t>III</t>
        </is>
      </c>
      <c r="B240" t="b">
        <v>1</v>
      </c>
      <c r="C240" t="inlineStr"/>
      <c r="D240" t="inlineStr"/>
      <c r="E240" t="n">
        <v>248</v>
      </c>
      <c r="F240">
        <f>HYPERLINK("https://portal.dnb.de/opac.htm?method=simpleSearch&amp;cqlMode=true&amp;query=idn%3D1066865841", "Portal")</f>
        <v/>
      </c>
      <c r="G240" t="inlineStr">
        <is>
          <t>Aaf</t>
        </is>
      </c>
      <c r="H240" t="inlineStr">
        <is>
          <t>L-1538-315324120</t>
        </is>
      </c>
      <c r="I240" t="inlineStr">
        <is>
          <t>1066865841</t>
        </is>
      </c>
      <c r="J240" t="inlineStr">
        <is>
          <t>III 21, 35</t>
        </is>
      </c>
      <c r="K240" t="inlineStr">
        <is>
          <t>III 21, 35</t>
        </is>
      </c>
      <c r="L240" t="inlineStr">
        <is>
          <t>III 21, 35</t>
        </is>
      </c>
      <c r="M240" t="inlineStr"/>
      <c r="N240" t="inlineStr">
        <is>
          <t xml:space="preserve">CONCILIVM|| DELECTORVM CARDINALI=||um &amp; aliorum Praelatorum de emendanda EC||CLESIA, S.D.N.D. Paulo III. ipso : </t>
        </is>
      </c>
      <c r="O240" t="inlineStr">
        <is>
          <t xml:space="preserve"> : </t>
        </is>
      </c>
      <c r="P240" t="inlineStr">
        <is>
          <t>X</t>
        </is>
      </c>
      <c r="Q240" t="inlineStr"/>
      <c r="R240" t="inlineStr">
        <is>
          <t>Gewebeeinband</t>
        </is>
      </c>
      <c r="S240" t="inlineStr">
        <is>
          <t>bis 25 cm</t>
        </is>
      </c>
      <c r="T240" t="inlineStr">
        <is>
          <t>80° bis 110°, einseitig digitalisierbar?</t>
        </is>
      </c>
      <c r="U240" t="inlineStr">
        <is>
          <t>hohler Rücken</t>
        </is>
      </c>
      <c r="V240" t="inlineStr"/>
      <c r="W240" t="inlineStr"/>
      <c r="X240" t="inlineStr"/>
      <c r="Y240" t="n">
        <v>0</v>
      </c>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inlineStr"/>
      <c r="BI240" t="inlineStr"/>
      <c r="BJ240" t="inlineStr"/>
      <c r="BK240" t="inlineStr"/>
      <c r="BL240" t="inlineStr"/>
      <c r="BM240" t="inlineStr"/>
      <c r="BN240" t="n">
        <v>0</v>
      </c>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c r="DC240" t="inlineStr"/>
      <c r="DD240" t="inlineStr"/>
      <c r="DE240" t="inlineStr"/>
      <c r="DF240" t="inlineStr"/>
      <c r="DG240" t="inlineStr"/>
    </row>
    <row r="241">
      <c r="A241" t="inlineStr">
        <is>
          <t>III</t>
        </is>
      </c>
      <c r="B241" t="b">
        <v>1</v>
      </c>
      <c r="C241" t="inlineStr"/>
      <c r="D241" t="inlineStr"/>
      <c r="E241" t="n">
        <v>249</v>
      </c>
      <c r="F241">
        <f>HYPERLINK("https://portal.dnb.de/opac.htm?method=simpleSearch&amp;cqlMode=true&amp;query=idn%3D1066959803", "Portal")</f>
        <v/>
      </c>
      <c r="G241" t="inlineStr">
        <is>
          <t>Aaf</t>
        </is>
      </c>
      <c r="H241" t="inlineStr">
        <is>
          <t>L-1550-315490322</t>
        </is>
      </c>
      <c r="I241" t="inlineStr">
        <is>
          <t>1066959803</t>
        </is>
      </c>
      <c r="J241" t="inlineStr">
        <is>
          <t>III 21, 36</t>
        </is>
      </c>
      <c r="K241" t="inlineStr">
        <is>
          <t>III 21, 36</t>
        </is>
      </c>
      <c r="L241" t="inlineStr">
        <is>
          <t>III 21, 36</t>
        </is>
      </c>
      <c r="M241" t="inlineStr"/>
      <c r="N241" t="inlineStr">
        <is>
          <t xml:space="preserve"> CATALO=||GVS EXPEDITIO=||NIS REBELLIVM PRINCIPVM|| ac Ciuitatum Germa. sub duobus potißi=||mum generalib. Praefectis,|| Iohanne Friderico, Duce Elect</t>
        </is>
      </c>
      <c r="O241" t="inlineStr">
        <is>
          <t xml:space="preserve"> : </t>
        </is>
      </c>
      <c r="P241" t="inlineStr">
        <is>
          <t>X</t>
        </is>
      </c>
      <c r="Q241" t="inlineStr"/>
      <c r="R241" t="inlineStr">
        <is>
          <t>Gewebeeinband</t>
        </is>
      </c>
      <c r="S241" t="inlineStr">
        <is>
          <t>bis 25 cm</t>
        </is>
      </c>
      <c r="T241" t="inlineStr">
        <is>
          <t>80° bis 110°, einseitig digitalisierbar?</t>
        </is>
      </c>
      <c r="U241" t="inlineStr">
        <is>
          <t>hohler Rücken</t>
        </is>
      </c>
      <c r="V241" t="inlineStr"/>
      <c r="W241" t="inlineStr"/>
      <c r="X241" t="inlineStr"/>
      <c r="Y241" t="n">
        <v>1</v>
      </c>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inlineStr"/>
      <c r="BI241" t="inlineStr"/>
      <c r="BJ241" t="inlineStr"/>
      <c r="BK241" t="inlineStr"/>
      <c r="BL241" t="inlineStr"/>
      <c r="BM241" t="inlineStr"/>
      <c r="BN241" t="n">
        <v>0</v>
      </c>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c r="DC241" t="inlineStr"/>
      <c r="DD241" t="inlineStr"/>
      <c r="DE241" t="inlineStr"/>
      <c r="DF241" t="inlineStr"/>
      <c r="DG241" t="inlineStr"/>
    </row>
    <row r="242">
      <c r="A242" t="inlineStr">
        <is>
          <t>III</t>
        </is>
      </c>
      <c r="B242" t="b">
        <v>1</v>
      </c>
      <c r="C242" t="inlineStr"/>
      <c r="D242" t="inlineStr"/>
      <c r="E242" t="n">
        <v>250</v>
      </c>
      <c r="F242">
        <f>HYPERLINK("https://portal.dnb.de/opac.htm?method=simpleSearch&amp;cqlMode=true&amp;query=idn%3D1066956804", "Portal")</f>
        <v/>
      </c>
      <c r="G242" t="inlineStr">
        <is>
          <t>Aaf</t>
        </is>
      </c>
      <c r="H242" t="inlineStr">
        <is>
          <t>L-1552-315487410</t>
        </is>
      </c>
      <c r="I242" t="inlineStr">
        <is>
          <t>1066956804</t>
        </is>
      </c>
      <c r="J242" t="inlineStr">
        <is>
          <t>III 21, 37</t>
        </is>
      </c>
      <c r="K242" t="inlineStr">
        <is>
          <t>III 21, 37</t>
        </is>
      </c>
      <c r="L242" t="inlineStr">
        <is>
          <t>III 21, 37</t>
        </is>
      </c>
      <c r="M242" t="inlineStr"/>
      <c r="N242" t="inlineStr">
        <is>
          <t xml:space="preserve">OPERA : </t>
        </is>
      </c>
      <c r="O242" t="inlineStr">
        <is>
          <t xml:space="preserve"> : </t>
        </is>
      </c>
      <c r="P242" t="inlineStr">
        <is>
          <t>X</t>
        </is>
      </c>
      <c r="Q242" t="inlineStr"/>
      <c r="R242" t="inlineStr">
        <is>
          <t>Gewebeeinband</t>
        </is>
      </c>
      <c r="S242" t="inlineStr">
        <is>
          <t>bis 35 cm</t>
        </is>
      </c>
      <c r="T242" t="inlineStr">
        <is>
          <t>80° bis 110°, einseitig digitalisierbar?</t>
        </is>
      </c>
      <c r="U242" t="inlineStr">
        <is>
          <t>hohler Rücken</t>
        </is>
      </c>
      <c r="V242" t="inlineStr"/>
      <c r="W242" t="inlineStr"/>
      <c r="X242" t="inlineStr"/>
      <c r="Y242" t="n">
        <v>0</v>
      </c>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inlineStr"/>
      <c r="BI242" t="inlineStr"/>
      <c r="BJ242" t="inlineStr"/>
      <c r="BK242" t="inlineStr"/>
      <c r="BL242" t="inlineStr"/>
      <c r="BM242" t="inlineStr"/>
      <c r="BN242" t="n">
        <v>0</v>
      </c>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c r="DC242" t="inlineStr"/>
      <c r="DD242" t="inlineStr"/>
      <c r="DE242" t="inlineStr"/>
      <c r="DF242" t="inlineStr"/>
      <c r="DG242" t="inlineStr"/>
    </row>
    <row r="243">
      <c r="A243" t="inlineStr">
        <is>
          <t>III</t>
        </is>
      </c>
      <c r="B243" t="b">
        <v>1</v>
      </c>
      <c r="C243" t="inlineStr"/>
      <c r="D243" t="inlineStr"/>
      <c r="E243" t="n">
        <v>251</v>
      </c>
      <c r="F243">
        <f>HYPERLINK("https://portal.dnb.de/opac.htm?method=simpleSearch&amp;cqlMode=true&amp;query=idn%3D994422881", "Portal")</f>
        <v/>
      </c>
      <c r="G243" t="inlineStr">
        <is>
          <t>Aal</t>
        </is>
      </c>
      <c r="H243" t="inlineStr">
        <is>
          <t>L-1560-155912321</t>
        </is>
      </c>
      <c r="I243" t="inlineStr">
        <is>
          <t>994422881</t>
        </is>
      </c>
      <c r="J243" t="inlineStr">
        <is>
          <t>III 21, 38</t>
        </is>
      </c>
      <c r="K243" t="inlineStr">
        <is>
          <t>III 21, 38</t>
        </is>
      </c>
      <c r="L243" t="inlineStr">
        <is>
          <t>III 21, 38</t>
        </is>
      </c>
      <c r="M243" t="inlineStr"/>
      <c r="N243" t="inlineStr">
        <is>
          <t>CATECHISMVS,|| SIVE SVMMA|| DOCTRINAE CHRI=||STIANAE,|| In vsum Christianae pueritiae, per quae||stiones recèns conscriptus, et|| nunc primùm editus .</t>
        </is>
      </c>
      <c r="O243" t="inlineStr">
        <is>
          <t xml:space="preserve"> : </t>
        </is>
      </c>
      <c r="P243" t="inlineStr"/>
      <c r="Q243" t="inlineStr"/>
      <c r="R243" t="inlineStr">
        <is>
          <t>Pergamentband</t>
        </is>
      </c>
      <c r="S243" t="inlineStr">
        <is>
          <t>bis 25 cm</t>
        </is>
      </c>
      <c r="T243" t="inlineStr">
        <is>
          <t>80° bis 110°, einseitig digitalisierbar?</t>
        </is>
      </c>
      <c r="U243" t="inlineStr">
        <is>
          <t>Schrift bis in den Falz</t>
        </is>
      </c>
      <c r="V243" t="inlineStr"/>
      <c r="W243" t="inlineStr">
        <is>
          <t>Kassette</t>
        </is>
      </c>
      <c r="X243" t="inlineStr">
        <is>
          <t>Nein</t>
        </is>
      </c>
      <c r="Y243" t="n">
        <v>0</v>
      </c>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inlineStr"/>
      <c r="BI243" t="inlineStr"/>
      <c r="BJ243" t="inlineStr"/>
      <c r="BK243" t="inlineStr"/>
      <c r="BL243" t="inlineStr"/>
      <c r="BM243" t="inlineStr"/>
      <c r="BN243" t="n">
        <v>0</v>
      </c>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c r="DC243" t="inlineStr"/>
      <c r="DD243" t="inlineStr"/>
      <c r="DE243" t="inlineStr"/>
      <c r="DF243" t="inlineStr"/>
      <c r="DG243" t="inlineStr"/>
    </row>
    <row r="244">
      <c r="A244" t="inlineStr">
        <is>
          <t>III</t>
        </is>
      </c>
      <c r="B244" t="b">
        <v>1</v>
      </c>
      <c r="C244" t="inlineStr"/>
      <c r="D244" t="inlineStr"/>
      <c r="E244" t="inlineStr"/>
      <c r="F244">
        <f>HYPERLINK("https://portal.dnb.de/opac.htm?method=simpleSearch&amp;cqlMode=true&amp;query=idn%3D1138320404", "Portal")</f>
        <v/>
      </c>
      <c r="G244" t="inlineStr">
        <is>
          <t>Qd</t>
        </is>
      </c>
      <c r="H244" t="inlineStr">
        <is>
          <t>L-9999-414837339</t>
        </is>
      </c>
      <c r="I244" t="inlineStr">
        <is>
          <t>1138320404</t>
        </is>
      </c>
      <c r="J244" t="inlineStr">
        <is>
          <t>III 21, 39</t>
        </is>
      </c>
      <c r="K244" t="inlineStr">
        <is>
          <t>III 21, 39</t>
        </is>
      </c>
      <c r="L244" t="inlineStr">
        <is>
          <t>III 21, 39</t>
        </is>
      </c>
      <c r="M244" t="inlineStr"/>
      <c r="N244" t="inlineStr">
        <is>
          <t xml:space="preserve">Sammelband : </t>
        </is>
      </c>
      <c r="O244" t="inlineStr">
        <is>
          <t xml:space="preserve"> : </t>
        </is>
      </c>
      <c r="P244" t="inlineStr"/>
      <c r="Q244" t="inlineStr"/>
      <c r="R244" t="inlineStr">
        <is>
          <t>Pergamentband</t>
        </is>
      </c>
      <c r="S244" t="inlineStr">
        <is>
          <t>bis 25 cm</t>
        </is>
      </c>
      <c r="T244" t="inlineStr">
        <is>
          <t>80° bis 110°, einseitig digitalisierbar?</t>
        </is>
      </c>
      <c r="U244" t="inlineStr"/>
      <c r="V244" t="inlineStr"/>
      <c r="W244" t="inlineStr">
        <is>
          <t>Kassette</t>
        </is>
      </c>
      <c r="X244" t="inlineStr">
        <is>
          <t>Nein</t>
        </is>
      </c>
      <c r="Y244" t="n">
        <v>2</v>
      </c>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inlineStr"/>
      <c r="BI244" t="inlineStr"/>
      <c r="BJ244" t="inlineStr"/>
      <c r="BK244" t="inlineStr"/>
      <c r="BL244" t="inlineStr"/>
      <c r="BM244" t="inlineStr"/>
      <c r="BN244" t="n">
        <v>0</v>
      </c>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c r="DC244" t="inlineStr"/>
      <c r="DD244" t="inlineStr"/>
      <c r="DE244" t="inlineStr"/>
      <c r="DF244" t="inlineStr"/>
      <c r="DG244" t="inlineStr"/>
    </row>
    <row r="245">
      <c r="A245" t="inlineStr">
        <is>
          <t>III</t>
        </is>
      </c>
      <c r="B245" t="b">
        <v>1</v>
      </c>
      <c r="C245" t="inlineStr">
        <is>
          <t>x</t>
        </is>
      </c>
      <c r="D245" t="inlineStr"/>
      <c r="E245" t="n">
        <v>253</v>
      </c>
      <c r="F245">
        <f>HYPERLINK("https://portal.dnb.de/opac.htm?method=simpleSearch&amp;cqlMode=true&amp;query=idn%3D1194269303", "Portal")</f>
        <v/>
      </c>
      <c r="G245" t="inlineStr">
        <is>
          <t>Aa</t>
        </is>
      </c>
      <c r="H245" t="inlineStr">
        <is>
          <t>L-2019-302374</t>
        </is>
      </c>
      <c r="I245" t="inlineStr">
        <is>
          <t>1194269303</t>
        </is>
      </c>
      <c r="J245" t="inlineStr">
        <is>
          <t>III 21, 40</t>
        </is>
      </c>
      <c r="K245" t="inlineStr">
        <is>
          <t>III 21, 40</t>
        </is>
      </c>
      <c r="L245" t="inlineStr">
        <is>
          <t>III 21, 40</t>
        </is>
      </c>
      <c r="M245" t="inlineStr">
        <is>
          <t>liegt bei ÜF</t>
        </is>
      </c>
      <c r="N245" t="inlineStr">
        <is>
          <t>GRaduale, omnia sacre Misse Cantica,|| per totum annum, ad vsum et consue=||tudinẽ Ecclesie et Diocesis Monasteriẽsis,|| continens. iam primũ impressu</t>
        </is>
      </c>
      <c r="O245" t="inlineStr">
        <is>
          <t xml:space="preserve"> : </t>
        </is>
      </c>
      <c r="P245" t="inlineStr"/>
      <c r="Q245" t="inlineStr">
        <is>
          <t>1100,00 EUR</t>
        </is>
      </c>
      <c r="R245" t="inlineStr"/>
      <c r="S245" t="inlineStr">
        <is>
          <t>&gt; 42 cm</t>
        </is>
      </c>
      <c r="T245" t="inlineStr"/>
      <c r="U245" t="inlineStr"/>
      <c r="V245" t="inlineStr"/>
      <c r="W245" t="inlineStr"/>
      <c r="X245" t="inlineStr"/>
      <c r="Y245" t="inlineStr"/>
      <c r="Z245" t="inlineStr"/>
      <c r="AA245" t="inlineStr"/>
      <c r="AB245" t="inlineStr"/>
      <c r="AC245" t="inlineStr"/>
      <c r="AD245" t="inlineStr"/>
      <c r="AE245" t="inlineStr"/>
      <c r="AF245" t="inlineStr"/>
      <c r="AG245" t="inlineStr"/>
      <c r="AH245" t="inlineStr"/>
      <c r="AI245" t="inlineStr">
        <is>
          <t>HD</t>
        </is>
      </c>
      <c r="AJ245" t="inlineStr"/>
      <c r="AK245" t="inlineStr"/>
      <c r="AL245" t="inlineStr"/>
      <c r="AM245" t="inlineStr">
        <is>
          <t>f</t>
        </is>
      </c>
      <c r="AN245" t="inlineStr"/>
      <c r="AO245" t="inlineStr"/>
      <c r="AP245" t="inlineStr"/>
      <c r="AQ245" t="inlineStr"/>
      <c r="AR245" t="inlineStr"/>
      <c r="AS245" t="inlineStr">
        <is>
          <t>Pa</t>
        </is>
      </c>
      <c r="AT245" t="inlineStr"/>
      <c r="AU245" t="inlineStr"/>
      <c r="AV245" t="inlineStr"/>
      <c r="AW245" t="inlineStr"/>
      <c r="AX245" t="inlineStr"/>
      <c r="AY245" t="inlineStr"/>
      <c r="AZ245" t="inlineStr"/>
      <c r="BA245" t="inlineStr"/>
      <c r="BB245" t="inlineStr"/>
      <c r="BC245" t="inlineStr"/>
      <c r="BD245" t="inlineStr"/>
      <c r="BE245" t="inlineStr"/>
      <c r="BF245" t="inlineStr"/>
      <c r="BG245" t="n">
        <v>110</v>
      </c>
      <c r="BH245" t="inlineStr"/>
      <c r="BI245" t="inlineStr"/>
      <c r="BJ245" t="inlineStr"/>
      <c r="BK245" t="inlineStr"/>
      <c r="BL245" t="inlineStr"/>
      <c r="BM245" t="inlineStr">
        <is>
          <t>ja vor</t>
        </is>
      </c>
      <c r="BN245" t="n">
        <v>64</v>
      </c>
      <c r="BO245" t="inlineStr"/>
      <c r="BP245" t="inlineStr">
        <is>
          <t>Wellpappe</t>
        </is>
      </c>
      <c r="BQ245" t="inlineStr"/>
      <c r="BR245" t="inlineStr"/>
      <c r="BS245" t="inlineStr"/>
      <c r="BT245" t="inlineStr"/>
      <c r="BU245" t="inlineStr"/>
      <c r="BV245" t="inlineStr"/>
      <c r="BW245" t="inlineStr"/>
      <c r="BX245" t="inlineStr"/>
      <c r="BY245" t="inlineStr"/>
      <c r="BZ245" t="inlineStr"/>
      <c r="CA245" t="inlineStr"/>
      <c r="CB245" t="inlineStr">
        <is>
          <t>x</t>
        </is>
      </c>
      <c r="CC245" t="inlineStr"/>
      <c r="CD245" t="inlineStr"/>
      <c r="CE245" t="inlineStr"/>
      <c r="CF245" t="inlineStr"/>
      <c r="CG245" t="inlineStr"/>
      <c r="CH245" t="inlineStr"/>
      <c r="CI245" t="inlineStr"/>
      <c r="CJ245" t="inlineStr">
        <is>
          <t>VD</t>
        </is>
      </c>
      <c r="CK245" t="inlineStr"/>
      <c r="CL245" t="inlineStr"/>
      <c r="CM245" t="n">
        <v>4</v>
      </c>
      <c r="CN245" t="inlineStr"/>
      <c r="CO245" t="inlineStr"/>
      <c r="CP245" t="inlineStr">
        <is>
          <t>x</t>
        </is>
      </c>
      <c r="CQ245" t="inlineStr"/>
      <c r="CR245" t="inlineStr"/>
      <c r="CS245" t="inlineStr"/>
      <c r="CT245" t="inlineStr">
        <is>
          <t>x</t>
        </is>
      </c>
      <c r="CU245" t="inlineStr"/>
      <c r="CV245" t="inlineStr"/>
      <c r="CW245" t="inlineStr">
        <is>
          <t>x</t>
        </is>
      </c>
      <c r="CX245" t="inlineStr">
        <is>
          <t>x</t>
        </is>
      </c>
      <c r="CY245" t="inlineStr">
        <is>
          <t>x</t>
        </is>
      </c>
      <c r="CZ245" t="inlineStr"/>
      <c r="DA245" t="inlineStr"/>
      <c r="DB245" t="inlineStr"/>
      <c r="DC245" t="inlineStr"/>
      <c r="DD245" t="inlineStr"/>
      <c r="DE245" t="inlineStr"/>
      <c r="DF245" t="n">
        <v>60</v>
      </c>
      <c r="DG245" t="inlineStr">
        <is>
          <t>nahezu gesamter BB mit Rissen, Fehlstellen, wattierten Blattbereichen; Rest.bedarf muss noch genauer geschätzt werden</t>
        </is>
      </c>
    </row>
    <row r="246">
      <c r="A246" t="inlineStr">
        <is>
          <t>III</t>
        </is>
      </c>
      <c r="B246" t="b">
        <v>0</v>
      </c>
      <c r="C246" t="inlineStr"/>
      <c r="D246" t="inlineStr"/>
      <c r="E246" t="n">
        <v>283</v>
      </c>
      <c r="F246">
        <f>HYPERLINK("https://portal.dnb.de/opac.htm?method=simpleSearch&amp;cqlMode=true&amp;query=idn%3D1066938423", "Portal")</f>
        <v/>
      </c>
      <c r="G246" t="inlineStr"/>
      <c r="H246" t="inlineStr">
        <is>
          <t>L-1521-315466200</t>
        </is>
      </c>
      <c r="I246" t="inlineStr">
        <is>
          <t>1066938423</t>
        </is>
      </c>
      <c r="J246" t="inlineStr"/>
      <c r="K246" t="inlineStr"/>
      <c r="L246" t="inlineStr">
        <is>
          <t>III 22, 1</t>
        </is>
      </c>
      <c r="M246" t="inlineStr"/>
      <c r="N246" t="inlineStr"/>
      <c r="O246" t="inlineStr"/>
      <c r="P246" t="inlineStr"/>
      <c r="Q246" t="inlineStr"/>
      <c r="R246" t="inlineStr"/>
      <c r="S246" t="inlineStr"/>
      <c r="T246" t="inlineStr"/>
      <c r="U246" t="inlineStr"/>
      <c r="V246" t="inlineStr"/>
      <c r="W246" t="inlineStr"/>
      <c r="X246" t="inlineStr"/>
      <c r="Y246" t="inlineStr"/>
      <c r="Z246" t="inlineStr"/>
      <c r="AA246" t="inlineStr"/>
      <c r="AB246" t="inlineStr"/>
      <c r="AC246" t="inlineStr"/>
      <c r="AD246" t="inlineStr">
        <is>
          <t>DA</t>
        </is>
      </c>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inlineStr"/>
      <c r="BI246" t="inlineStr"/>
      <c r="BJ246" t="inlineStr"/>
      <c r="BK246" t="inlineStr"/>
      <c r="BL246" t="inlineStr"/>
      <c r="BM246" t="inlineStr"/>
      <c r="BN246" t="n">
        <v>0</v>
      </c>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c r="DC246" t="inlineStr"/>
      <c r="DD246" t="inlineStr"/>
      <c r="DE246" t="inlineStr"/>
      <c r="DF246" t="inlineStr"/>
      <c r="DG246" t="inlineStr"/>
    </row>
    <row r="247">
      <c r="A247" t="inlineStr">
        <is>
          <t>III</t>
        </is>
      </c>
      <c r="B247" t="b">
        <v>1</v>
      </c>
      <c r="C247" t="inlineStr"/>
      <c r="D247" t="inlineStr"/>
      <c r="E247" t="n">
        <v>284</v>
      </c>
      <c r="F247">
        <f>HYPERLINK("https://portal.dnb.de/opac.htm?method=simpleSearch&amp;cqlMode=true&amp;query=idn%3D1066796890", "Portal")</f>
        <v/>
      </c>
      <c r="G247" t="inlineStr">
        <is>
          <t>Aaf</t>
        </is>
      </c>
      <c r="H247" t="inlineStr">
        <is>
          <t>L-1506-315217251</t>
        </is>
      </c>
      <c r="I247" t="inlineStr">
        <is>
          <t>1066796890</t>
        </is>
      </c>
      <c r="J247" t="inlineStr">
        <is>
          <t>III 23, 1</t>
        </is>
      </c>
      <c r="K247" t="inlineStr">
        <is>
          <t>III 23, 1</t>
        </is>
      </c>
      <c r="L247" t="inlineStr">
        <is>
          <t>III 23, 1</t>
        </is>
      </c>
      <c r="M247" t="inlineStr"/>
      <c r="N247" t="inlineStr">
        <is>
          <t xml:space="preserve">Vocabularius vtilissimus de floribus nominu hoc est vocabulis electis. fere omnia vocabula scitu dignitissima continens : </t>
        </is>
      </c>
      <c r="O247" t="inlineStr">
        <is>
          <t xml:space="preserve"> : </t>
        </is>
      </c>
      <c r="P247" t="inlineStr"/>
      <c r="Q247" t="inlineStr"/>
      <c r="R247" t="inlineStr">
        <is>
          <t>Pergamentband</t>
        </is>
      </c>
      <c r="S247" t="inlineStr">
        <is>
          <t>bis 25 cm</t>
        </is>
      </c>
      <c r="T247" t="inlineStr">
        <is>
          <t>80° bis 110°, einseitig digitalisierbar?</t>
        </is>
      </c>
      <c r="U247" t="inlineStr"/>
      <c r="V247" t="inlineStr"/>
      <c r="W247" t="inlineStr">
        <is>
          <t>Kassette</t>
        </is>
      </c>
      <c r="X247" t="inlineStr">
        <is>
          <t>Nein</t>
        </is>
      </c>
      <c r="Y247" t="n">
        <v>0</v>
      </c>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inlineStr"/>
      <c r="BJ247" t="inlineStr"/>
      <c r="BK247" t="inlineStr"/>
      <c r="BL247" t="inlineStr"/>
      <c r="BM247" t="inlineStr"/>
      <c r="BN247" t="n">
        <v>0</v>
      </c>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c r="DC247" t="inlineStr"/>
      <c r="DD247" t="inlineStr"/>
      <c r="DE247" t="inlineStr"/>
      <c r="DF247" t="inlineStr"/>
      <c r="DG247" t="inlineStr"/>
    </row>
    <row r="248">
      <c r="A248" t="inlineStr">
        <is>
          <t>III</t>
        </is>
      </c>
      <c r="B248" t="b">
        <v>1</v>
      </c>
      <c r="C248" t="inlineStr"/>
      <c r="D248" t="inlineStr"/>
      <c r="E248" t="n">
        <v>285</v>
      </c>
      <c r="F248">
        <f>HYPERLINK("https://portal.dnb.de/opac.htm?method=simpleSearch&amp;cqlMode=true&amp;query=idn%3D1066871019", "Portal")</f>
        <v/>
      </c>
      <c r="G248" t="inlineStr">
        <is>
          <t>Aaf</t>
        </is>
      </c>
      <c r="H248" t="inlineStr">
        <is>
          <t>L-1518-315328878</t>
        </is>
      </c>
      <c r="I248" t="inlineStr">
        <is>
          <t>1066871019</t>
        </is>
      </c>
      <c r="J248" t="inlineStr">
        <is>
          <t>III 23, 2</t>
        </is>
      </c>
      <c r="K248" t="inlineStr">
        <is>
          <t>III 23, 2</t>
        </is>
      </c>
      <c r="L248" t="inlineStr">
        <is>
          <t>III 23, 2</t>
        </is>
      </c>
      <c r="M248" t="inlineStr"/>
      <c r="N248" t="inlineStr">
        <is>
          <t xml:space="preserve">IOanis Reuchlin Phorcensis Sergius vel capitis caput : </t>
        </is>
      </c>
      <c r="O248" t="inlineStr">
        <is>
          <t xml:space="preserve"> : </t>
        </is>
      </c>
      <c r="P248" t="inlineStr">
        <is>
          <t>X</t>
        </is>
      </c>
      <c r="Q248" t="inlineStr"/>
      <c r="R248" t="inlineStr">
        <is>
          <t>Halbledereinband</t>
        </is>
      </c>
      <c r="S248" t="inlineStr">
        <is>
          <t>bis 25 cm</t>
        </is>
      </c>
      <c r="T248" t="inlineStr">
        <is>
          <t>180°</t>
        </is>
      </c>
      <c r="U248" t="inlineStr"/>
      <c r="V248" t="inlineStr"/>
      <c r="W248" t="inlineStr"/>
      <c r="X248" t="inlineStr"/>
      <c r="Y248" t="n">
        <v>0</v>
      </c>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inlineStr"/>
      <c r="BI248" t="inlineStr"/>
      <c r="BJ248" t="inlineStr"/>
      <c r="BK248" t="inlineStr"/>
      <c r="BL248" t="inlineStr"/>
      <c r="BM248" t="inlineStr"/>
      <c r="BN248" t="n">
        <v>0</v>
      </c>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c r="DC248" t="inlineStr"/>
      <c r="DD248" t="inlineStr"/>
      <c r="DE248" t="inlineStr"/>
      <c r="DF248" t="inlineStr"/>
      <c r="DG248" t="inlineStr"/>
    </row>
    <row r="249">
      <c r="A249" t="inlineStr">
        <is>
          <t>III</t>
        </is>
      </c>
      <c r="B249" t="b">
        <v>1</v>
      </c>
      <c r="C249" t="inlineStr"/>
      <c r="D249" t="inlineStr"/>
      <c r="E249" t="n">
        <v>286</v>
      </c>
      <c r="F249">
        <f>HYPERLINK("https://portal.dnb.de/opac.htm?method=simpleSearch&amp;cqlMode=true&amp;query=idn%3D1066873984", "Portal")</f>
        <v/>
      </c>
      <c r="G249" t="inlineStr">
        <is>
          <t>Aaf</t>
        </is>
      </c>
      <c r="H249" t="inlineStr">
        <is>
          <t>L-1553-31533178X</t>
        </is>
      </c>
      <c r="I249" t="inlineStr">
        <is>
          <t>1066873984</t>
        </is>
      </c>
      <c r="J249" t="inlineStr">
        <is>
          <t>III 24, 1</t>
        </is>
      </c>
      <c r="K249" t="inlineStr">
        <is>
          <t>III 24, 1</t>
        </is>
      </c>
      <c r="L249" t="inlineStr">
        <is>
          <t>III 24, 1</t>
        </is>
      </c>
      <c r="M249" t="inlineStr"/>
      <c r="N249" t="inlineStr">
        <is>
          <t>Der recht Weg:|| Welche weg oder strasz/ der glaubig|| wandeln oder gehn soll...|| Auß den worten des|| Propheten Hieremie...|| Geprediget/|| Durch D.</t>
        </is>
      </c>
      <c r="O249" t="inlineStr">
        <is>
          <t xml:space="preserve"> : </t>
        </is>
      </c>
      <c r="P249" t="inlineStr">
        <is>
          <t>X</t>
        </is>
      </c>
      <c r="Q249" t="inlineStr"/>
      <c r="R249" t="inlineStr">
        <is>
          <t>Pergamentband</t>
        </is>
      </c>
      <c r="S249" t="inlineStr">
        <is>
          <t>bis 25 cm</t>
        </is>
      </c>
      <c r="T249" t="inlineStr">
        <is>
          <t>80° bis 110°, einseitig digitalisierbar?</t>
        </is>
      </c>
      <c r="U249" t="inlineStr"/>
      <c r="V249" t="inlineStr"/>
      <c r="W249" t="inlineStr"/>
      <c r="X249" t="inlineStr"/>
      <c r="Y249" t="n">
        <v>0</v>
      </c>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inlineStr"/>
      <c r="BJ249" t="inlineStr"/>
      <c r="BK249" t="inlineStr"/>
      <c r="BL249" t="inlineStr"/>
      <c r="BM249" t="inlineStr"/>
      <c r="BN249" t="n">
        <v>0</v>
      </c>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c r="DC249" t="inlineStr"/>
      <c r="DD249" t="inlineStr"/>
      <c r="DE249" t="inlineStr"/>
      <c r="DF249" t="inlineStr"/>
      <c r="DG249" t="inlineStr"/>
    </row>
    <row r="250">
      <c r="A250" t="inlineStr">
        <is>
          <t>III</t>
        </is>
      </c>
      <c r="B250" t="b">
        <v>1</v>
      </c>
      <c r="C250" t="inlineStr"/>
      <c r="D250" t="inlineStr"/>
      <c r="E250" t="n">
        <v>290</v>
      </c>
      <c r="F250">
        <f>HYPERLINK("https://portal.dnb.de/opac.htm?method=simpleSearch&amp;cqlMode=true&amp;query=idn%3D996193081", "Portal")</f>
        <v/>
      </c>
      <c r="G250" t="inlineStr">
        <is>
          <t>Aal</t>
        </is>
      </c>
      <c r="H250" t="inlineStr">
        <is>
          <t>L-1553-161856195</t>
        </is>
      </c>
      <c r="I250" t="inlineStr">
        <is>
          <t>996193081</t>
        </is>
      </c>
      <c r="J250" t="inlineStr">
        <is>
          <t>III 24, 1 a</t>
        </is>
      </c>
      <c r="K250" t="inlineStr">
        <is>
          <t>III 24, 1 a</t>
        </is>
      </c>
      <c r="L250" t="inlineStr">
        <is>
          <t>III 24, 1 a</t>
        </is>
      </c>
      <c r="M250" t="inlineStr"/>
      <c r="N250" t="inlineStr">
        <is>
          <t xml:space="preserve">CAPITVLA|| ALIQVOT EX LIBEL-||lo uerè aureo Ioannis Gerso-||nis,...|| de imitatione|| Christi:|| PER [Nicolaus] MAMERANVM|| ; In gratiam simplicis ac </t>
        </is>
      </c>
      <c r="O250" t="inlineStr">
        <is>
          <t xml:space="preserve"> : </t>
        </is>
      </c>
      <c r="P250" t="inlineStr"/>
      <c r="Q250" t="inlineStr"/>
      <c r="R250" t="inlineStr">
        <is>
          <t>Pergamentband</t>
        </is>
      </c>
      <c r="S250" t="inlineStr">
        <is>
          <t>bis 25 cm</t>
        </is>
      </c>
      <c r="T250" t="inlineStr">
        <is>
          <t>80° bis 110°, einseitig digitalisierbar?</t>
        </is>
      </c>
      <c r="U250" t="inlineStr">
        <is>
          <t>Schrift bis in den Falz</t>
        </is>
      </c>
      <c r="V250" t="inlineStr"/>
      <c r="W250" t="inlineStr"/>
      <c r="X250" t="inlineStr"/>
      <c r="Y250" t="n">
        <v>2</v>
      </c>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inlineStr"/>
      <c r="BI250" t="inlineStr"/>
      <c r="BJ250" t="inlineStr"/>
      <c r="BK250" t="inlineStr"/>
      <c r="BL250" t="inlineStr"/>
      <c r="BM250" t="inlineStr"/>
      <c r="BN250" t="n">
        <v>0</v>
      </c>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c r="DC250" t="inlineStr"/>
      <c r="DD250" t="inlineStr"/>
      <c r="DE250" t="inlineStr"/>
      <c r="DF250" t="inlineStr"/>
      <c r="DG250" t="inlineStr"/>
    </row>
    <row r="251">
      <c r="A251" t="inlineStr">
        <is>
          <t>III</t>
        </is>
      </c>
      <c r="B251" t="b">
        <v>1</v>
      </c>
      <c r="C251" t="inlineStr"/>
      <c r="D251" t="inlineStr"/>
      <c r="E251" t="n">
        <v>287</v>
      </c>
      <c r="F251">
        <f>HYPERLINK("https://portal.dnb.de/opac.htm?method=simpleSearch&amp;cqlMode=true&amp;query=idn%3D1066960127", "Portal")</f>
        <v/>
      </c>
      <c r="G251" t="inlineStr">
        <is>
          <t>Aaf</t>
        </is>
      </c>
      <c r="H251" t="inlineStr">
        <is>
          <t>L-1555-315490640</t>
        </is>
      </c>
      <c r="I251" t="inlineStr">
        <is>
          <t>1066960127</t>
        </is>
      </c>
      <c r="J251" t="inlineStr">
        <is>
          <t>III 24, 2</t>
        </is>
      </c>
      <c r="K251" t="inlineStr">
        <is>
          <t>III 24, 2</t>
        </is>
      </c>
      <c r="L251" t="inlineStr">
        <is>
          <t>III 24, 2</t>
        </is>
      </c>
      <c r="M251" t="inlineStr"/>
      <c r="N251" t="inlineStr">
        <is>
          <t>Missale secundum|| ritum Augustensis ecclesie di||ligenter emendatum #[et] locupletatum:|| ac in meliorem ordinem #[qua...] an=||tehac digestum.|| Man</t>
        </is>
      </c>
      <c r="O251" t="inlineStr">
        <is>
          <t xml:space="preserve"> : </t>
        </is>
      </c>
      <c r="P251" t="inlineStr">
        <is>
          <t>X</t>
        </is>
      </c>
      <c r="Q251" t="inlineStr"/>
      <c r="R251" t="inlineStr">
        <is>
          <t>Pergamentband, Schließen, erhabene Buchbeschläge</t>
        </is>
      </c>
      <c r="S251" t="inlineStr">
        <is>
          <t>bis 42 cm</t>
        </is>
      </c>
      <c r="T251" t="inlineStr">
        <is>
          <t>80° bis 110°, einseitig digitalisierbar?</t>
        </is>
      </c>
      <c r="U251" t="inlineStr">
        <is>
          <t>Einband mit Schutz- oder Stoßkanten, Schrift bis in den Falz, welliger Buchblock</t>
        </is>
      </c>
      <c r="V251" t="inlineStr"/>
      <c r="W251" t="inlineStr">
        <is>
          <t>Buchschuh</t>
        </is>
      </c>
      <c r="X251" t="inlineStr">
        <is>
          <t>Nein</t>
        </is>
      </c>
      <c r="Y251" t="n">
        <v>0</v>
      </c>
      <c r="Z251" t="inlineStr"/>
      <c r="AA251" t="inlineStr"/>
      <c r="AB251" t="inlineStr"/>
      <c r="AC251" t="inlineStr"/>
      <c r="AD251" t="inlineStr"/>
      <c r="AE251" t="inlineStr"/>
      <c r="AF251" t="inlineStr"/>
      <c r="AG251" t="inlineStr"/>
      <c r="AH251" t="inlineStr"/>
      <c r="AI251" t="inlineStr">
        <is>
          <t>Pg</t>
        </is>
      </c>
      <c r="AJ251" t="inlineStr"/>
      <c r="AK251" t="inlineStr"/>
      <c r="AL251" t="inlineStr">
        <is>
          <t>x</t>
        </is>
      </c>
      <c r="AM251" t="inlineStr">
        <is>
          <t>h/E</t>
        </is>
      </c>
      <c r="AN251" t="inlineStr">
        <is>
          <t>x</t>
        </is>
      </c>
      <c r="AO251" t="inlineStr"/>
      <c r="AP251" t="inlineStr"/>
      <c r="AQ251" t="inlineStr"/>
      <c r="AR251" t="inlineStr"/>
      <c r="AS251" t="inlineStr">
        <is>
          <t>Pa/Pg</t>
        </is>
      </c>
      <c r="AT251" t="inlineStr"/>
      <c r="AU251" t="inlineStr"/>
      <c r="AV251" t="inlineStr"/>
      <c r="AW251" t="inlineStr"/>
      <c r="AX251" t="inlineStr"/>
      <c r="AY251" t="inlineStr"/>
      <c r="AZ251" t="inlineStr"/>
      <c r="BA251" t="inlineStr"/>
      <c r="BB251" t="inlineStr"/>
      <c r="BC251" t="inlineStr">
        <is>
          <t>B/I/R</t>
        </is>
      </c>
      <c r="BD251" t="inlineStr">
        <is>
          <t>xx</t>
        </is>
      </c>
      <c r="BE251" t="inlineStr"/>
      <c r="BF251" t="inlineStr"/>
      <c r="BG251" t="inlineStr">
        <is>
          <t>nur 110</t>
        </is>
      </c>
      <c r="BH251" t="inlineStr"/>
      <c r="BI251" t="inlineStr"/>
      <c r="BJ251" t="inlineStr"/>
      <c r="BK251" t="inlineStr"/>
      <c r="BL251" t="inlineStr"/>
      <c r="BM251" t="inlineStr">
        <is>
          <t>n</t>
        </is>
      </c>
      <c r="BN251" t="n">
        <v>0</v>
      </c>
      <c r="BO251" t="inlineStr"/>
      <c r="BP251" t="inlineStr"/>
      <c r="BQ251" t="inlineStr"/>
      <c r="BR251" t="inlineStr">
        <is>
          <t>x</t>
        </is>
      </c>
      <c r="BS251" t="inlineStr"/>
      <c r="BT251" t="inlineStr"/>
      <c r="BU251" t="inlineStr"/>
      <c r="BV251" t="inlineStr">
        <is>
          <t>Eine Lage aus Pergament enthalten mit Buchmalerei</t>
        </is>
      </c>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c r="DC251" t="inlineStr"/>
      <c r="DD251" t="inlineStr"/>
      <c r="DE251" t="inlineStr"/>
      <c r="DF251" t="inlineStr"/>
      <c r="DG251" t="inlineStr"/>
    </row>
    <row r="252">
      <c r="A252" t="inlineStr">
        <is>
          <t>III</t>
        </is>
      </c>
      <c r="B252" t="b">
        <v>1</v>
      </c>
      <c r="C252" t="inlineStr"/>
      <c r="D252" t="inlineStr"/>
      <c r="E252" t="n">
        <v>288</v>
      </c>
      <c r="F252">
        <f>HYPERLINK("https://portal.dnb.de/opac.htm?method=simpleSearch&amp;cqlMode=true&amp;query=idn%3D993903541", "Portal")</f>
        <v/>
      </c>
      <c r="G252" t="inlineStr">
        <is>
          <t>Aal</t>
        </is>
      </c>
      <c r="H252" t="inlineStr">
        <is>
          <t>L-1558-153966785</t>
        </is>
      </c>
      <c r="I252" t="inlineStr">
        <is>
          <t>993903541</t>
        </is>
      </c>
      <c r="J252" t="inlineStr">
        <is>
          <t>III 24, 3</t>
        </is>
      </c>
      <c r="K252" t="inlineStr">
        <is>
          <t>III 24, 3</t>
        </is>
      </c>
      <c r="L252" t="inlineStr">
        <is>
          <t>III 24, 3</t>
        </is>
      </c>
      <c r="M252" t="inlineStr"/>
      <c r="N252" t="inlineStr">
        <is>
          <t xml:space="preserve">THRENODIA|| DE MORTE CA-||ROLI. V. ROM. IM-||PERATORIS, ET|| HISPANIARVM|| REGIS.|| AVTORE GEORGIO||AMERPACHIO.|| Cum Gratia et Priuilegio Imp.|| : </t>
        </is>
      </c>
      <c r="O252" t="inlineStr">
        <is>
          <t xml:space="preserve"> : </t>
        </is>
      </c>
      <c r="P252" t="inlineStr">
        <is>
          <t>X</t>
        </is>
      </c>
      <c r="Q252" t="inlineStr"/>
      <c r="R252" t="inlineStr">
        <is>
          <t>Gewebeeinband, Schließen, erhabene Buchbeschläge</t>
        </is>
      </c>
      <c r="S252" t="inlineStr">
        <is>
          <t>bis 25 cm</t>
        </is>
      </c>
      <c r="T252" t="inlineStr">
        <is>
          <t>80° bis 110°, einseitig digitalisierbar?</t>
        </is>
      </c>
      <c r="U252" t="inlineStr">
        <is>
          <t>hohler Rücken</t>
        </is>
      </c>
      <c r="V252" t="inlineStr"/>
      <c r="W252" t="inlineStr">
        <is>
          <t>Buchschuh</t>
        </is>
      </c>
      <c r="X252" t="inlineStr">
        <is>
          <t>Nein</t>
        </is>
      </c>
      <c r="Y252" t="n">
        <v>0</v>
      </c>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inlineStr"/>
      <c r="BJ252" t="inlineStr"/>
      <c r="BK252" t="inlineStr"/>
      <c r="BL252" t="inlineStr"/>
      <c r="BM252" t="inlineStr"/>
      <c r="BN252" t="n">
        <v>0</v>
      </c>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c r="DC252" t="inlineStr"/>
      <c r="DD252" t="inlineStr"/>
      <c r="DE252" t="inlineStr"/>
      <c r="DF252" t="inlineStr"/>
      <c r="DG252" t="inlineStr"/>
    </row>
    <row r="253">
      <c r="A253" t="inlineStr">
        <is>
          <t>III</t>
        </is>
      </c>
      <c r="B253" t="b">
        <v>1</v>
      </c>
      <c r="C253" t="inlineStr"/>
      <c r="D253" t="inlineStr"/>
      <c r="E253" t="inlineStr"/>
      <c r="F253">
        <f>HYPERLINK("https://portal.dnb.de/opac.htm?method=simpleSearch&amp;cqlMode=true&amp;query=idn%3D1138060658", "Portal")</f>
        <v/>
      </c>
      <c r="G253" t="inlineStr">
        <is>
          <t>Qd</t>
        </is>
      </c>
      <c r="H253" t="inlineStr">
        <is>
          <t>L-9999-414378555</t>
        </is>
      </c>
      <c r="I253" t="inlineStr">
        <is>
          <t>1138060658</t>
        </is>
      </c>
      <c r="J253" t="inlineStr">
        <is>
          <t>III 24, 4</t>
        </is>
      </c>
      <c r="K253" t="inlineStr">
        <is>
          <t>III 24, 4</t>
        </is>
      </c>
      <c r="L253" t="inlineStr">
        <is>
          <t>III 24, 4</t>
        </is>
      </c>
      <c r="M253" t="inlineStr"/>
      <c r="N253" t="inlineStr">
        <is>
          <t xml:space="preserve">Sammelband : </t>
        </is>
      </c>
      <c r="O253" t="inlineStr">
        <is>
          <t xml:space="preserve"> : </t>
        </is>
      </c>
      <c r="P253" t="inlineStr">
        <is>
          <t>X</t>
        </is>
      </c>
      <c r="Q253" t="inlineStr"/>
      <c r="R253" t="inlineStr">
        <is>
          <t>Ledereinband</t>
        </is>
      </c>
      <c r="S253" t="inlineStr">
        <is>
          <t>bis 25 cm</t>
        </is>
      </c>
      <c r="T253" t="inlineStr">
        <is>
          <t>80° bis 110°, einseitig digitalisierbar?</t>
        </is>
      </c>
      <c r="U253" t="inlineStr">
        <is>
          <t>hohler Rücken</t>
        </is>
      </c>
      <c r="V253" t="inlineStr"/>
      <c r="W253" t="inlineStr">
        <is>
          <t>Buchschuh</t>
        </is>
      </c>
      <c r="X253" t="inlineStr">
        <is>
          <t>Nein</t>
        </is>
      </c>
      <c r="Y253" t="n">
        <v>1</v>
      </c>
      <c r="Z253" t="inlineStr"/>
      <c r="AA253" t="inlineStr"/>
      <c r="AB253" t="inlineStr"/>
      <c r="AC253" t="inlineStr"/>
      <c r="AD253" t="inlineStr"/>
      <c r="AE253" t="inlineStr"/>
      <c r="AF253" t="inlineStr"/>
      <c r="AG253" t="inlineStr"/>
      <c r="AH253" t="inlineStr"/>
      <c r="AI253" t="inlineStr">
        <is>
          <t>HD</t>
        </is>
      </c>
      <c r="AJ253" t="inlineStr"/>
      <c r="AK253" t="inlineStr">
        <is>
          <t>x</t>
        </is>
      </c>
      <c r="AL253" t="inlineStr"/>
      <c r="AM253" t="inlineStr">
        <is>
          <t>f</t>
        </is>
      </c>
      <c r="AN253" t="inlineStr"/>
      <c r="AO253" t="inlineStr"/>
      <c r="AP253" t="inlineStr"/>
      <c r="AQ253" t="inlineStr"/>
      <c r="AR253" t="inlineStr">
        <is>
          <t>x</t>
        </is>
      </c>
      <c r="AS253" t="inlineStr">
        <is>
          <t>Pa</t>
        </is>
      </c>
      <c r="AT253" t="inlineStr"/>
      <c r="AU253" t="inlineStr"/>
      <c r="AV253" t="inlineStr"/>
      <c r="AW253" t="inlineStr"/>
      <c r="AX253" t="inlineStr"/>
      <c r="AY253" t="inlineStr"/>
      <c r="AZ253" t="inlineStr"/>
      <c r="BA253" t="inlineStr"/>
      <c r="BB253" t="inlineStr"/>
      <c r="BC253" t="inlineStr"/>
      <c r="BD253" t="inlineStr"/>
      <c r="BE253" t="inlineStr"/>
      <c r="BF253" t="inlineStr"/>
      <c r="BG253" t="n">
        <v>45</v>
      </c>
      <c r="BH253" t="inlineStr"/>
      <c r="BI253" t="inlineStr"/>
      <c r="BJ253" t="inlineStr"/>
      <c r="BK253" t="inlineStr"/>
      <c r="BL253" t="inlineStr"/>
      <c r="BM253" t="inlineStr">
        <is>
          <t>n</t>
        </is>
      </c>
      <c r="BN253" t="n">
        <v>0</v>
      </c>
      <c r="BO253" t="inlineStr"/>
      <c r="BP253" t="inlineStr"/>
      <c r="BQ253" t="inlineStr"/>
      <c r="BR253" t="inlineStr">
        <is>
          <t>x</t>
        </is>
      </c>
      <c r="BS253" t="inlineStr"/>
      <c r="BT253" t="inlineStr"/>
      <c r="BU253" t="inlineStr"/>
      <c r="BV253" t="inlineStr">
        <is>
          <t>wie geht das bei 45° mit der steifen Schließe?</t>
        </is>
      </c>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c r="DC253" t="inlineStr"/>
      <c r="DD253" t="inlineStr"/>
      <c r="DE253" t="inlineStr"/>
      <c r="DF253" t="inlineStr"/>
      <c r="DG253" t="inlineStr"/>
    </row>
    <row r="254">
      <c r="A254" t="inlineStr">
        <is>
          <t>III</t>
        </is>
      </c>
      <c r="B254" t="b">
        <v>1</v>
      </c>
      <c r="C254" t="inlineStr"/>
      <c r="D254" t="inlineStr"/>
      <c r="E254" t="n">
        <v>292</v>
      </c>
      <c r="F254">
        <f>HYPERLINK("https://portal.dnb.de/opac.htm?method=simpleSearch&amp;cqlMode=true&amp;query=idn%3D1066871884", "Portal")</f>
        <v/>
      </c>
      <c r="G254" t="inlineStr">
        <is>
          <t>Aaf</t>
        </is>
      </c>
      <c r="H254" t="inlineStr">
        <is>
          <t>L-1524-315329645</t>
        </is>
      </c>
      <c r="I254" t="inlineStr">
        <is>
          <t>1066871884</t>
        </is>
      </c>
      <c r="J254" t="inlineStr">
        <is>
          <t>III 25, 1</t>
        </is>
      </c>
      <c r="K254" t="inlineStr">
        <is>
          <t>III 25, 1</t>
        </is>
      </c>
      <c r="L254" t="inlineStr">
        <is>
          <t>III 25, 1</t>
        </is>
      </c>
      <c r="M254" t="inlineStr"/>
      <c r="N254" t="inlineStr">
        <is>
          <t>Wyder den falschge||nanten Ecclesiasten/ vñ warhafftigen Ertzketzer Mar||tinum Luther Emsers getrawe vñ nawe vorwar=||nung mit bestendiger vorlegung a</t>
        </is>
      </c>
      <c r="O254" t="inlineStr">
        <is>
          <t xml:space="preserve"> : </t>
        </is>
      </c>
      <c r="P254" t="inlineStr">
        <is>
          <t>X</t>
        </is>
      </c>
      <c r="Q254" t="inlineStr"/>
      <c r="R254" t="inlineStr">
        <is>
          <t>Pergamentband</t>
        </is>
      </c>
      <c r="S254" t="inlineStr">
        <is>
          <t>bis 25 cm</t>
        </is>
      </c>
      <c r="T254" t="inlineStr">
        <is>
          <t>80° bis 110°, einseitig digitalisierbar?</t>
        </is>
      </c>
      <c r="U254" t="inlineStr">
        <is>
          <t>hohler Rücken</t>
        </is>
      </c>
      <c r="V254" t="inlineStr"/>
      <c r="W254" t="inlineStr"/>
      <c r="X254" t="inlineStr"/>
      <c r="Y254" t="n">
        <v>1</v>
      </c>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inlineStr"/>
      <c r="BI254" t="inlineStr"/>
      <c r="BJ254" t="inlineStr"/>
      <c r="BK254" t="inlineStr"/>
      <c r="BL254" t="inlineStr"/>
      <c r="BM254" t="inlineStr"/>
      <c r="BN254" t="n">
        <v>0</v>
      </c>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c r="DC254" t="inlineStr"/>
      <c r="DD254" t="inlineStr"/>
      <c r="DE254" t="inlineStr"/>
      <c r="DF254" t="inlineStr"/>
      <c r="DG254" t="inlineStr"/>
    </row>
    <row r="255">
      <c r="A255" t="inlineStr">
        <is>
          <t>III</t>
        </is>
      </c>
      <c r="B255" t="b">
        <v>1</v>
      </c>
      <c r="C255" t="inlineStr"/>
      <c r="D255" t="inlineStr"/>
      <c r="E255" t="n">
        <v>293</v>
      </c>
      <c r="F255">
        <f>HYPERLINK("https://portal.dnb.de/opac.htm?method=simpleSearch&amp;cqlMode=true&amp;query=idn%3D1066871523", "Portal")</f>
        <v/>
      </c>
      <c r="G255" t="inlineStr">
        <is>
          <t>Aaf</t>
        </is>
      </c>
      <c r="H255" t="inlineStr">
        <is>
          <t>L-1524-315329300</t>
        </is>
      </c>
      <c r="I255" t="inlineStr">
        <is>
          <t>1066871523</t>
        </is>
      </c>
      <c r="J255" t="inlineStr">
        <is>
          <t>III 25, 2</t>
        </is>
      </c>
      <c r="K255" t="inlineStr">
        <is>
          <t>III 25, 2</t>
        </is>
      </c>
      <c r="L255" t="inlineStr">
        <is>
          <t>III 25, 2</t>
        </is>
      </c>
      <c r="M255" t="inlineStr"/>
      <c r="N255" t="inlineStr">
        <is>
          <t xml:space="preserve"> Antwurt|| Auff das lesterliche buch wi||der Bischoff Bēno zu Meis||sen/ vnd erhebung der hey=||ligē iungst außgegāgen.|| Emszer|| : </t>
        </is>
      </c>
      <c r="O255" t="inlineStr">
        <is>
          <t xml:space="preserve"> : </t>
        </is>
      </c>
      <c r="P255" t="inlineStr">
        <is>
          <t>X</t>
        </is>
      </c>
      <c r="Q255" t="inlineStr"/>
      <c r="R255" t="inlineStr">
        <is>
          <t>Pergamentband</t>
        </is>
      </c>
      <c r="S255" t="inlineStr">
        <is>
          <t>bis 25 cm</t>
        </is>
      </c>
      <c r="T255" t="inlineStr">
        <is>
          <t>180°</t>
        </is>
      </c>
      <c r="U255" t="inlineStr"/>
      <c r="V255" t="inlineStr"/>
      <c r="W255" t="inlineStr"/>
      <c r="X255" t="inlineStr"/>
      <c r="Y255" t="n">
        <v>1</v>
      </c>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inlineStr"/>
      <c r="BJ255" t="inlineStr"/>
      <c r="BK255" t="inlineStr"/>
      <c r="BL255" t="inlineStr"/>
      <c r="BM255" t="inlineStr"/>
      <c r="BN255" t="n">
        <v>0</v>
      </c>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c r="DC255" t="inlineStr"/>
      <c r="DD255" t="inlineStr"/>
      <c r="DE255" t="inlineStr"/>
      <c r="DF255" t="inlineStr"/>
      <c r="DG255" t="inlineStr"/>
    </row>
    <row r="256">
      <c r="A256" t="inlineStr">
        <is>
          <t>III</t>
        </is>
      </c>
      <c r="B256" t="b">
        <v>1</v>
      </c>
      <c r="C256" t="inlineStr"/>
      <c r="D256" t="inlineStr"/>
      <c r="E256" t="n">
        <v>294</v>
      </c>
      <c r="F256">
        <f>HYPERLINK("https://portal.dnb.de/opac.htm?method=simpleSearch&amp;cqlMode=true&amp;query=idn%3D1132614945", "Portal")</f>
        <v/>
      </c>
      <c r="G256" t="inlineStr">
        <is>
          <t>Aaf</t>
        </is>
      </c>
      <c r="H256" t="inlineStr">
        <is>
          <t>L-1527-406933499</t>
        </is>
      </c>
      <c r="I256" t="inlineStr">
        <is>
          <t>1132614945</t>
        </is>
      </c>
      <c r="J256" t="inlineStr">
        <is>
          <t>III 25, 3</t>
        </is>
      </c>
      <c r="K256" t="inlineStr">
        <is>
          <t>III 25, 3</t>
        </is>
      </c>
      <c r="L256" t="inlineStr">
        <is>
          <t>III 25, 3</t>
        </is>
      </c>
      <c r="M256" t="inlineStr"/>
      <c r="N256" t="inlineStr">
        <is>
          <t xml:space="preserve">Das @naw testament nach lawt der Christlichen kirchen bewerten text, corrigirt, vnd widerumb zu recht gebracht. : </t>
        </is>
      </c>
      <c r="O256" t="inlineStr">
        <is>
          <t xml:space="preserve"> : </t>
        </is>
      </c>
      <c r="P256" t="inlineStr"/>
      <c r="Q256" t="inlineStr"/>
      <c r="R256" t="inlineStr">
        <is>
          <t>Ledereinband, Schließen, erhabene Buchbeschläge</t>
        </is>
      </c>
      <c r="S256" t="inlineStr">
        <is>
          <t>bis 35 cm</t>
        </is>
      </c>
      <c r="T256" t="inlineStr">
        <is>
          <t>80° bis 110°, einseitig digitalisierbar?</t>
        </is>
      </c>
      <c r="U256" t="inlineStr">
        <is>
          <t>Schrift bis in den Falz</t>
        </is>
      </c>
      <c r="V256" t="inlineStr"/>
      <c r="W256" t="inlineStr">
        <is>
          <t>Kassette</t>
        </is>
      </c>
      <c r="X256" t="inlineStr">
        <is>
          <t>Nein</t>
        </is>
      </c>
      <c r="Y256" t="n">
        <v>0</v>
      </c>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inlineStr"/>
      <c r="BI256" t="inlineStr"/>
      <c r="BJ256" t="inlineStr"/>
      <c r="BK256" t="inlineStr"/>
      <c r="BL256" t="inlineStr"/>
      <c r="BM256" t="inlineStr"/>
      <c r="BN256" t="n">
        <v>0</v>
      </c>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c r="DC256" t="inlineStr"/>
      <c r="DD256" t="inlineStr"/>
      <c r="DE256" t="inlineStr"/>
      <c r="DF256" t="inlineStr"/>
      <c r="DG256" t="inlineStr"/>
    </row>
    <row r="257">
      <c r="A257" t="inlineStr">
        <is>
          <t>III</t>
        </is>
      </c>
      <c r="B257" t="b">
        <v>1</v>
      </c>
      <c r="C257" t="inlineStr"/>
      <c r="D257" t="inlineStr"/>
      <c r="E257" t="inlineStr"/>
      <c r="F257">
        <f>HYPERLINK("https://portal.dnb.de/opac.htm?method=simpleSearch&amp;cqlMode=true&amp;query=idn%3D1211119106", "Portal")</f>
        <v/>
      </c>
      <c r="G257" t="inlineStr">
        <is>
          <t>Qd</t>
        </is>
      </c>
      <c r="H257" t="inlineStr">
        <is>
          <t>L-9999-678830347</t>
        </is>
      </c>
      <c r="I257" t="inlineStr">
        <is>
          <t>1211119106</t>
        </is>
      </c>
      <c r="J257" t="inlineStr">
        <is>
          <t>III 26, 1</t>
        </is>
      </c>
      <c r="K257" t="inlineStr">
        <is>
          <t>III 26, 1</t>
        </is>
      </c>
      <c r="L257" t="inlineStr">
        <is>
          <t>III 26, 1</t>
        </is>
      </c>
      <c r="M257" t="inlineStr"/>
      <c r="N257" t="inlineStr">
        <is>
          <t xml:space="preserve">Sammelband mit "Füllmaterial" : </t>
        </is>
      </c>
      <c r="O257" t="inlineStr">
        <is>
          <t xml:space="preserve"> : </t>
        </is>
      </c>
      <c r="P257" t="inlineStr">
        <is>
          <t>X</t>
        </is>
      </c>
      <c r="Q257" t="inlineStr"/>
      <c r="R257" t="inlineStr">
        <is>
          <t>Gewebeeinband, Schließen, erhabene Buchbeschläge</t>
        </is>
      </c>
      <c r="S257" t="inlineStr">
        <is>
          <t>bis 25 cm</t>
        </is>
      </c>
      <c r="T257" t="inlineStr">
        <is>
          <t>80° bis 110°, einseitig digitalisierbar?</t>
        </is>
      </c>
      <c r="U257" t="inlineStr">
        <is>
          <t>hohler Rücken</t>
        </is>
      </c>
      <c r="V257" t="inlineStr"/>
      <c r="W257" t="inlineStr">
        <is>
          <t>Buchschuh</t>
        </is>
      </c>
      <c r="X257" t="inlineStr">
        <is>
          <t>Nein</t>
        </is>
      </c>
      <c r="Y257" t="n">
        <v>0</v>
      </c>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inlineStr"/>
      <c r="BI257" t="inlineStr"/>
      <c r="BJ257" t="inlineStr"/>
      <c r="BK257" t="inlineStr"/>
      <c r="BL257" t="inlineStr"/>
      <c r="BM257" t="inlineStr"/>
      <c r="BN257" t="n">
        <v>0</v>
      </c>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c r="DC257" t="inlineStr"/>
      <c r="DD257" t="inlineStr"/>
      <c r="DE257" t="inlineStr"/>
      <c r="DF257" t="inlineStr"/>
      <c r="DG257" t="inlineStr"/>
    </row>
    <row r="258">
      <c r="A258" t="inlineStr">
        <is>
          <t>III</t>
        </is>
      </c>
      <c r="B258" t="b">
        <v>1</v>
      </c>
      <c r="C258" t="inlineStr"/>
      <c r="D258" t="inlineStr"/>
      <c r="E258" t="inlineStr"/>
      <c r="F258">
        <f>HYPERLINK("https://portal.dnb.de/opac.htm?method=simpleSearch&amp;cqlMode=true&amp;query=idn%3D026289377", "Portal")</f>
        <v/>
      </c>
      <c r="G258" t="inlineStr"/>
      <c r="H258" t="inlineStr">
        <is>
          <t>L-1873-170566617</t>
        </is>
      </c>
      <c r="I258" t="inlineStr">
        <is>
          <t>026289377</t>
        </is>
      </c>
      <c r="J258" t="inlineStr"/>
      <c r="K258" t="inlineStr">
        <is>
          <t>III 26, 1 (3 an)</t>
        </is>
      </c>
      <c r="L258" t="inlineStr">
        <is>
          <t>III 26, 1 (3 an)</t>
        </is>
      </c>
      <c r="M258" t="inlineStr"/>
      <c r="N258" t="inlineStr">
        <is>
          <t xml:space="preserve">Verzeichniss des Antiquarischen Bücherlagers von A. Bielefeld's Hofbuchhandlung in Karlsruhe : </t>
        </is>
      </c>
      <c r="O258" t="inlineStr">
        <is>
          <t xml:space="preserve"> : </t>
        </is>
      </c>
      <c r="P258" t="inlineStr"/>
      <c r="Q258" t="inlineStr"/>
      <c r="R258" t="inlineStr"/>
      <c r="S258" t="inlineStr"/>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inlineStr"/>
      <c r="BJ258" t="inlineStr"/>
      <c r="BK258" t="inlineStr"/>
      <c r="BL258" t="inlineStr"/>
      <c r="BM258" t="inlineStr"/>
      <c r="BN258" t="inlineStr"/>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c r="DC258" t="inlineStr"/>
      <c r="DD258" t="inlineStr"/>
      <c r="DE258" t="inlineStr"/>
      <c r="DF258" t="inlineStr"/>
      <c r="DG258" t="inlineStr"/>
    </row>
    <row r="259">
      <c r="A259" t="inlineStr">
        <is>
          <t>III</t>
        </is>
      </c>
      <c r="B259" t="b">
        <v>1</v>
      </c>
      <c r="C259" t="inlineStr"/>
      <c r="D259" t="inlineStr"/>
      <c r="E259" t="inlineStr"/>
      <c r="F259">
        <f>HYPERLINK("https://portal.dnb.de/opac.htm?method=simpleSearch&amp;cqlMode=true&amp;query=idn%3D1138314196", "Portal")</f>
        <v/>
      </c>
      <c r="G259" t="inlineStr">
        <is>
          <t>Qd</t>
        </is>
      </c>
      <c r="H259" t="inlineStr">
        <is>
          <t>L-9999-414831152</t>
        </is>
      </c>
      <c r="I259" t="inlineStr">
        <is>
          <t>1138314196</t>
        </is>
      </c>
      <c r="J259" t="inlineStr">
        <is>
          <t>III 28, 1</t>
        </is>
      </c>
      <c r="K259" t="inlineStr">
        <is>
          <t>III 28, 1</t>
        </is>
      </c>
      <c r="L259" t="inlineStr">
        <is>
          <t>III 28, 1</t>
        </is>
      </c>
      <c r="M259" t="inlineStr"/>
      <c r="N259" t="inlineStr">
        <is>
          <t xml:space="preserve">Sammelband mit "Füllmaterial" : </t>
        </is>
      </c>
      <c r="O259" t="inlineStr">
        <is>
          <t xml:space="preserve"> : </t>
        </is>
      </c>
      <c r="P259" t="inlineStr">
        <is>
          <t>X</t>
        </is>
      </c>
      <c r="Q259" t="inlineStr"/>
      <c r="R259" t="inlineStr">
        <is>
          <t>Halbledereinband, Schließen, erhabene Buchbeschläge</t>
        </is>
      </c>
      <c r="S259" t="inlineStr">
        <is>
          <t>bis 25 cm</t>
        </is>
      </c>
      <c r="T259" t="inlineStr">
        <is>
          <t>80° bis 110°, einseitig digitalisierbar?</t>
        </is>
      </c>
      <c r="U259" t="inlineStr">
        <is>
          <t>hohler Rücken</t>
        </is>
      </c>
      <c r="V259" t="inlineStr"/>
      <c r="W259" t="inlineStr">
        <is>
          <t>Buchschuh</t>
        </is>
      </c>
      <c r="X259" t="inlineStr">
        <is>
          <t>Nein</t>
        </is>
      </c>
      <c r="Y259" t="n">
        <v>1</v>
      </c>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inlineStr"/>
      <c r="BI259" t="inlineStr"/>
      <c r="BJ259" t="inlineStr"/>
      <c r="BK259" t="inlineStr"/>
      <c r="BL259" t="inlineStr"/>
      <c r="BM259" t="inlineStr"/>
      <c r="BN259" t="n">
        <v>0</v>
      </c>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c r="DC259" t="inlineStr"/>
      <c r="DD259" t="inlineStr"/>
      <c r="DE259" t="inlineStr"/>
      <c r="DF259" t="inlineStr"/>
      <c r="DG259" t="inlineStr"/>
    </row>
    <row r="260">
      <c r="A260" t="inlineStr">
        <is>
          <t>III</t>
        </is>
      </c>
      <c r="B260" t="b">
        <v>1</v>
      </c>
      <c r="C260" t="inlineStr"/>
      <c r="D260" t="inlineStr"/>
      <c r="E260" t="n">
        <v>302</v>
      </c>
      <c r="F260">
        <f>HYPERLINK("https://portal.dnb.de/opac.htm?method=simpleSearch&amp;cqlMode=true&amp;query=idn%3D106696050X", "Portal")</f>
        <v/>
      </c>
      <c r="G260" t="inlineStr">
        <is>
          <t>Aaf</t>
        </is>
      </c>
      <c r="H260" t="inlineStr">
        <is>
          <t>L-1524-315490993</t>
        </is>
      </c>
      <c r="I260" t="inlineStr">
        <is>
          <t>106696050X</t>
        </is>
      </c>
      <c r="J260" t="inlineStr">
        <is>
          <t>III 28, 2</t>
        </is>
      </c>
      <c r="K260" t="inlineStr">
        <is>
          <t>III 28, 2</t>
        </is>
      </c>
      <c r="L260" t="inlineStr">
        <is>
          <t>III 28, 2</t>
        </is>
      </c>
      <c r="M260" t="inlineStr"/>
      <c r="N260" t="inlineStr">
        <is>
          <t xml:space="preserve">Ein @Sermon gepredi||get vom Pawren zu Werdt/ bey|| N#[ue]rmberg/ am Sontag vor|| Faßnacht/ von dem freyen willen des Menschen|| : </t>
        </is>
      </c>
      <c r="O260" t="inlineStr">
        <is>
          <t xml:space="preserve"> : </t>
        </is>
      </c>
      <c r="P260" t="inlineStr">
        <is>
          <t>X</t>
        </is>
      </c>
      <c r="Q260" t="inlineStr"/>
      <c r="R260" t="inlineStr">
        <is>
          <t>Ledereinband</t>
        </is>
      </c>
      <c r="S260" t="inlineStr">
        <is>
          <t>bis 25 cm</t>
        </is>
      </c>
      <c r="T260" t="inlineStr">
        <is>
          <t>180°</t>
        </is>
      </c>
      <c r="U260" t="inlineStr">
        <is>
          <t>hohler Rücken</t>
        </is>
      </c>
      <c r="V260" t="inlineStr"/>
      <c r="W260" t="inlineStr"/>
      <c r="X260" t="inlineStr"/>
      <c r="Y260" t="n">
        <v>0</v>
      </c>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inlineStr"/>
      <c r="BJ260" t="inlineStr"/>
      <c r="BK260" t="inlineStr"/>
      <c r="BL260" t="inlineStr"/>
      <c r="BM260" t="inlineStr"/>
      <c r="BN260" t="n">
        <v>0</v>
      </c>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c r="DC260" t="inlineStr"/>
      <c r="DD260" t="inlineStr"/>
      <c r="DE260" t="inlineStr"/>
      <c r="DF260" t="inlineStr"/>
      <c r="DG260" t="inlineStr"/>
    </row>
    <row r="261">
      <c r="A261" t="inlineStr">
        <is>
          <t>III</t>
        </is>
      </c>
      <c r="B261" t="b">
        <v>1</v>
      </c>
      <c r="C261" t="inlineStr"/>
      <c r="D261" t="inlineStr"/>
      <c r="E261" t="n">
        <v>303</v>
      </c>
      <c r="F261">
        <f>HYPERLINK("https://portal.dnb.de/opac.htm?method=simpleSearch&amp;cqlMode=true&amp;query=idn%3D1066961581", "Portal")</f>
        <v/>
      </c>
      <c r="G261" t="inlineStr">
        <is>
          <t>Aaf</t>
        </is>
      </c>
      <c r="H261" t="inlineStr">
        <is>
          <t>L-1524-315491981</t>
        </is>
      </c>
      <c r="I261" t="inlineStr">
        <is>
          <t>1066961581</t>
        </is>
      </c>
      <c r="J261" t="inlineStr">
        <is>
          <t>III 28, 3</t>
        </is>
      </c>
      <c r="K261" t="inlineStr">
        <is>
          <t>III 28, 3</t>
        </is>
      </c>
      <c r="L261" t="inlineStr">
        <is>
          <t>III 28, 3</t>
        </is>
      </c>
      <c r="M261" t="inlineStr"/>
      <c r="N261" t="inlineStr">
        <is>
          <t>Mich wundert das|| kein gelt ihm|| land ist.|| Ein schimpflich doch vnschedlich ge=||sprech dreyer Landtfarer/ vber yetz ge=||melten tyttel.|| Leße da</t>
        </is>
      </c>
      <c r="O261" t="inlineStr">
        <is>
          <t xml:space="preserve"> : </t>
        </is>
      </c>
      <c r="P261" t="inlineStr">
        <is>
          <t>X</t>
        </is>
      </c>
      <c r="Q261" t="inlineStr"/>
      <c r="R261" t="inlineStr">
        <is>
          <t>Halbledereinband, Schließen, erhabene Buchbeschläge</t>
        </is>
      </c>
      <c r="S261" t="inlineStr">
        <is>
          <t>bis 25 cm</t>
        </is>
      </c>
      <c r="T261" t="inlineStr">
        <is>
          <t>80° bis 110°, einseitig digitalisierbar?</t>
        </is>
      </c>
      <c r="U261" t="inlineStr"/>
      <c r="V261" t="inlineStr"/>
      <c r="W261" t="inlineStr">
        <is>
          <t>Mappe</t>
        </is>
      </c>
      <c r="X261" t="inlineStr">
        <is>
          <t>Nein</t>
        </is>
      </c>
      <c r="Y261" t="n">
        <v>3</v>
      </c>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inlineStr"/>
      <c r="BI261" t="inlineStr"/>
      <c r="BJ261" t="inlineStr"/>
      <c r="BK261" t="inlineStr"/>
      <c r="BL261" t="inlineStr"/>
      <c r="BM261" t="inlineStr"/>
      <c r="BN261" t="n">
        <v>0</v>
      </c>
      <c r="BO261" t="inlineStr"/>
      <c r="BP261" t="inlineStr"/>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c r="DB261" t="inlineStr"/>
      <c r="DC261" t="inlineStr"/>
      <c r="DD261" t="inlineStr"/>
      <c r="DE261" t="inlineStr"/>
      <c r="DF261" t="inlineStr"/>
      <c r="DG261" t="inlineStr"/>
    </row>
    <row r="262">
      <c r="A262" t="inlineStr">
        <is>
          <t>III</t>
        </is>
      </c>
      <c r="B262" t="b">
        <v>1</v>
      </c>
      <c r="C262" t="inlineStr"/>
      <c r="D262" t="inlineStr"/>
      <c r="E262" t="n">
        <v>309</v>
      </c>
      <c r="F262">
        <f>HYPERLINK("https://portal.dnb.de/opac.htm?method=simpleSearch&amp;cqlMode=true&amp;query=idn%3D1066957673", "Portal")</f>
        <v/>
      </c>
      <c r="G262" t="inlineStr">
        <is>
          <t>Aaf</t>
        </is>
      </c>
      <c r="H262" t="inlineStr">
        <is>
          <t>L-1559-315488298</t>
        </is>
      </c>
      <c r="I262" t="inlineStr">
        <is>
          <t>1066957673</t>
        </is>
      </c>
      <c r="J262" t="inlineStr">
        <is>
          <t>III 29, 2</t>
        </is>
      </c>
      <c r="K262" t="inlineStr">
        <is>
          <t>III 29, 2</t>
        </is>
      </c>
      <c r="L262" t="inlineStr">
        <is>
          <t>III 29, 2</t>
        </is>
      </c>
      <c r="M262" t="inlineStr"/>
      <c r="N262" t="inlineStr">
        <is>
          <t>Was Geistliche vnd|| Weltliche Obrigkeit/ wider die|| offentliche Laster/ zu thun schuldig|| ist/ mit vnterscheidt beider|| Obrigkeit Ampt/|| vnd stra</t>
        </is>
      </c>
      <c r="O262" t="inlineStr">
        <is>
          <t xml:space="preserve"> : </t>
        </is>
      </c>
      <c r="P262" t="inlineStr">
        <is>
          <t>X</t>
        </is>
      </c>
      <c r="Q262" t="inlineStr"/>
      <c r="R262" t="inlineStr">
        <is>
          <t>Papier- oder Pappeinband</t>
        </is>
      </c>
      <c r="S262" t="inlineStr">
        <is>
          <t>bis 25 cm</t>
        </is>
      </c>
      <c r="T262" t="inlineStr">
        <is>
          <t>180°</t>
        </is>
      </c>
      <c r="U262" t="inlineStr"/>
      <c r="V262" t="inlineStr"/>
      <c r="W262" t="inlineStr">
        <is>
          <t>Mappe</t>
        </is>
      </c>
      <c r="X262" t="inlineStr">
        <is>
          <t>Ja</t>
        </is>
      </c>
      <c r="Y262" t="n">
        <v>0</v>
      </c>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inlineStr"/>
      <c r="BI262" t="inlineStr"/>
      <c r="BJ262" t="inlineStr"/>
      <c r="BK262" t="inlineStr"/>
      <c r="BL262" t="inlineStr"/>
      <c r="BM262" t="inlineStr"/>
      <c r="BN262" t="n">
        <v>0</v>
      </c>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c r="DC262" t="inlineStr"/>
      <c r="DD262" t="inlineStr"/>
      <c r="DE262" t="inlineStr"/>
      <c r="DF262" t="inlineStr"/>
      <c r="DG262" t="inlineStr"/>
    </row>
    <row r="263">
      <c r="A263" t="inlineStr">
        <is>
          <t>III</t>
        </is>
      </c>
      <c r="B263" t="b">
        <v>1</v>
      </c>
      <c r="C263" t="inlineStr"/>
      <c r="D263" t="inlineStr"/>
      <c r="E263" t="n">
        <v>310</v>
      </c>
      <c r="F263">
        <f>HYPERLINK("https://portal.dnb.de/opac.htm?method=simpleSearch&amp;cqlMode=true&amp;query=idn%3D1066962367", "Portal")</f>
        <v/>
      </c>
      <c r="G263" t="inlineStr">
        <is>
          <t>Aaf</t>
        </is>
      </c>
      <c r="H263" t="inlineStr">
        <is>
          <t>L-1560-315492740</t>
        </is>
      </c>
      <c r="I263" t="inlineStr">
        <is>
          <t>1066962367</t>
        </is>
      </c>
      <c r="J263" t="inlineStr">
        <is>
          <t>III 29, 3</t>
        </is>
      </c>
      <c r="K263" t="inlineStr">
        <is>
          <t>III 29, 3</t>
        </is>
      </c>
      <c r="L263" t="inlineStr">
        <is>
          <t>III 29, 3</t>
        </is>
      </c>
      <c r="M263" t="inlineStr"/>
      <c r="N263" t="inlineStr">
        <is>
          <t>Der @Jagteuffel/|| Bestendiger vnd Wolgegr#[ue]nd=||ter bericht/ wie fern die Jagten rechtmes=||sig/ vnd zugelassen. Vnd widerumb worin=||nen sie jtzi</t>
        </is>
      </c>
      <c r="O263" t="inlineStr">
        <is>
          <t xml:space="preserve"> : </t>
        </is>
      </c>
      <c r="P263" t="inlineStr">
        <is>
          <t>X</t>
        </is>
      </c>
      <c r="Q263" t="inlineStr"/>
      <c r="R263" t="inlineStr">
        <is>
          <t>Halbpergamentband, Schließen, erhabene Buchbeschläge</t>
        </is>
      </c>
      <c r="S263" t="inlineStr">
        <is>
          <t>bis 25 cm</t>
        </is>
      </c>
      <c r="T263" t="inlineStr">
        <is>
          <t>180°</t>
        </is>
      </c>
      <c r="U263" t="inlineStr">
        <is>
          <t>hohler Rücken, stark deformiertes Objekt</t>
        </is>
      </c>
      <c r="V263" t="inlineStr"/>
      <c r="W263" t="inlineStr">
        <is>
          <t>Buchschuh</t>
        </is>
      </c>
      <c r="X263" t="inlineStr">
        <is>
          <t>Nein</t>
        </is>
      </c>
      <c r="Y263" t="n">
        <v>1</v>
      </c>
      <c r="Z263" t="inlineStr"/>
      <c r="AA263" t="inlineStr"/>
      <c r="AB263" t="inlineStr"/>
      <c r="AC263" t="inlineStr"/>
      <c r="AD263" t="inlineStr"/>
      <c r="AE263" t="inlineStr"/>
      <c r="AF263" t="inlineStr"/>
      <c r="AG263" t="inlineStr"/>
      <c r="AH263" t="inlineStr"/>
      <c r="AI263" t="inlineStr">
        <is>
          <t>Pg (Mak.)</t>
        </is>
      </c>
      <c r="AJ263" t="inlineStr"/>
      <c r="AK263" t="inlineStr">
        <is>
          <t>x</t>
        </is>
      </c>
      <c r="AL263" t="inlineStr"/>
      <c r="AM263" t="inlineStr">
        <is>
          <t>h</t>
        </is>
      </c>
      <c r="AN263" t="inlineStr"/>
      <c r="AO263" t="inlineStr"/>
      <c r="AP263" t="inlineStr"/>
      <c r="AQ263" t="inlineStr"/>
      <c r="AR263" t="inlineStr"/>
      <c r="AS263" t="inlineStr">
        <is>
          <t>Pa</t>
        </is>
      </c>
      <c r="AT263" t="inlineStr"/>
      <c r="AU263" t="inlineStr"/>
      <c r="AV263" t="inlineStr"/>
      <c r="AW263" t="inlineStr"/>
      <c r="AX263" t="inlineStr"/>
      <c r="AY263" t="inlineStr"/>
      <c r="AZ263" t="inlineStr"/>
      <c r="BA263" t="inlineStr"/>
      <c r="BB263" t="inlineStr"/>
      <c r="BC263" t="inlineStr"/>
      <c r="BD263" t="inlineStr"/>
      <c r="BE263" t="inlineStr"/>
      <c r="BF263" t="inlineStr"/>
      <c r="BG263" t="n">
        <v>110</v>
      </c>
      <c r="BH263" t="inlineStr"/>
      <c r="BI263" t="inlineStr"/>
      <c r="BJ263" t="inlineStr"/>
      <c r="BK263" t="inlineStr"/>
      <c r="BL263" t="inlineStr"/>
      <c r="BM263" t="inlineStr">
        <is>
          <t>n</t>
        </is>
      </c>
      <c r="BN263" t="n">
        <v>0</v>
      </c>
      <c r="BO263" t="inlineStr"/>
      <c r="BP263" t="inlineStr"/>
      <c r="BQ263" t="inlineStr"/>
      <c r="BR263" t="inlineStr">
        <is>
          <t>x</t>
        </is>
      </c>
      <c r="BS263" t="inlineStr"/>
      <c r="BT263" t="inlineStr"/>
      <c r="BU263" t="inlineStr"/>
      <c r="BV263" t="inlineStr">
        <is>
          <t>Schaden ist stabil</t>
        </is>
      </c>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c r="DC263" t="inlineStr"/>
      <c r="DD263" t="inlineStr"/>
      <c r="DE263" t="inlineStr"/>
      <c r="DF263" t="inlineStr"/>
      <c r="DG263" t="inlineStr"/>
    </row>
    <row r="264">
      <c r="A264" t="inlineStr">
        <is>
          <t>III</t>
        </is>
      </c>
      <c r="B264" t="b">
        <v>1</v>
      </c>
      <c r="C264" t="inlineStr"/>
      <c r="D264" t="inlineStr"/>
      <c r="E264" t="n">
        <v>311</v>
      </c>
      <c r="F264">
        <f>HYPERLINK("https://portal.dnb.de/opac.htm?method=simpleSearch&amp;cqlMode=true&amp;query=idn%3D1000941396", "Portal")</f>
        <v/>
      </c>
      <c r="G264" t="inlineStr">
        <is>
          <t>Aal</t>
        </is>
      </c>
      <c r="H264" t="inlineStr">
        <is>
          <t>L-1554-171708245</t>
        </is>
      </c>
      <c r="I264" t="inlineStr">
        <is>
          <t>1000941396</t>
        </is>
      </c>
      <c r="J264" t="inlineStr">
        <is>
          <t>III 29, 4</t>
        </is>
      </c>
      <c r="K264" t="inlineStr">
        <is>
          <t>III 29, 4</t>
        </is>
      </c>
      <c r="L264" t="inlineStr">
        <is>
          <t>III 29, 4</t>
        </is>
      </c>
      <c r="M264" t="inlineStr"/>
      <c r="N264" t="inlineStr">
        <is>
          <t xml:space="preserve">Einer @Christlichen|| Ordination, form vnd wei=||se, vnd was darzu|| gehörig|| : </t>
        </is>
      </c>
      <c r="O264" t="inlineStr">
        <is>
          <t xml:space="preserve"> : </t>
        </is>
      </c>
      <c r="P264" t="inlineStr"/>
      <c r="Q264" t="inlineStr"/>
      <c r="R264" t="inlineStr">
        <is>
          <t>Halbpergamentband</t>
        </is>
      </c>
      <c r="S264" t="inlineStr">
        <is>
          <t>bis 25 cm</t>
        </is>
      </c>
      <c r="T264" t="inlineStr">
        <is>
          <t>180°</t>
        </is>
      </c>
      <c r="U264" t="inlineStr">
        <is>
          <t>hohler Rücken</t>
        </is>
      </c>
      <c r="V264" t="inlineStr"/>
      <c r="W264" t="inlineStr"/>
      <c r="X264" t="inlineStr"/>
      <c r="Y264" t="n">
        <v>0</v>
      </c>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inlineStr"/>
      <c r="BK264" t="inlineStr"/>
      <c r="BL264" t="inlineStr"/>
      <c r="BM264" t="inlineStr"/>
      <c r="BN264" t="n">
        <v>0</v>
      </c>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c r="DC264" t="inlineStr"/>
      <c r="DD264" t="inlineStr"/>
      <c r="DE264" t="inlineStr"/>
      <c r="DF264" t="inlineStr"/>
      <c r="DG264" t="inlineStr"/>
    </row>
    <row r="265">
      <c r="A265" t="inlineStr">
        <is>
          <t>III</t>
        </is>
      </c>
      <c r="B265" t="b">
        <v>1</v>
      </c>
      <c r="C265" t="inlineStr"/>
      <c r="D265" t="inlineStr"/>
      <c r="E265" t="n">
        <v>312</v>
      </c>
      <c r="F265">
        <f>HYPERLINK("https://portal.dnb.de/opac.htm?method=simpleSearch&amp;cqlMode=true&amp;query=idn%3D994116683", "Portal")</f>
        <v/>
      </c>
      <c r="G265" t="inlineStr">
        <is>
          <t>Aal</t>
        </is>
      </c>
      <c r="H265" t="inlineStr">
        <is>
          <t>L-1560-154524085</t>
        </is>
      </c>
      <c r="I265" t="inlineStr">
        <is>
          <t>994116683</t>
        </is>
      </c>
      <c r="J265" t="inlineStr">
        <is>
          <t>III 29, 5</t>
        </is>
      </c>
      <c r="K265" t="inlineStr">
        <is>
          <t>III 29, 5</t>
        </is>
      </c>
      <c r="L265" t="inlineStr">
        <is>
          <t>III 29, 5</t>
        </is>
      </c>
      <c r="M265" t="inlineStr"/>
      <c r="N265" t="inlineStr">
        <is>
          <t>Bekendtnis|| der Prediger in der|| Graffschafft Mansfelt, vnter|| den jungen Herren|| gesessen|| : Wider alle Secten, Rotten, vnd|| falsche Leren, wid</t>
        </is>
      </c>
      <c r="O265" t="inlineStr">
        <is>
          <t xml:space="preserve"> : </t>
        </is>
      </c>
      <c r="P265" t="inlineStr"/>
      <c r="Q265" t="inlineStr"/>
      <c r="R265" t="inlineStr">
        <is>
          <t>Ledereinband, Schließen, erhabene Buchbeschläge</t>
        </is>
      </c>
      <c r="S265" t="inlineStr">
        <is>
          <t>bis 25 cm</t>
        </is>
      </c>
      <c r="T265" t="inlineStr">
        <is>
          <t>80° bis 110°, einseitig digitalisierbar?</t>
        </is>
      </c>
      <c r="U265" t="inlineStr">
        <is>
          <t>welliger Buchblock</t>
        </is>
      </c>
      <c r="V265" t="inlineStr"/>
      <c r="W265" t="inlineStr"/>
      <c r="X265" t="inlineStr"/>
      <c r="Y265" t="n">
        <v>2</v>
      </c>
      <c r="Z265" t="inlineStr"/>
      <c r="AA265" t="inlineStr"/>
      <c r="AB265" t="inlineStr"/>
      <c r="AC265" t="inlineStr"/>
      <c r="AD265" t="inlineStr"/>
      <c r="AE265" t="inlineStr"/>
      <c r="AF265" t="inlineStr"/>
      <c r="AG265" t="inlineStr"/>
      <c r="AH265" t="inlineStr"/>
      <c r="AI265" t="inlineStr">
        <is>
          <t>HD</t>
        </is>
      </c>
      <c r="AJ265" t="inlineStr"/>
      <c r="AK265" t="inlineStr"/>
      <c r="AL265" t="inlineStr"/>
      <c r="AM265" t="inlineStr">
        <is>
          <t>f</t>
        </is>
      </c>
      <c r="AN265" t="inlineStr"/>
      <c r="AO265" t="inlineStr"/>
      <c r="AP265" t="inlineStr"/>
      <c r="AQ265" t="inlineStr"/>
      <c r="AR265" t="inlineStr"/>
      <c r="AS265" t="inlineStr">
        <is>
          <t>Pa</t>
        </is>
      </c>
      <c r="AT265" t="inlineStr"/>
      <c r="AU265" t="inlineStr"/>
      <c r="AV265" t="inlineStr"/>
      <c r="AW265" t="inlineStr"/>
      <c r="AX265" t="inlineStr"/>
      <c r="AY265" t="inlineStr"/>
      <c r="AZ265" t="inlineStr"/>
      <c r="BA265" t="inlineStr"/>
      <c r="BB265" t="inlineStr"/>
      <c r="BC265" t="inlineStr"/>
      <c r="BD265" t="inlineStr"/>
      <c r="BE265" t="inlineStr"/>
      <c r="BF265" t="inlineStr"/>
      <c r="BG265" t="n">
        <v>45</v>
      </c>
      <c r="BH265" t="inlineStr"/>
      <c r="BI265" t="inlineStr"/>
      <c r="BJ265" t="inlineStr"/>
      <c r="BK265" t="inlineStr"/>
      <c r="BL265" t="inlineStr"/>
      <c r="BM265" t="inlineStr">
        <is>
          <t>n</t>
        </is>
      </c>
      <c r="BN265" t="n">
        <v>0</v>
      </c>
      <c r="BO265" t="inlineStr"/>
      <c r="BP265" t="inlineStr"/>
      <c r="BQ265" t="inlineStr"/>
      <c r="BR265" t="inlineStr"/>
      <c r="BS265" t="inlineStr"/>
      <c r="BT265" t="inlineStr"/>
      <c r="BU265" t="inlineStr"/>
      <c r="BV265" t="inlineStr">
        <is>
          <t>Schaden ist stabil</t>
        </is>
      </c>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c r="DC265" t="inlineStr"/>
      <c r="DD265" t="inlineStr"/>
      <c r="DE265" t="inlineStr"/>
      <c r="DF265" t="inlineStr"/>
      <c r="DG265" t="inlineStr"/>
    </row>
    <row r="266">
      <c r="A266" t="inlineStr">
        <is>
          <t>III</t>
        </is>
      </c>
      <c r="B266" t="b">
        <v>1</v>
      </c>
      <c r="C266" t="inlineStr"/>
      <c r="D266" t="inlineStr"/>
      <c r="E266" t="n">
        <v>313</v>
      </c>
      <c r="F266">
        <f>HYPERLINK("https://portal.dnb.de/opac.htm?method=simpleSearch&amp;cqlMode=true&amp;query=idn%3D1066962855", "Portal")</f>
        <v/>
      </c>
      <c r="G266" t="inlineStr">
        <is>
          <t>Aaf</t>
        </is>
      </c>
      <c r="H266" t="inlineStr">
        <is>
          <t>L-1514-315493143</t>
        </is>
      </c>
      <c r="I266" t="inlineStr">
        <is>
          <t>1066962855</t>
        </is>
      </c>
      <c r="J266" t="inlineStr">
        <is>
          <t>III 30, 1</t>
        </is>
      </c>
      <c r="K266" t="inlineStr">
        <is>
          <t>III 30, 1</t>
        </is>
      </c>
      <c r="L266" t="inlineStr">
        <is>
          <t>III 30, 1</t>
        </is>
      </c>
      <c r="M266" t="inlineStr"/>
      <c r="N266" t="inlineStr">
        <is>
          <t>Summa in totã phy||sicen: hoc est philosophiam naturalem|| conformiter siquidem vere sophie: que est Theologia|| per. D. Judocum Jsennachceñ in gymnas</t>
        </is>
      </c>
      <c r="O266" t="inlineStr">
        <is>
          <t xml:space="preserve"> : </t>
        </is>
      </c>
      <c r="P266" t="inlineStr">
        <is>
          <t>X</t>
        </is>
      </c>
      <c r="Q266" t="inlineStr"/>
      <c r="R266" t="inlineStr">
        <is>
          <t>Pergamentband</t>
        </is>
      </c>
      <c r="S266" t="inlineStr">
        <is>
          <t>bis 25 cm</t>
        </is>
      </c>
      <c r="T266" t="inlineStr">
        <is>
          <t>80° bis 110°, einseitig digitalisierbar?</t>
        </is>
      </c>
      <c r="U266" t="inlineStr">
        <is>
          <t>hohler Rücken</t>
        </is>
      </c>
      <c r="V266" t="inlineStr"/>
      <c r="W266" t="inlineStr"/>
      <c r="X266" t="inlineStr"/>
      <c r="Y266" t="n">
        <v>0</v>
      </c>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inlineStr"/>
      <c r="BK266" t="inlineStr"/>
      <c r="BL266" t="inlineStr"/>
      <c r="BM266" t="inlineStr"/>
      <c r="BN266" t="n">
        <v>0</v>
      </c>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c r="DC266" t="inlineStr"/>
      <c r="DD266" t="inlineStr"/>
      <c r="DE266" t="inlineStr"/>
      <c r="DF266" t="inlineStr"/>
      <c r="DG266" t="inlineStr"/>
    </row>
    <row r="267">
      <c r="A267" t="inlineStr">
        <is>
          <t>III</t>
        </is>
      </c>
      <c r="B267" t="b">
        <v>1</v>
      </c>
      <c r="C267" t="inlineStr"/>
      <c r="D267" t="inlineStr"/>
      <c r="E267" t="n">
        <v>317</v>
      </c>
      <c r="F267">
        <f>HYPERLINK("https://portal.dnb.de/opac.htm?method=simpleSearch&amp;cqlMode=true&amp;query=idn%3D995212651", "Portal")</f>
        <v/>
      </c>
      <c r="G267" t="inlineStr">
        <is>
          <t>Aal</t>
        </is>
      </c>
      <c r="H267" t="inlineStr">
        <is>
          <t>L-1519-158978161</t>
        </is>
      </c>
      <c r="I267" t="inlineStr">
        <is>
          <t>995212651</t>
        </is>
      </c>
      <c r="J267" t="inlineStr">
        <is>
          <t>III 30, 1 a</t>
        </is>
      </c>
      <c r="K267" t="inlineStr">
        <is>
          <t>III 30, 1 a</t>
        </is>
      </c>
      <c r="L267" t="inlineStr">
        <is>
          <t>III 30, 1 a</t>
        </is>
      </c>
      <c r="M267" t="inlineStr"/>
      <c r="N267" t="inlineStr">
        <is>
          <t xml:space="preserve">Disputatio|| excellentium : </t>
        </is>
      </c>
      <c r="O267" t="inlineStr">
        <is>
          <t xml:space="preserve"> : </t>
        </is>
      </c>
      <c r="P267" t="inlineStr"/>
      <c r="Q267" t="inlineStr"/>
      <c r="R267" t="inlineStr">
        <is>
          <t>Pergamentband, Broschur</t>
        </is>
      </c>
      <c r="S267" t="inlineStr">
        <is>
          <t>bis 25 cm</t>
        </is>
      </c>
      <c r="T267" t="inlineStr">
        <is>
          <t>80° bis 110°, einseitig digitalisierbar?</t>
        </is>
      </c>
      <c r="U267" t="inlineStr"/>
      <c r="V267" t="inlineStr"/>
      <c r="W267" t="inlineStr">
        <is>
          <t>Kassette</t>
        </is>
      </c>
      <c r="X267" t="inlineStr">
        <is>
          <t>Nein</t>
        </is>
      </c>
      <c r="Y267" t="n">
        <v>1</v>
      </c>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c r="BD267" t="inlineStr"/>
      <c r="BE267" t="inlineStr"/>
      <c r="BF267" t="inlineStr"/>
      <c r="BG267" t="inlineStr"/>
      <c r="BH267" t="inlineStr"/>
      <c r="BI267" t="inlineStr"/>
      <c r="BJ267" t="inlineStr"/>
      <c r="BK267" t="inlineStr"/>
      <c r="BL267" t="inlineStr"/>
      <c r="BM267" t="inlineStr"/>
      <c r="BN267" t="n">
        <v>0</v>
      </c>
      <c r="BO267" t="inlineStr"/>
      <c r="BP267" t="inlineStr"/>
      <c r="BQ267" t="inlineStr"/>
      <c r="BR267" t="inlineStr"/>
      <c r="BS267" t="inlineStr"/>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inlineStr"/>
      <c r="DB267" t="inlineStr"/>
      <c r="DC267" t="inlineStr"/>
      <c r="DD267" t="inlineStr"/>
      <c r="DE267" t="inlineStr"/>
      <c r="DF267" t="inlineStr"/>
      <c r="DG267" t="inlineStr"/>
    </row>
    <row r="268">
      <c r="A268" t="inlineStr">
        <is>
          <t>III</t>
        </is>
      </c>
      <c r="B268" t="b">
        <v>1</v>
      </c>
      <c r="C268" t="inlineStr"/>
      <c r="D268" t="inlineStr"/>
      <c r="E268" t="n">
        <v>318</v>
      </c>
      <c r="F268">
        <f>HYPERLINK("https://portal.dnb.de/opac.htm?method=simpleSearch&amp;cqlMode=true&amp;query=idn%3D995212384", "Portal")</f>
        <v/>
      </c>
      <c r="G268" t="inlineStr">
        <is>
          <t>Aal</t>
        </is>
      </c>
      <c r="H268" t="inlineStr">
        <is>
          <t>L-1519-158977858</t>
        </is>
      </c>
      <c r="I268" t="inlineStr">
        <is>
          <t>995212384</t>
        </is>
      </c>
      <c r="J268" t="inlineStr">
        <is>
          <t>III 30, 1 b</t>
        </is>
      </c>
      <c r="K268" t="inlineStr">
        <is>
          <t>III 30, 1 b</t>
        </is>
      </c>
      <c r="L268" t="inlineStr">
        <is>
          <t>III 30, 1 b</t>
        </is>
      </c>
      <c r="M268" t="inlineStr"/>
      <c r="N268" t="inlineStr">
        <is>
          <t>Disputatio|| excellentium : D. doctor[um] Iohannis Eccij &amp;|| Andree Carolostadij q[uae] cepta est Lipsie|| XXVII. Iunij an M.D.XIX</t>
        </is>
      </c>
      <c r="O268" t="inlineStr">
        <is>
          <t xml:space="preserve"> : </t>
        </is>
      </c>
      <c r="P268" t="inlineStr">
        <is>
          <t>X</t>
        </is>
      </c>
      <c r="Q268" t="inlineStr"/>
      <c r="R268" t="inlineStr">
        <is>
          <t>Halbledereinband</t>
        </is>
      </c>
      <c r="S268" t="inlineStr">
        <is>
          <t>bis 25 cm</t>
        </is>
      </c>
      <c r="T268" t="inlineStr">
        <is>
          <t>80° bis 110°, einseitig digitalisierbar?</t>
        </is>
      </c>
      <c r="U268" t="inlineStr">
        <is>
          <t>hohler Rücken, stark brüchiges Einbandmaterial</t>
        </is>
      </c>
      <c r="V268" t="inlineStr"/>
      <c r="W268" t="inlineStr"/>
      <c r="X268" t="inlineStr"/>
      <c r="Y268" t="n">
        <v>3</v>
      </c>
      <c r="Z268" t="inlineStr"/>
      <c r="AA268" t="inlineStr"/>
      <c r="AB268" t="inlineStr"/>
      <c r="AC268" t="inlineStr"/>
      <c r="AD268" t="inlineStr"/>
      <c r="AE268" t="inlineStr"/>
      <c r="AF268" t="inlineStr"/>
      <c r="AG268" t="inlineStr"/>
      <c r="AH268" t="inlineStr"/>
      <c r="AI268" t="inlineStr">
        <is>
          <t>HL</t>
        </is>
      </c>
      <c r="AJ268" t="inlineStr"/>
      <c r="AK268" t="inlineStr"/>
      <c r="AL268" t="inlineStr"/>
      <c r="AM268" t="inlineStr">
        <is>
          <t>h/E</t>
        </is>
      </c>
      <c r="AN268" t="inlineStr"/>
      <c r="AO268" t="inlineStr">
        <is>
          <t>x</t>
        </is>
      </c>
      <c r="AP268" t="inlineStr"/>
      <c r="AQ268" t="inlineStr"/>
      <c r="AR268" t="inlineStr"/>
      <c r="AS268" t="inlineStr">
        <is>
          <t>Pa</t>
        </is>
      </c>
      <c r="AT268" t="inlineStr">
        <is>
          <t>x</t>
        </is>
      </c>
      <c r="AU268" t="inlineStr"/>
      <c r="AV268" t="inlineStr"/>
      <c r="AW268" t="inlineStr"/>
      <c r="AX268" t="inlineStr"/>
      <c r="AY268" t="inlineStr"/>
      <c r="AZ268" t="inlineStr"/>
      <c r="BA268" t="inlineStr"/>
      <c r="BB268" t="inlineStr"/>
      <c r="BC268" t="inlineStr"/>
      <c r="BD268" t="inlineStr"/>
      <c r="BE268" t="inlineStr"/>
      <c r="BF268" t="inlineStr"/>
      <c r="BG268" t="n">
        <v>110</v>
      </c>
      <c r="BH268" t="inlineStr"/>
      <c r="BI268" t="inlineStr"/>
      <c r="BJ268" t="inlineStr"/>
      <c r="BK268" t="inlineStr"/>
      <c r="BL268" t="inlineStr">
        <is>
          <t>x</t>
        </is>
      </c>
      <c r="BM268" t="inlineStr">
        <is>
          <t>n</t>
        </is>
      </c>
      <c r="BN268" t="n">
        <v>0</v>
      </c>
      <c r="BO268" t="inlineStr"/>
      <c r="BP268" t="inlineStr"/>
      <c r="BQ268" t="inlineStr"/>
      <c r="BR268" t="inlineStr"/>
      <c r="BS268" t="inlineStr"/>
      <c r="BT268" t="inlineStr"/>
      <c r="BU268" t="inlineStr"/>
      <c r="BV268" t="inlineStr"/>
      <c r="BW268" t="inlineStr"/>
      <c r="BX268" t="inlineStr"/>
      <c r="BY268" t="inlineStr">
        <is>
          <t>Umschlag (Leder pudert)</t>
        </is>
      </c>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c r="DC268" t="inlineStr"/>
      <c r="DD268" t="inlineStr"/>
      <c r="DE268" t="inlineStr"/>
      <c r="DF268" t="inlineStr"/>
      <c r="DG268" t="inlineStr"/>
    </row>
    <row r="269">
      <c r="A269" t="inlineStr">
        <is>
          <t>III</t>
        </is>
      </c>
      <c r="B269" t="b">
        <v>1</v>
      </c>
      <c r="C269" t="inlineStr"/>
      <c r="D269" t="inlineStr"/>
      <c r="E269" t="inlineStr"/>
      <c r="F269">
        <f>HYPERLINK("https://portal.dnb.de/opac.htm?method=simpleSearch&amp;cqlMode=true&amp;query=idn%3D1138242128", "Portal")</f>
        <v/>
      </c>
      <c r="G269" t="inlineStr">
        <is>
          <t>Qd</t>
        </is>
      </c>
      <c r="H269" t="inlineStr">
        <is>
          <t>L-9999-41474702X</t>
        </is>
      </c>
      <c r="I269" t="inlineStr">
        <is>
          <t>1138242128</t>
        </is>
      </c>
      <c r="J269" t="inlineStr">
        <is>
          <t>III 30, 2</t>
        </is>
      </c>
      <c r="K269" t="inlineStr">
        <is>
          <t>III 30, 2</t>
        </is>
      </c>
      <c r="L269" t="inlineStr">
        <is>
          <t>III 30, 2</t>
        </is>
      </c>
      <c r="M269" t="inlineStr"/>
      <c r="N269" t="inlineStr">
        <is>
          <t xml:space="preserve">Sammelband mit "Füllmaterial" : </t>
        </is>
      </c>
      <c r="O269" t="inlineStr">
        <is>
          <t xml:space="preserve"> : </t>
        </is>
      </c>
      <c r="P269" t="inlineStr"/>
      <c r="Q269" t="inlineStr"/>
      <c r="R269" t="inlineStr"/>
      <c r="S269" t="inlineStr"/>
      <c r="T269" t="inlineStr"/>
      <c r="U269" t="inlineStr"/>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inlineStr"/>
      <c r="BI269" t="inlineStr"/>
      <c r="BJ269" t="inlineStr"/>
      <c r="BK269" t="inlineStr"/>
      <c r="BL269" t="inlineStr"/>
      <c r="BM269" t="inlineStr"/>
      <c r="BN269" t="n">
        <v>0</v>
      </c>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c r="DC269" t="inlineStr"/>
      <c r="DD269" t="inlineStr"/>
      <c r="DE269" t="inlineStr"/>
      <c r="DF269" t="inlineStr"/>
      <c r="DG269" t="inlineStr"/>
    </row>
    <row r="270">
      <c r="A270" t="inlineStr">
        <is>
          <t>III</t>
        </is>
      </c>
      <c r="B270" t="b">
        <v>1</v>
      </c>
      <c r="C270" t="inlineStr"/>
      <c r="D270" t="inlineStr"/>
      <c r="E270" t="n">
        <v>322</v>
      </c>
      <c r="F270">
        <f>HYPERLINK("https://portal.dnb.de/opac.htm?method=simpleSearch&amp;cqlMode=true&amp;query=idn%3D996820817", "Portal")</f>
        <v/>
      </c>
      <c r="G270" t="inlineStr">
        <is>
          <t>Aal</t>
        </is>
      </c>
      <c r="H270" t="inlineStr">
        <is>
          <t>L-1522-162909306</t>
        </is>
      </c>
      <c r="I270" t="inlineStr">
        <is>
          <t>996820817</t>
        </is>
      </c>
      <c r="J270" t="inlineStr">
        <is>
          <t>III 30, 2 a</t>
        </is>
      </c>
      <c r="K270" t="inlineStr">
        <is>
          <t>III 30, 2 a</t>
        </is>
      </c>
      <c r="L270" t="inlineStr">
        <is>
          <t>III 30, 2 a</t>
        </is>
      </c>
      <c r="M270" t="inlineStr"/>
      <c r="N270" t="inlineStr">
        <is>
          <t>Eyn @selig New iar|| von newen vñ alten|| gezceydten. Nyemandt|| beschwerlich : Me||nigklich troest||lich wye|| dann|| ann yem|| selbst luestig ; Alsz</t>
        </is>
      </c>
      <c r="O270" t="inlineStr">
        <is>
          <t xml:space="preserve"> : </t>
        </is>
      </c>
      <c r="P270" t="inlineStr"/>
      <c r="Q270" t="inlineStr"/>
      <c r="R270" t="inlineStr">
        <is>
          <t>Halbpergamentband</t>
        </is>
      </c>
      <c r="S270" t="inlineStr">
        <is>
          <t>bis 25 cm</t>
        </is>
      </c>
      <c r="T270" t="inlineStr">
        <is>
          <t>180°</t>
        </is>
      </c>
      <c r="U270" t="inlineStr">
        <is>
          <t>hohler Rücken</t>
        </is>
      </c>
      <c r="V270" t="inlineStr"/>
      <c r="W270" t="inlineStr"/>
      <c r="X270" t="inlineStr"/>
      <c r="Y270" t="n">
        <v>0</v>
      </c>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inlineStr"/>
      <c r="BI270" t="inlineStr"/>
      <c r="BJ270" t="inlineStr"/>
      <c r="BK270" t="inlineStr"/>
      <c r="BL270" t="inlineStr"/>
      <c r="BM270" t="inlineStr"/>
      <c r="BN270" t="n">
        <v>0</v>
      </c>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c r="DC270" t="inlineStr"/>
      <c r="DD270" t="inlineStr"/>
      <c r="DE270" t="inlineStr"/>
      <c r="DF270" t="inlineStr"/>
      <c r="DG270" t="inlineStr"/>
    </row>
    <row r="271">
      <c r="A271" t="inlineStr">
        <is>
          <t>III</t>
        </is>
      </c>
      <c r="B271" t="b">
        <v>1</v>
      </c>
      <c r="C271" t="inlineStr"/>
      <c r="D271" t="inlineStr"/>
      <c r="E271" t="n">
        <v>315</v>
      </c>
      <c r="F271">
        <f>HYPERLINK("https://portal.dnb.de/opac.htm?method=simpleSearch&amp;cqlMode=true&amp;query=idn%3D1066936013", "Portal")</f>
        <v/>
      </c>
      <c r="G271" t="inlineStr">
        <is>
          <t>Aaf</t>
        </is>
      </c>
      <c r="H271" t="inlineStr">
        <is>
          <t>L-1546-315463899</t>
        </is>
      </c>
      <c r="I271" t="inlineStr">
        <is>
          <t>1066936013</t>
        </is>
      </c>
      <c r="J271" t="inlineStr">
        <is>
          <t>III 30, 3</t>
        </is>
      </c>
      <c r="K271" t="inlineStr">
        <is>
          <t>III 30, 3</t>
        </is>
      </c>
      <c r="L271" t="inlineStr">
        <is>
          <t>III 30, 3</t>
        </is>
      </c>
      <c r="M271" t="inlineStr"/>
      <c r="N271" t="inlineStr">
        <is>
          <t>Ein @erbermlich|| geschicht/ wie ein Spaniöli=||scher/ vnd Rhömischer Doc=||tor/ vmb des Euange=||lions willen/ seinen|| leiblichen bruder|| ermordt h</t>
        </is>
      </c>
      <c r="O271" t="inlineStr">
        <is>
          <t xml:space="preserve"> : </t>
        </is>
      </c>
      <c r="P271" t="inlineStr">
        <is>
          <t>X</t>
        </is>
      </c>
      <c r="Q271" t="inlineStr"/>
      <c r="R271" t="inlineStr">
        <is>
          <t>Gewebeeinband</t>
        </is>
      </c>
      <c r="S271" t="inlineStr">
        <is>
          <t>bis 25 cm</t>
        </is>
      </c>
      <c r="T271" t="inlineStr">
        <is>
          <t>180°</t>
        </is>
      </c>
      <c r="U271" t="inlineStr">
        <is>
          <t>hohler Rücken</t>
        </is>
      </c>
      <c r="V271" t="inlineStr"/>
      <c r="W271" t="inlineStr"/>
      <c r="X271" t="inlineStr"/>
      <c r="Y271" t="n">
        <v>0</v>
      </c>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inlineStr"/>
      <c r="BI271" t="inlineStr"/>
      <c r="BJ271" t="inlineStr"/>
      <c r="BK271" t="inlineStr"/>
      <c r="BL271" t="inlineStr"/>
      <c r="BM271" t="inlineStr"/>
      <c r="BN271" t="n">
        <v>0</v>
      </c>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c r="DC271" t="inlineStr"/>
      <c r="DD271" t="inlineStr"/>
      <c r="DE271" t="inlineStr"/>
      <c r="DF271" t="inlineStr"/>
      <c r="DG271" t="inlineStr"/>
    </row>
    <row r="272">
      <c r="A272" t="inlineStr">
        <is>
          <t>III</t>
        </is>
      </c>
      <c r="B272" t="b">
        <v>1</v>
      </c>
      <c r="C272" t="inlineStr"/>
      <c r="D272" t="inlineStr"/>
      <c r="E272" t="n">
        <v>316</v>
      </c>
      <c r="F272">
        <f>HYPERLINK("https://portal.dnb.de/opac.htm?method=simpleSearch&amp;cqlMode=true&amp;query=idn%3D997856971", "Portal")</f>
        <v/>
      </c>
      <c r="G272" t="inlineStr">
        <is>
          <t>Aal</t>
        </is>
      </c>
      <c r="H272" t="inlineStr">
        <is>
          <t>L-1523-165118105</t>
        </is>
      </c>
      <c r="I272" t="inlineStr">
        <is>
          <t>997856971</t>
        </is>
      </c>
      <c r="J272" t="inlineStr">
        <is>
          <t>III 30, 4</t>
        </is>
      </c>
      <c r="K272" t="inlineStr">
        <is>
          <t>III 30, 4</t>
        </is>
      </c>
      <c r="L272" t="inlineStr">
        <is>
          <t>III 30, 4</t>
        </is>
      </c>
      <c r="M272" t="inlineStr"/>
      <c r="N272" t="inlineStr">
        <is>
          <t>Eyn @Sermon [Lucas 21, 33] wid=||der des Bapsts Kuechen predy=||ger zu Vlm, die dan geprediget vnnd|| gelogen haben, der Bapst vnd pre=||laten mogen d</t>
        </is>
      </c>
      <c r="O272" t="inlineStr">
        <is>
          <t xml:space="preserve"> : </t>
        </is>
      </c>
      <c r="P272" t="inlineStr"/>
      <c r="Q272" t="inlineStr"/>
      <c r="R272" t="inlineStr">
        <is>
          <t>Papier- oder Pappeinband</t>
        </is>
      </c>
      <c r="S272" t="inlineStr">
        <is>
          <t>bis 25 cm</t>
        </is>
      </c>
      <c r="T272" t="inlineStr">
        <is>
          <t>80° bis 110°, einseitig digitalisierbar?</t>
        </is>
      </c>
      <c r="U272" t="inlineStr">
        <is>
          <t>hohler Rücken</t>
        </is>
      </c>
      <c r="V272" t="inlineStr"/>
      <c r="W272" t="inlineStr"/>
      <c r="X272" t="inlineStr"/>
      <c r="Y272" t="n">
        <v>0</v>
      </c>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inlineStr"/>
      <c r="BI272" t="inlineStr"/>
      <c r="BJ272" t="inlineStr"/>
      <c r="BK272" t="inlineStr"/>
      <c r="BL272" t="inlineStr"/>
      <c r="BM272" t="inlineStr"/>
      <c r="BN272" t="n">
        <v>0</v>
      </c>
      <c r="BO272" t="inlineStr"/>
      <c r="BP272" t="inlineStr"/>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c r="DB272" t="inlineStr"/>
      <c r="DC272" t="inlineStr"/>
      <c r="DD272" t="inlineStr"/>
      <c r="DE272" t="inlineStr"/>
      <c r="DF272" t="inlineStr"/>
      <c r="DG272" t="inlineStr"/>
    </row>
    <row r="273">
      <c r="A273" t="inlineStr">
        <is>
          <t>III</t>
        </is>
      </c>
      <c r="B273" t="b">
        <v>1</v>
      </c>
      <c r="C273" t="inlineStr"/>
      <c r="D273" t="inlineStr"/>
      <c r="E273" t="n">
        <v>323</v>
      </c>
      <c r="F273">
        <f>HYPERLINK("https://portal.dnb.de/opac.htm?method=simpleSearch&amp;cqlMode=true&amp;query=idn%3D1066962987", "Portal")</f>
        <v/>
      </c>
      <c r="G273" t="inlineStr">
        <is>
          <t>Aaf</t>
        </is>
      </c>
      <c r="H273" t="inlineStr">
        <is>
          <t>L-1532-315493259</t>
        </is>
      </c>
      <c r="I273" t="inlineStr">
        <is>
          <t>1066962987</t>
        </is>
      </c>
      <c r="J273" t="inlineStr">
        <is>
          <t>III 31, 1</t>
        </is>
      </c>
      <c r="K273" t="inlineStr">
        <is>
          <t>III 31, 1</t>
        </is>
      </c>
      <c r="L273" t="inlineStr">
        <is>
          <t>III 31, 1</t>
        </is>
      </c>
      <c r="M273" t="inlineStr"/>
      <c r="N273" t="inlineStr">
        <is>
          <t>NOVA ME=||DICINAE METHODVS,|| nunc primu &amp; condita &amp; aedita,|| ex Mathematica ratione mor||bos Curandi. Ioanne Has||furto Virdungo, Me=||dico &amp; Astrol</t>
        </is>
      </c>
      <c r="O273" t="inlineStr">
        <is>
          <t xml:space="preserve"> : </t>
        </is>
      </c>
      <c r="P273" t="inlineStr">
        <is>
          <t>X</t>
        </is>
      </c>
      <c r="Q273" t="inlineStr"/>
      <c r="R273" t="inlineStr">
        <is>
          <t>Halbledereinband, Schließen, erhabene Buchbeschläge</t>
        </is>
      </c>
      <c r="S273" t="inlineStr">
        <is>
          <t>bis 25 cm</t>
        </is>
      </c>
      <c r="T273" t="inlineStr">
        <is>
          <t>180°</t>
        </is>
      </c>
      <c r="U273" t="inlineStr">
        <is>
          <t>hohler Rücken, Schrift bis in den Falz, stark brüchiges Einbandmaterial</t>
        </is>
      </c>
      <c r="V273" t="inlineStr"/>
      <c r="W273" t="inlineStr">
        <is>
          <t>Buchschuh</t>
        </is>
      </c>
      <c r="X273" t="inlineStr">
        <is>
          <t>Nein</t>
        </is>
      </c>
      <c r="Y273" t="n">
        <v>3</v>
      </c>
      <c r="Z273" t="inlineStr"/>
      <c r="AA273" t="inlineStr"/>
      <c r="AB273" t="inlineStr"/>
      <c r="AC273" t="inlineStr"/>
      <c r="AD273" t="inlineStr"/>
      <c r="AE273" t="inlineStr"/>
      <c r="AF273" t="inlineStr"/>
      <c r="AG273" t="inlineStr"/>
      <c r="AH273" t="inlineStr"/>
      <c r="AI273" t="inlineStr">
        <is>
          <t>HL</t>
        </is>
      </c>
      <c r="AJ273" t="inlineStr"/>
      <c r="AK273" t="inlineStr">
        <is>
          <t>x</t>
        </is>
      </c>
      <c r="AL273" t="inlineStr"/>
      <c r="AM273" t="inlineStr">
        <is>
          <t>h/E</t>
        </is>
      </c>
      <c r="AN273" t="inlineStr"/>
      <c r="AO273" t="inlineStr">
        <is>
          <t>x</t>
        </is>
      </c>
      <c r="AP273" t="inlineStr"/>
      <c r="AQ273" t="inlineStr"/>
      <c r="AR273" t="inlineStr"/>
      <c r="AS273" t="inlineStr">
        <is>
          <t>Pa</t>
        </is>
      </c>
      <c r="AT273" t="inlineStr"/>
      <c r="AU273" t="inlineStr"/>
      <c r="AV273" t="inlineStr"/>
      <c r="AW273" t="inlineStr"/>
      <c r="AX273" t="inlineStr"/>
      <c r="AY273" t="inlineStr"/>
      <c r="AZ273" t="inlineStr"/>
      <c r="BA273" t="inlineStr"/>
      <c r="BB273" t="inlineStr"/>
      <c r="BC273" t="inlineStr"/>
      <c r="BD273" t="inlineStr"/>
      <c r="BE273" t="inlineStr"/>
      <c r="BF273" t="inlineStr"/>
      <c r="BG273" t="n">
        <v>110</v>
      </c>
      <c r="BH273" t="inlineStr"/>
      <c r="BI273" t="inlineStr"/>
      <c r="BJ273" t="inlineStr"/>
      <c r="BK273" t="inlineStr"/>
      <c r="BL273" t="inlineStr"/>
      <c r="BM273" t="inlineStr">
        <is>
          <t>n</t>
        </is>
      </c>
      <c r="BN273" t="n">
        <v>0</v>
      </c>
      <c r="BO273" t="inlineStr"/>
      <c r="BP273" t="inlineStr"/>
      <c r="BQ273" t="inlineStr"/>
      <c r="BR273" t="inlineStr">
        <is>
          <t>x</t>
        </is>
      </c>
      <c r="BS273" t="inlineStr"/>
      <c r="BT273" t="inlineStr"/>
      <c r="BU273" t="inlineStr"/>
      <c r="BV273" t="inlineStr"/>
      <c r="BW273" t="inlineStr"/>
      <c r="BX273" t="inlineStr"/>
      <c r="BY273" t="inlineStr">
        <is>
          <t>Umschlag (Leder pudert) Umschlag ist bereits angefertigt (in Zshg. mit der Entwicklung des Umschlages)</t>
        </is>
      </c>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c r="DB273" t="inlineStr"/>
      <c r="DC273" t="inlineStr"/>
      <c r="DD273" t="inlineStr"/>
      <c r="DE273" t="inlineStr"/>
      <c r="DF273" t="inlineStr"/>
      <c r="DG273" t="inlineStr"/>
    </row>
    <row r="274">
      <c r="A274" t="inlineStr">
        <is>
          <t>III</t>
        </is>
      </c>
      <c r="B274" t="b">
        <v>1</v>
      </c>
      <c r="C274" t="inlineStr"/>
      <c r="D274" t="inlineStr"/>
      <c r="E274" t="inlineStr"/>
      <c r="F274">
        <f>HYPERLINK("https://portal.dnb.de/opac.htm?method=simpleSearch&amp;cqlMode=true&amp;query=idn%3D1137649518", "Portal")</f>
        <v/>
      </c>
      <c r="G274" t="inlineStr">
        <is>
          <t>Qd</t>
        </is>
      </c>
      <c r="H274" t="inlineStr">
        <is>
          <t>L-9999-413796930</t>
        </is>
      </c>
      <c r="I274" t="inlineStr">
        <is>
          <t>1137649518</t>
        </is>
      </c>
      <c r="J274" t="inlineStr">
        <is>
          <t>III 32, 1</t>
        </is>
      </c>
      <c r="K274" t="inlineStr">
        <is>
          <t>III 32, 1</t>
        </is>
      </c>
      <c r="L274" t="inlineStr">
        <is>
          <t>III 32, 1</t>
        </is>
      </c>
      <c r="M274" t="inlineStr"/>
      <c r="N274" t="inlineStr">
        <is>
          <t xml:space="preserve">Sammelband mit "Füllmaterial" : </t>
        </is>
      </c>
      <c r="O274" t="inlineStr">
        <is>
          <t xml:space="preserve"> : </t>
        </is>
      </c>
      <c r="P274" t="inlineStr">
        <is>
          <t>X</t>
        </is>
      </c>
      <c r="Q274" t="inlineStr"/>
      <c r="R274" t="inlineStr">
        <is>
          <t>Gewebeeinband, Schließen, erhabene Buchbeschläge</t>
        </is>
      </c>
      <c r="S274" t="inlineStr">
        <is>
          <t>bis 25 cm</t>
        </is>
      </c>
      <c r="T274" t="inlineStr">
        <is>
          <t>80° bis 110°, einseitig digitalisierbar?</t>
        </is>
      </c>
      <c r="U274" t="inlineStr">
        <is>
          <t>hohler Rücken</t>
        </is>
      </c>
      <c r="V274" t="inlineStr"/>
      <c r="W274" t="inlineStr">
        <is>
          <t>Buchschuh</t>
        </is>
      </c>
      <c r="X274" t="inlineStr">
        <is>
          <t>Nein</t>
        </is>
      </c>
      <c r="Y274" t="n">
        <v>0</v>
      </c>
      <c r="Z274" t="inlineStr"/>
      <c r="AA274" t="inlineStr"/>
      <c r="AB274" t="inlineStr"/>
      <c r="AC274" t="inlineStr"/>
      <c r="AD274" t="inlineStr"/>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c r="BB274" t="inlineStr"/>
      <c r="BC274" t="inlineStr"/>
      <c r="BD274" t="inlineStr"/>
      <c r="BE274" t="inlineStr"/>
      <c r="BF274" t="inlineStr"/>
      <c r="BG274" t="inlineStr"/>
      <c r="BH274" t="inlineStr"/>
      <c r="BI274" t="inlineStr"/>
      <c r="BJ274" t="inlineStr"/>
      <c r="BK274" t="inlineStr"/>
      <c r="BL274" t="inlineStr"/>
      <c r="BM274" t="inlineStr"/>
      <c r="BN274" t="n">
        <v>0</v>
      </c>
      <c r="BO274" t="inlineStr"/>
      <c r="BP274" t="inlineStr"/>
      <c r="BQ274" t="inlineStr"/>
      <c r="BR274" t="inlineStr"/>
      <c r="BS274" t="inlineStr"/>
      <c r="BT274" t="inlineStr"/>
      <c r="BU274" t="inlineStr"/>
      <c r="BV274" t="inlineStr"/>
      <c r="BW274" t="inlineStr"/>
      <c r="BX274" t="inlineStr"/>
      <c r="BY274" t="inlineStr"/>
      <c r="BZ274" t="inlineStr"/>
      <c r="CA274" t="inlineStr"/>
      <c r="CB274" t="inlineStr"/>
      <c r="CC274" t="inlineStr"/>
      <c r="CD274" t="inlineStr"/>
      <c r="CE274" t="inlineStr"/>
      <c r="CF274" t="inlineStr"/>
      <c r="CG274" t="inlineStr"/>
      <c r="CH274" t="inlineStr"/>
      <c r="CI274" t="inlineStr"/>
      <c r="CJ274" t="inlineStr"/>
      <c r="CK274" t="inlineStr"/>
      <c r="CL274" t="inlineStr"/>
      <c r="CM274" t="inlineStr"/>
      <c r="CN274" t="inlineStr"/>
      <c r="CO274" t="inlineStr"/>
      <c r="CP274" t="inlineStr"/>
      <c r="CQ274" t="inlineStr"/>
      <c r="CR274" t="inlineStr"/>
      <c r="CS274" t="inlineStr"/>
      <c r="CT274" t="inlineStr"/>
      <c r="CU274" t="inlineStr"/>
      <c r="CV274" t="inlineStr"/>
      <c r="CW274" t="inlineStr"/>
      <c r="CX274" t="inlineStr"/>
      <c r="CY274" t="inlineStr"/>
      <c r="CZ274" t="inlineStr"/>
      <c r="DA274" t="inlineStr"/>
      <c r="DB274" t="inlineStr"/>
      <c r="DC274" t="inlineStr"/>
      <c r="DD274" t="inlineStr"/>
      <c r="DE274" t="inlineStr"/>
      <c r="DF274" t="inlineStr"/>
      <c r="DG274" t="inlineStr"/>
    </row>
    <row r="275">
      <c r="A275" t="inlineStr">
        <is>
          <t>III</t>
        </is>
      </c>
      <c r="B275" t="b">
        <v>1</v>
      </c>
      <c r="C275" t="inlineStr"/>
      <c r="D275" t="inlineStr"/>
      <c r="E275" t="n">
        <v>325</v>
      </c>
      <c r="F275">
        <f>HYPERLINK("https://portal.dnb.de/opac.htm?method=simpleSearch&amp;cqlMode=true&amp;query=idn%3D1066940819", "Portal")</f>
        <v/>
      </c>
      <c r="G275" t="inlineStr">
        <is>
          <t>Aaf</t>
        </is>
      </c>
      <c r="H275" t="inlineStr">
        <is>
          <t>L-1507-315468572</t>
        </is>
      </c>
      <c r="I275" t="inlineStr">
        <is>
          <t>1066940819</t>
        </is>
      </c>
      <c r="J275" t="inlineStr">
        <is>
          <t>III 32, 2</t>
        </is>
      </c>
      <c r="K275" t="inlineStr">
        <is>
          <t>III 32, 2</t>
        </is>
      </c>
      <c r="L275" t="inlineStr">
        <is>
          <t>III 32, 2</t>
        </is>
      </c>
      <c r="M275" t="inlineStr"/>
      <c r="N275" t="inlineStr">
        <is>
          <t>Marci Vigerii Saonensis San Mariae trans tibe. praesbi. car. seno Gallien. Decachordvm christianvm : Iulio II Pont. Max. dicatum</t>
        </is>
      </c>
      <c r="O275" t="inlineStr">
        <is>
          <t xml:space="preserve"> : </t>
        </is>
      </c>
      <c r="P275" t="inlineStr"/>
      <c r="Q275" t="inlineStr"/>
      <c r="R275" t="inlineStr">
        <is>
          <t>Halbledereinband, Schließen, erhabene Buchbeschläge</t>
        </is>
      </c>
      <c r="S275" t="inlineStr">
        <is>
          <t>bis 35 cm</t>
        </is>
      </c>
      <c r="T275" t="inlineStr">
        <is>
          <t>80° bis 110°, einseitig digitalisierbar?</t>
        </is>
      </c>
      <c r="U275" t="inlineStr">
        <is>
          <t>fester Rücken mit Schmuckprägung, welliger Buchblock</t>
        </is>
      </c>
      <c r="V275" t="inlineStr"/>
      <c r="W275" t="inlineStr">
        <is>
          <t>Buchschuh</t>
        </is>
      </c>
      <c r="X275" t="inlineStr">
        <is>
          <t>Nein</t>
        </is>
      </c>
      <c r="Y275" t="n">
        <v>0</v>
      </c>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inlineStr"/>
      <c r="BI275" t="inlineStr"/>
      <c r="BJ275" t="inlineStr"/>
      <c r="BK275" t="inlineStr"/>
      <c r="BL275" t="inlineStr"/>
      <c r="BM275" t="inlineStr"/>
      <c r="BN275" t="n">
        <v>0</v>
      </c>
      <c r="BO275" t="inlineStr"/>
      <c r="BP275" t="inlineStr"/>
      <c r="BQ275" t="inlineStr"/>
      <c r="BR275" t="inlineStr">
        <is>
          <t>x</t>
        </is>
      </c>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c r="DC275" t="inlineStr"/>
      <c r="DD275" t="inlineStr"/>
      <c r="DE275" t="inlineStr"/>
      <c r="DF275" t="inlineStr"/>
      <c r="DG275" t="inlineStr"/>
    </row>
    <row r="276">
      <c r="A276" t="inlineStr">
        <is>
          <t>III</t>
        </is>
      </c>
      <c r="B276" t="b">
        <v>1</v>
      </c>
      <c r="C276" t="inlineStr"/>
      <c r="D276" t="inlineStr"/>
      <c r="E276" t="n">
        <v>327</v>
      </c>
      <c r="F276">
        <f>HYPERLINK("https://portal.dnb.de/opac.htm?method=simpleSearch&amp;cqlMode=true&amp;query=idn%3D1066874026", "Portal")</f>
        <v/>
      </c>
      <c r="G276" t="inlineStr">
        <is>
          <t>Aaf</t>
        </is>
      </c>
      <c r="H276" t="inlineStr">
        <is>
          <t>L-1509-315331828</t>
        </is>
      </c>
      <c r="I276" t="inlineStr">
        <is>
          <t>1066874026</t>
        </is>
      </c>
      <c r="J276" t="inlineStr">
        <is>
          <t>III 33, 1</t>
        </is>
      </c>
      <c r="K276" t="inlineStr">
        <is>
          <t>III 33, 1</t>
        </is>
      </c>
      <c r="L276" t="inlineStr">
        <is>
          <t>III 33, 1</t>
        </is>
      </c>
      <c r="M276" t="inlineStr"/>
      <c r="N276" t="inlineStr">
        <is>
          <t xml:space="preserve">Nicolai Leoniceni Vincentini De Plinii, &amp; plurium aliorum medicorum in medicina erroribus opus primum. Eiusdem Nicolai Epistola ad Hermolaum barbarum </t>
        </is>
      </c>
      <c r="O276" t="inlineStr">
        <is>
          <t xml:space="preserve"> : </t>
        </is>
      </c>
      <c r="P276" t="inlineStr">
        <is>
          <t>X</t>
        </is>
      </c>
      <c r="Q276" t="inlineStr"/>
      <c r="R276" t="inlineStr">
        <is>
          <t>Gewebeeinband</t>
        </is>
      </c>
      <c r="S276" t="inlineStr">
        <is>
          <t>bis 25 cm</t>
        </is>
      </c>
      <c r="T276" t="inlineStr">
        <is>
          <t>80° bis 110°, einseitig digitalisierbar?</t>
        </is>
      </c>
      <c r="U276" t="inlineStr">
        <is>
          <t>hohler Rücken</t>
        </is>
      </c>
      <c r="V276" t="inlineStr"/>
      <c r="W276" t="inlineStr"/>
      <c r="X276" t="inlineStr"/>
      <c r="Y276" t="n">
        <v>1</v>
      </c>
      <c r="Z276" t="inlineStr"/>
      <c r="AA276" t="inlineStr"/>
      <c r="AB276" t="inlineStr"/>
      <c r="AC276" t="inlineStr"/>
      <c r="AD276" t="inlineStr"/>
      <c r="AE276" t="inlineStr"/>
      <c r="AF276" t="inlineStr"/>
      <c r="AG276" t="inlineStr"/>
      <c r="AH276" t="inlineStr"/>
      <c r="AI276" t="inlineStr">
        <is>
          <t>G</t>
        </is>
      </c>
      <c r="AJ276" t="inlineStr"/>
      <c r="AK276" t="inlineStr">
        <is>
          <t>x</t>
        </is>
      </c>
      <c r="AL276" t="inlineStr"/>
      <c r="AM276" t="inlineStr">
        <is>
          <t>h/E</t>
        </is>
      </c>
      <c r="AN276" t="inlineStr"/>
      <c r="AO276" t="inlineStr"/>
      <c r="AP276" t="inlineStr"/>
      <c r="AQ276" t="inlineStr"/>
      <c r="AR276" t="inlineStr"/>
      <c r="AS276" t="inlineStr">
        <is>
          <t>Pa</t>
        </is>
      </c>
      <c r="AT276" t="inlineStr"/>
      <c r="AU276" t="inlineStr"/>
      <c r="AV276" t="inlineStr"/>
      <c r="AW276" t="inlineStr"/>
      <c r="AX276" t="inlineStr"/>
      <c r="AY276" t="inlineStr"/>
      <c r="AZ276" t="inlineStr"/>
      <c r="BA276" t="inlineStr"/>
      <c r="BB276" t="inlineStr"/>
      <c r="BC276" t="inlineStr"/>
      <c r="BD276" t="inlineStr"/>
      <c r="BE276" t="inlineStr"/>
      <c r="BF276" t="inlineStr"/>
      <c r="BG276" t="n">
        <v>110</v>
      </c>
      <c r="BH276" t="inlineStr"/>
      <c r="BI276" t="inlineStr"/>
      <c r="BJ276" t="inlineStr"/>
      <c r="BK276" t="inlineStr"/>
      <c r="BL276" t="inlineStr"/>
      <c r="BM276" t="inlineStr">
        <is>
          <t>n</t>
        </is>
      </c>
      <c r="BN276" t="n">
        <v>0</v>
      </c>
      <c r="BO276" t="inlineStr"/>
      <c r="BP276" t="inlineStr"/>
      <c r="BQ276" t="inlineStr"/>
      <c r="BR276" t="inlineStr"/>
      <c r="BS276" t="inlineStr"/>
      <c r="BT276" t="inlineStr"/>
      <c r="BU276" t="inlineStr"/>
      <c r="BV276" t="inlineStr">
        <is>
          <t>Schaden stabil</t>
        </is>
      </c>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c r="DC276" t="inlineStr"/>
      <c r="DD276" t="inlineStr"/>
      <c r="DE276" t="inlineStr"/>
      <c r="DF276" t="inlineStr"/>
      <c r="DG276" t="inlineStr"/>
    </row>
    <row r="277">
      <c r="A277" t="inlineStr">
        <is>
          <t>III</t>
        </is>
      </c>
      <c r="B277" t="b">
        <v>1</v>
      </c>
      <c r="C277" t="inlineStr"/>
      <c r="D277" t="inlineStr"/>
      <c r="E277" t="n">
        <v>328</v>
      </c>
      <c r="F277">
        <f>HYPERLINK("https://portal.dnb.de/opac.htm?method=simpleSearch&amp;cqlMode=true&amp;query=idn%3D106694072X", "Portal")</f>
        <v/>
      </c>
      <c r="G277" t="inlineStr">
        <is>
          <t>Aaf</t>
        </is>
      </c>
      <c r="H277" t="inlineStr">
        <is>
          <t>L-1504-315468483</t>
        </is>
      </c>
      <c r="I277" t="inlineStr">
        <is>
          <t>106694072X</t>
        </is>
      </c>
      <c r="J277" t="inlineStr">
        <is>
          <t>III 34, 1</t>
        </is>
      </c>
      <c r="K277" t="inlineStr">
        <is>
          <t>III 34, 1</t>
        </is>
      </c>
      <c r="L277" t="inlineStr">
        <is>
          <t>III 34, 1</t>
        </is>
      </c>
      <c r="M277" t="inlineStr"/>
      <c r="N277" t="inlineStr">
        <is>
          <t xml:space="preserve">Petri Criniti Commentarii de honesta discipline : </t>
        </is>
      </c>
      <c r="O277" t="inlineStr">
        <is>
          <t xml:space="preserve"> : </t>
        </is>
      </c>
      <c r="P277" t="inlineStr"/>
      <c r="Q277" t="inlineStr"/>
      <c r="R277" t="inlineStr"/>
      <c r="S277" t="inlineStr">
        <is>
          <t>bis 35 cm</t>
        </is>
      </c>
      <c r="T277" t="inlineStr"/>
      <c r="U277" t="inlineStr"/>
      <c r="V277" t="inlineStr"/>
      <c r="W277" t="inlineStr"/>
      <c r="X277" t="inlineStr"/>
      <c r="Y277" t="inlineStr"/>
      <c r="Z277" t="inlineStr"/>
      <c r="AA277" t="inlineStr"/>
      <c r="AB277" t="inlineStr"/>
      <c r="AC277" t="inlineStr"/>
      <c r="AD277" t="inlineStr"/>
      <c r="AE277" t="inlineStr"/>
      <c r="AF277" t="inlineStr"/>
      <c r="AG277" t="inlineStr"/>
      <c r="AH277" t="inlineStr"/>
      <c r="AI277" t="inlineStr">
        <is>
          <t>Pa</t>
        </is>
      </c>
      <c r="AJ277" t="inlineStr"/>
      <c r="AK277" t="inlineStr"/>
      <c r="AL277" t="inlineStr"/>
      <c r="AM277" t="inlineStr">
        <is>
          <t>h/E</t>
        </is>
      </c>
      <c r="AN277" t="inlineStr"/>
      <c r="AO277" t="inlineStr"/>
      <c r="AP277" t="inlineStr"/>
      <c r="AQ277" t="inlineStr"/>
      <c r="AR277" t="inlineStr"/>
      <c r="AS277" t="inlineStr">
        <is>
          <t>Pa</t>
        </is>
      </c>
      <c r="AT277" t="inlineStr"/>
      <c r="AU277" t="inlineStr"/>
      <c r="AV277" t="inlineStr"/>
      <c r="AW277" t="inlineStr"/>
      <c r="AX277" t="inlineStr"/>
      <c r="AY277" t="inlineStr"/>
      <c r="AZ277" t="inlineStr"/>
      <c r="BA277" t="inlineStr"/>
      <c r="BB277" t="inlineStr"/>
      <c r="BC277" t="inlineStr"/>
      <c r="BD277" t="inlineStr"/>
      <c r="BE277" t="inlineStr"/>
      <c r="BF277" t="inlineStr"/>
      <c r="BG277" t="n">
        <v>110</v>
      </c>
      <c r="BH277" t="inlineStr"/>
      <c r="BI277" t="inlineStr"/>
      <c r="BJ277" t="inlineStr"/>
      <c r="BK277" t="inlineStr"/>
      <c r="BL277" t="inlineStr"/>
      <c r="BM277" t="inlineStr">
        <is>
          <t>n</t>
        </is>
      </c>
      <c r="BN277" t="n">
        <v>0</v>
      </c>
      <c r="BO277" t="inlineStr"/>
      <c r="BP277" t="inlineStr"/>
      <c r="BQ277" t="inlineStr"/>
      <c r="BR277" t="inlineStr"/>
      <c r="BS277" t="inlineStr"/>
      <c r="BT277" t="inlineStr"/>
      <c r="BU277" t="inlineStr"/>
      <c r="BV277" t="inlineStr">
        <is>
          <t>Schaden stabil</t>
        </is>
      </c>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c r="DC277" t="inlineStr"/>
      <c r="DD277" t="inlineStr"/>
      <c r="DE277" t="inlineStr"/>
      <c r="DF277" t="inlineStr"/>
      <c r="DG277" t="inlineStr"/>
    </row>
    <row r="278">
      <c r="A278" t="inlineStr">
        <is>
          <t>III</t>
        </is>
      </c>
      <c r="B278" t="b">
        <v>1</v>
      </c>
      <c r="C278" t="inlineStr"/>
      <c r="D278" t="inlineStr"/>
      <c r="E278" t="n">
        <v>334</v>
      </c>
      <c r="F278">
        <f>HYPERLINK("https://portal.dnb.de/opac.htm?method=simpleSearch&amp;cqlMode=true&amp;query=idn%3D1000120279", "Portal")</f>
        <v/>
      </c>
      <c r="G278" t="inlineStr">
        <is>
          <t>Afl</t>
        </is>
      </c>
      <c r="H278" t="inlineStr">
        <is>
          <t>L-1514-170039528</t>
        </is>
      </c>
      <c r="I278" t="inlineStr">
        <is>
          <t>1000120279</t>
        </is>
      </c>
      <c r="J278" t="inlineStr">
        <is>
          <t>III 34, 1 a</t>
        </is>
      </c>
      <c r="K278" t="inlineStr">
        <is>
          <t>III 34, 1 a</t>
        </is>
      </c>
      <c r="L278" t="inlineStr">
        <is>
          <t>III 34, 1 a</t>
        </is>
      </c>
      <c r="M278" t="inlineStr"/>
      <c r="N278" t="inlineStr">
        <is>
          <t>[Carmina]</t>
        </is>
      </c>
      <c r="O278" t="inlineStr">
        <is>
          <t>Vol. 1. : Ioannis Iouiani Pontani Vrania seu de stellis libri quinq[ue]</t>
        </is>
      </c>
      <c r="P278" t="inlineStr"/>
      <c r="Q278" t="inlineStr"/>
      <c r="R278" t="inlineStr"/>
      <c r="S278" t="inlineStr"/>
      <c r="T278" t="inlineStr"/>
      <c r="U278" t="inlineStr"/>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inlineStr"/>
      <c r="BI278" t="inlineStr"/>
      <c r="BJ278" t="inlineStr"/>
      <c r="BK278" t="inlineStr"/>
      <c r="BL278" t="inlineStr"/>
      <c r="BM278" t="inlineStr"/>
      <c r="BN278" t="n">
        <v>0</v>
      </c>
      <c r="BO278" t="inlineStr"/>
      <c r="BP278" t="inlineStr"/>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c r="DB278" t="inlineStr"/>
      <c r="DC278" t="inlineStr"/>
      <c r="DD278" t="inlineStr"/>
      <c r="DE278" t="inlineStr"/>
      <c r="DF278" t="inlineStr"/>
      <c r="DG278" t="inlineStr"/>
    </row>
    <row r="279">
      <c r="A279" t="inlineStr">
        <is>
          <t>III</t>
        </is>
      </c>
      <c r="B279" t="b">
        <v>1</v>
      </c>
      <c r="C279" t="inlineStr"/>
      <c r="D279" t="inlineStr"/>
      <c r="E279" t="n">
        <v>336</v>
      </c>
      <c r="F279">
        <f>HYPERLINK("https://portal.dnb.de/opac.htm?method=simpleSearch&amp;cqlMode=true&amp;query=idn%3D1002646235", "Portal")</f>
        <v/>
      </c>
      <c r="G279" t="inlineStr">
        <is>
          <t>Aal</t>
        </is>
      </c>
      <c r="H279" t="inlineStr">
        <is>
          <t>L-1517-177752815</t>
        </is>
      </c>
      <c r="I279" t="inlineStr">
        <is>
          <t>1002646235</t>
        </is>
      </c>
      <c r="J279" t="inlineStr">
        <is>
          <t>III 34, 1 b</t>
        </is>
      </c>
      <c r="K279" t="inlineStr">
        <is>
          <t>III 34, 1 b</t>
        </is>
      </c>
      <c r="L279" t="inlineStr">
        <is>
          <t>III 34, 1 b</t>
        </is>
      </c>
      <c r="M279" t="inlineStr"/>
      <c r="N279" t="inlineStr">
        <is>
          <t>Valerivs Max[imus]|| Exempla quattuor et ui=ginti nuper inuen-||ta ante caput de omibinus|| [Factorvm, ac dictorvm memorabilivm libri novem]|| Plutarc</t>
        </is>
      </c>
      <c r="O279" t="inlineStr">
        <is>
          <t xml:space="preserve"> : </t>
        </is>
      </c>
      <c r="P279" t="inlineStr"/>
      <c r="Q279" t="inlineStr"/>
      <c r="R279" t="inlineStr"/>
      <c r="S279" t="inlineStr"/>
      <c r="T279" t="inlineStr"/>
      <c r="U279" t="inlineStr"/>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inlineStr"/>
      <c r="BI279" t="inlineStr"/>
      <c r="BJ279" t="inlineStr"/>
      <c r="BK279" t="inlineStr"/>
      <c r="BL279" t="inlineStr"/>
      <c r="BM279" t="inlineStr"/>
      <c r="BN279" t="n">
        <v>0</v>
      </c>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c r="DC279" t="inlineStr"/>
      <c r="DD279" t="inlineStr"/>
      <c r="DE279" t="inlineStr"/>
      <c r="DF279" t="inlineStr"/>
      <c r="DG279" t="inlineStr"/>
    </row>
    <row r="280">
      <c r="A280" t="inlineStr">
        <is>
          <t>III</t>
        </is>
      </c>
      <c r="B280" t="b">
        <v>1</v>
      </c>
      <c r="C280" t="inlineStr"/>
      <c r="D280" t="inlineStr"/>
      <c r="E280" t="n">
        <v>329</v>
      </c>
      <c r="F280">
        <f>HYPERLINK("https://portal.dnb.de/opac.htm?method=simpleSearch&amp;cqlMode=true&amp;query=idn%3D1066940517", "Portal")</f>
        <v/>
      </c>
      <c r="G280" t="inlineStr">
        <is>
          <t>Aaf</t>
        </is>
      </c>
      <c r="H280" t="inlineStr">
        <is>
          <t>L-1520-315468297</t>
        </is>
      </c>
      <c r="I280" t="inlineStr">
        <is>
          <t>1066940517</t>
        </is>
      </c>
      <c r="J280" t="inlineStr">
        <is>
          <t>III 34, 2</t>
        </is>
      </c>
      <c r="K280" t="inlineStr">
        <is>
          <t>III 34, 2</t>
        </is>
      </c>
      <c r="L280" t="inlineStr">
        <is>
          <t>III 34, 2</t>
        </is>
      </c>
      <c r="M280" t="inlineStr"/>
      <c r="N280" t="inlineStr">
        <is>
          <t xml:space="preserve">Cornazano De re militari : </t>
        </is>
      </c>
      <c r="O280" t="inlineStr">
        <is>
          <t xml:space="preserve"> : </t>
        </is>
      </c>
      <c r="P280" t="inlineStr"/>
      <c r="Q280" t="inlineStr"/>
      <c r="R280" t="inlineStr"/>
      <c r="S280" t="inlineStr">
        <is>
          <t>bis 25 cm</t>
        </is>
      </c>
      <c r="T280" t="inlineStr"/>
      <c r="U280" t="inlineStr"/>
      <c r="V280" t="inlineStr"/>
      <c r="W280" t="inlineStr"/>
      <c r="X280" t="inlineStr"/>
      <c r="Y280" t="inlineStr"/>
      <c r="Z280" t="inlineStr"/>
      <c r="AA280" t="inlineStr"/>
      <c r="AB280" t="inlineStr"/>
      <c r="AC280" t="inlineStr"/>
      <c r="AD280" t="inlineStr"/>
      <c r="AE280" t="inlineStr"/>
      <c r="AF280" t="inlineStr"/>
      <c r="AG280" t="inlineStr"/>
      <c r="AH280" t="inlineStr"/>
      <c r="AI280" t="inlineStr">
        <is>
          <t>G</t>
        </is>
      </c>
      <c r="AJ280" t="inlineStr"/>
      <c r="AK280" t="inlineStr">
        <is>
          <t>x</t>
        </is>
      </c>
      <c r="AL280" t="inlineStr"/>
      <c r="AM280" t="inlineStr">
        <is>
          <t>h/E</t>
        </is>
      </c>
      <c r="AN280" t="inlineStr"/>
      <c r="AO280" t="inlineStr"/>
      <c r="AP280" t="inlineStr"/>
      <c r="AQ280" t="inlineStr"/>
      <c r="AR280" t="inlineStr"/>
      <c r="AS280" t="inlineStr">
        <is>
          <t>Pa</t>
        </is>
      </c>
      <c r="AT280" t="inlineStr"/>
      <c r="AU280" t="inlineStr"/>
      <c r="AV280" t="inlineStr"/>
      <c r="AW280" t="inlineStr"/>
      <c r="AX280" t="inlineStr"/>
      <c r="AY280" t="inlineStr"/>
      <c r="AZ280" t="inlineStr"/>
      <c r="BA280" t="inlineStr"/>
      <c r="BB280" t="inlineStr"/>
      <c r="BC280" t="inlineStr"/>
      <c r="BD280" t="inlineStr"/>
      <c r="BE280" t="inlineStr"/>
      <c r="BF280" t="inlineStr"/>
      <c r="BG280" t="n">
        <v>110</v>
      </c>
      <c r="BH280" t="inlineStr"/>
      <c r="BI280" t="inlineStr"/>
      <c r="BJ280" t="inlineStr"/>
      <c r="BK280" t="inlineStr"/>
      <c r="BL280" t="inlineStr"/>
      <c r="BM280" t="inlineStr">
        <is>
          <t>n</t>
        </is>
      </c>
      <c r="BN280" t="n">
        <v>0</v>
      </c>
      <c r="BO280" t="inlineStr"/>
      <c r="BP280" t="inlineStr"/>
      <c r="BQ280" t="inlineStr"/>
      <c r="BR280" t="inlineStr"/>
      <c r="BS280" t="inlineStr"/>
      <c r="BT280" t="inlineStr"/>
      <c r="BU280" t="inlineStr"/>
      <c r="BV280" t="inlineStr">
        <is>
          <t>Schaden stabil</t>
        </is>
      </c>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c r="DB280" t="inlineStr"/>
      <c r="DC280" t="inlineStr"/>
      <c r="DD280" t="inlineStr"/>
      <c r="DE280" t="inlineStr"/>
      <c r="DF280" t="inlineStr"/>
      <c r="DG280" t="inlineStr"/>
    </row>
    <row r="281">
      <c r="A281" t="inlineStr">
        <is>
          <t>III</t>
        </is>
      </c>
      <c r="B281" t="b">
        <v>1</v>
      </c>
      <c r="C281" t="inlineStr"/>
      <c r="D281" t="inlineStr"/>
      <c r="E281" t="n">
        <v>330</v>
      </c>
      <c r="F281">
        <f>HYPERLINK("https://portal.dnb.de/opac.htm?method=simpleSearch&amp;cqlMode=true&amp;query=idn%3D1132655722", "Portal")</f>
        <v/>
      </c>
      <c r="G281" t="inlineStr">
        <is>
          <t>Af</t>
        </is>
      </c>
      <c r="H281" t="inlineStr">
        <is>
          <t>L-1549-406971676</t>
        </is>
      </c>
      <c r="I281" t="inlineStr">
        <is>
          <t>1132655722</t>
        </is>
      </c>
      <c r="J281" t="inlineStr">
        <is>
          <t>III 34, 3</t>
        </is>
      </c>
      <c r="K281" t="inlineStr">
        <is>
          <t>III 34, 3</t>
        </is>
      </c>
      <c r="L281" t="inlineStr">
        <is>
          <t>III 34, 3</t>
        </is>
      </c>
      <c r="M281" t="inlineStr"/>
      <c r="N281" t="inlineStr">
        <is>
          <t>La @spositione di M. Simon Fornari da Rheggio sopra l' Orlando Fvrioso di M. Lvdovico Ariosto</t>
        </is>
      </c>
      <c r="O281" t="inlineStr">
        <is>
          <t xml:space="preserve">[1]. : </t>
        </is>
      </c>
      <c r="P281" t="inlineStr"/>
      <c r="Q281" t="inlineStr"/>
      <c r="R281" t="inlineStr"/>
      <c r="S281" t="inlineStr"/>
      <c r="T281" t="inlineStr"/>
      <c r="U281" t="inlineStr"/>
      <c r="V281" t="inlineStr"/>
      <c r="W281" t="inlineStr"/>
      <c r="X281" t="inlineStr"/>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inlineStr"/>
      <c r="BI281" t="inlineStr"/>
      <c r="BJ281" t="inlineStr"/>
      <c r="BK281" t="inlineStr"/>
      <c r="BL281" t="inlineStr"/>
      <c r="BM281" t="inlineStr"/>
      <c r="BN281" t="n">
        <v>0</v>
      </c>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c r="DC281" t="inlineStr"/>
      <c r="DD281" t="inlineStr"/>
      <c r="DE281" t="inlineStr"/>
      <c r="DF281" t="inlineStr"/>
      <c r="DG281" t="inlineStr"/>
    </row>
    <row r="282">
      <c r="A282" t="inlineStr">
        <is>
          <t>III</t>
        </is>
      </c>
      <c r="B282" t="b">
        <v>1</v>
      </c>
      <c r="C282" t="inlineStr"/>
      <c r="D282" t="inlineStr"/>
      <c r="E282" t="n">
        <v>331</v>
      </c>
      <c r="F282">
        <f>HYPERLINK("https://portal.dnb.de/opac.htm?method=simpleSearch&amp;cqlMode=true&amp;query=idn%3D1132655730", "Portal")</f>
        <v/>
      </c>
      <c r="G282" t="inlineStr">
        <is>
          <t>Af</t>
        </is>
      </c>
      <c r="H282" t="inlineStr">
        <is>
          <t>L-1550-406971684</t>
        </is>
      </c>
      <c r="I282" t="inlineStr">
        <is>
          <t>1132655730</t>
        </is>
      </c>
      <c r="J282" t="inlineStr">
        <is>
          <t>III 34, 3</t>
        </is>
      </c>
      <c r="K282" t="inlineStr">
        <is>
          <t>III 34, 3</t>
        </is>
      </c>
      <c r="L282" t="inlineStr">
        <is>
          <t>III 34, 3</t>
        </is>
      </c>
      <c r="M282" t="inlineStr"/>
      <c r="N282" t="inlineStr">
        <is>
          <t>La @spositione di M. Simon Fornari da Rheggio sopra l' Orlando Fvrioso di M. Lvdovico Ariosto</t>
        </is>
      </c>
      <c r="O282" t="inlineStr">
        <is>
          <t>Pt. 2. : Della espositione sopra l' Orlando Fvrioso Parte seconda</t>
        </is>
      </c>
      <c r="P282" t="inlineStr"/>
      <c r="Q282" t="inlineStr"/>
      <c r="R282" t="inlineStr"/>
      <c r="S282" t="inlineStr"/>
      <c r="T282" t="inlineStr"/>
      <c r="U282" t="inlineStr"/>
      <c r="V282" t="inlineStr"/>
      <c r="W282" t="inlineStr"/>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inlineStr"/>
      <c r="BI282" t="inlineStr"/>
      <c r="BJ282" t="inlineStr"/>
      <c r="BK282" t="inlineStr"/>
      <c r="BL282" t="inlineStr"/>
      <c r="BM282" t="inlineStr"/>
      <c r="BN282" t="n">
        <v>0</v>
      </c>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c r="DC282" t="inlineStr"/>
      <c r="DD282" t="inlineStr"/>
      <c r="DE282" t="inlineStr"/>
      <c r="DF282" t="inlineStr"/>
      <c r="DG282" t="inlineStr"/>
    </row>
    <row r="283">
      <c r="A283" t="inlineStr">
        <is>
          <t>III</t>
        </is>
      </c>
      <c r="B283" t="b">
        <v>1</v>
      </c>
      <c r="C283" t="inlineStr"/>
      <c r="D283" t="inlineStr"/>
      <c r="E283" t="n">
        <v>332</v>
      </c>
      <c r="F283">
        <f>HYPERLINK("https://portal.dnb.de/opac.htm?method=simpleSearch&amp;cqlMode=true&amp;query=idn%3D1066937877", "Portal")</f>
        <v/>
      </c>
      <c r="G283" t="inlineStr">
        <is>
          <t>Aaf</t>
        </is>
      </c>
      <c r="H283" t="inlineStr">
        <is>
          <t>L-1551-315465670</t>
        </is>
      </c>
      <c r="I283" t="inlineStr">
        <is>
          <t>1066937877</t>
        </is>
      </c>
      <c r="J283" t="inlineStr">
        <is>
          <t>III 34, 4</t>
        </is>
      </c>
      <c r="K283" t="inlineStr">
        <is>
          <t>III 34, 4</t>
        </is>
      </c>
      <c r="L283" t="inlineStr">
        <is>
          <t>III 34, 4</t>
        </is>
      </c>
      <c r="M283" t="inlineStr"/>
      <c r="N283" t="inlineStr">
        <is>
          <t xml:space="preserve">Boezio Severino della consolazione della filosofia : </t>
        </is>
      </c>
      <c r="O283" t="inlineStr">
        <is>
          <t xml:space="preserve"> : </t>
        </is>
      </c>
      <c r="P283" t="inlineStr">
        <is>
          <t>X</t>
        </is>
      </c>
      <c r="Q283" t="inlineStr"/>
      <c r="R283" t="inlineStr">
        <is>
          <t>Halbgewebeband, Schließen, erhabene Buchbeschläge</t>
        </is>
      </c>
      <c r="S283" t="inlineStr">
        <is>
          <t>bis 25 cm</t>
        </is>
      </c>
      <c r="T283" t="inlineStr">
        <is>
          <t>180°</t>
        </is>
      </c>
      <c r="U283" t="inlineStr">
        <is>
          <t>hohler Rücken, welliger Buchblock</t>
        </is>
      </c>
      <c r="V283" t="inlineStr"/>
      <c r="W283" t="inlineStr">
        <is>
          <t>Buchschuh</t>
        </is>
      </c>
      <c r="X283" t="inlineStr">
        <is>
          <t>Nein</t>
        </is>
      </c>
      <c r="Y283" t="n">
        <v>0</v>
      </c>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inlineStr"/>
      <c r="BJ283" t="inlineStr"/>
      <c r="BK283" t="inlineStr"/>
      <c r="BL283" t="inlineStr"/>
      <c r="BM283" t="inlineStr"/>
      <c r="BN283" t="n">
        <v>0</v>
      </c>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c r="DC283" t="inlineStr"/>
      <c r="DD283" t="inlineStr"/>
      <c r="DE283" t="inlineStr"/>
      <c r="DF283" t="inlineStr"/>
      <c r="DG283" t="inlineStr"/>
    </row>
    <row r="284">
      <c r="A284" t="inlineStr">
        <is>
          <t>III</t>
        </is>
      </c>
      <c r="B284" t="b">
        <v>1</v>
      </c>
      <c r="C284" t="inlineStr"/>
      <c r="D284" t="inlineStr"/>
      <c r="E284" t="n">
        <v>333</v>
      </c>
      <c r="F284">
        <f>HYPERLINK("https://portal.dnb.de/opac.htm?method=simpleSearch&amp;cqlMode=true&amp;query=idn%3D1002893801", "Portal")</f>
        <v/>
      </c>
      <c r="G284" t="inlineStr">
        <is>
          <t>Aal</t>
        </is>
      </c>
      <c r="H284" t="inlineStr">
        <is>
          <t>L-1553-178401951</t>
        </is>
      </c>
      <c r="I284" t="inlineStr">
        <is>
          <t>1002893801</t>
        </is>
      </c>
      <c r="J284" t="inlineStr">
        <is>
          <t>III 34, 5</t>
        </is>
      </c>
      <c r="K284" t="inlineStr">
        <is>
          <t>III 34, 5</t>
        </is>
      </c>
      <c r="L284" t="inlineStr">
        <is>
          <t>III 34, 5</t>
        </is>
      </c>
      <c r="M284" t="inlineStr"/>
      <c r="N284" t="inlineStr">
        <is>
          <t>Petri Victorii variarvm lectionvm libri XXV : Cum Summi Pontif. &amp; Cosmi Medicis Florent. Ducis II. Privilegio.</t>
        </is>
      </c>
      <c r="O284" t="inlineStr">
        <is>
          <t xml:space="preserve"> : </t>
        </is>
      </c>
      <c r="P284" t="inlineStr"/>
      <c r="Q284" t="inlineStr">
        <is>
          <t>750,00 EUR</t>
        </is>
      </c>
      <c r="R284" t="inlineStr"/>
      <c r="S284" t="inlineStr"/>
      <c r="T284" t="inlineStr"/>
      <c r="U284" t="inlineStr"/>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inlineStr"/>
      <c r="BI284" t="inlineStr"/>
      <c r="BJ284" t="inlineStr"/>
      <c r="BK284" t="inlineStr"/>
      <c r="BL284" t="inlineStr"/>
      <c r="BM284" t="inlineStr"/>
      <c r="BN284" t="n">
        <v>0</v>
      </c>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c r="DB284" t="inlineStr"/>
      <c r="DC284" t="inlineStr"/>
      <c r="DD284" t="inlineStr"/>
      <c r="DE284" t="inlineStr"/>
      <c r="DF284" t="inlineStr"/>
      <c r="DG284" t="inlineStr"/>
    </row>
    <row r="285">
      <c r="A285" t="inlineStr">
        <is>
          <t>III</t>
        </is>
      </c>
      <c r="B285" t="b">
        <v>1</v>
      </c>
      <c r="C285" t="inlineStr"/>
      <c r="D285" t="inlineStr"/>
      <c r="E285" t="n">
        <v>337</v>
      </c>
      <c r="F285">
        <f>HYPERLINK("https://portal.dnb.de/opac.htm?method=simpleSearch&amp;cqlMode=true&amp;query=idn%3D1066871000", "Portal")</f>
        <v/>
      </c>
      <c r="G285" t="inlineStr">
        <is>
          <t>Aaf</t>
        </is>
      </c>
      <c r="H285" t="inlineStr">
        <is>
          <t>L-1513-31532886X</t>
        </is>
      </c>
      <c r="I285" t="inlineStr">
        <is>
          <t>1066871000</t>
        </is>
      </c>
      <c r="J285" t="inlineStr">
        <is>
          <t>III 35, 1</t>
        </is>
      </c>
      <c r="K285" t="inlineStr">
        <is>
          <t>III 35, 1</t>
        </is>
      </c>
      <c r="L285" t="inlineStr">
        <is>
          <t>III 35, 1</t>
        </is>
      </c>
      <c r="M285" t="inlineStr"/>
      <c r="N285" t="inlineStr">
        <is>
          <t>Pavlina de recta Paschae celebratione : et De die passionis Domini nostri Iesv Christi</t>
        </is>
      </c>
      <c r="O285" t="inlineStr">
        <is>
          <t xml:space="preserve"> : </t>
        </is>
      </c>
      <c r="P285" t="inlineStr">
        <is>
          <t>X</t>
        </is>
      </c>
      <c r="Q285" t="inlineStr"/>
      <c r="R285" t="inlineStr">
        <is>
          <t>Halbledereinband, Schließen, erhabene Buchbeschläge</t>
        </is>
      </c>
      <c r="S285" t="inlineStr">
        <is>
          <t>bis 35 cm</t>
        </is>
      </c>
      <c r="T285" t="inlineStr">
        <is>
          <t>180°</t>
        </is>
      </c>
      <c r="U285" t="inlineStr">
        <is>
          <t>hohler Rücken</t>
        </is>
      </c>
      <c r="V285" t="inlineStr"/>
      <c r="W285" t="inlineStr"/>
      <c r="X285" t="inlineStr"/>
      <c r="Y285" t="n">
        <v>0</v>
      </c>
      <c r="Z285" t="inlineStr"/>
      <c r="AA285" t="inlineStr"/>
      <c r="AB285" t="inlineStr"/>
      <c r="AC285" t="inlineStr"/>
      <c r="AD285" t="inlineStr"/>
      <c r="AE285" t="inlineStr"/>
      <c r="AF285" t="inlineStr"/>
      <c r="AG285" t="inlineStr"/>
      <c r="AH285" t="inlineStr"/>
      <c r="AI285" t="inlineStr">
        <is>
          <t>HL</t>
        </is>
      </c>
      <c r="AJ285" t="inlineStr"/>
      <c r="AK285" t="inlineStr">
        <is>
          <t>x</t>
        </is>
      </c>
      <c r="AL285" t="inlineStr"/>
      <c r="AM285" t="inlineStr">
        <is>
          <t>h/E</t>
        </is>
      </c>
      <c r="AN285" t="inlineStr"/>
      <c r="AO285" t="inlineStr"/>
      <c r="AP285" t="inlineStr"/>
      <c r="AQ285" t="inlineStr"/>
      <c r="AR285" t="inlineStr"/>
      <c r="AS285" t="inlineStr">
        <is>
          <t>Pa</t>
        </is>
      </c>
      <c r="AT285" t="inlineStr"/>
      <c r="AU285" t="inlineStr"/>
      <c r="AV285" t="inlineStr"/>
      <c r="AW285" t="inlineStr"/>
      <c r="AX285" t="inlineStr"/>
      <c r="AY285" t="inlineStr"/>
      <c r="AZ285" t="inlineStr"/>
      <c r="BA285" t="inlineStr"/>
      <c r="BB285" t="inlineStr"/>
      <c r="BC285" t="inlineStr">
        <is>
          <t>R</t>
        </is>
      </c>
      <c r="BD285" t="inlineStr">
        <is>
          <t>x</t>
        </is>
      </c>
      <c r="BE285" t="inlineStr"/>
      <c r="BF285" t="inlineStr"/>
      <c r="BG285" t="n">
        <v>110</v>
      </c>
      <c r="BH285" t="inlineStr"/>
      <c r="BI285" t="inlineStr"/>
      <c r="BJ285" t="inlineStr"/>
      <c r="BK285" t="inlineStr"/>
      <c r="BL285" t="inlineStr"/>
      <c r="BM285" t="inlineStr">
        <is>
          <t>n</t>
        </is>
      </c>
      <c r="BN285" t="n">
        <v>0</v>
      </c>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c r="DB285" t="inlineStr"/>
      <c r="DC285" t="inlineStr"/>
      <c r="DD285" t="inlineStr"/>
      <c r="DE285" t="inlineStr"/>
      <c r="DF285" t="inlineStr"/>
      <c r="DG285" t="inlineStr"/>
    </row>
    <row r="286">
      <c r="A286" t="inlineStr">
        <is>
          <t>III</t>
        </is>
      </c>
      <c r="B286" t="b">
        <v>1</v>
      </c>
      <c r="C286" t="inlineStr"/>
      <c r="D286" t="inlineStr"/>
      <c r="E286" t="inlineStr"/>
      <c r="F286">
        <f>HYPERLINK("https://portal.dnb.de/opac.htm?method=simpleSearch&amp;cqlMode=true&amp;query=idn%3D1138244880", "Portal")</f>
        <v/>
      </c>
      <c r="G286" t="inlineStr">
        <is>
          <t>Qd</t>
        </is>
      </c>
      <c r="H286" t="inlineStr">
        <is>
          <t>L-9999-414748743</t>
        </is>
      </c>
      <c r="I286" t="inlineStr">
        <is>
          <t>1138244880</t>
        </is>
      </c>
      <c r="J286" t="inlineStr">
        <is>
          <t>III 36, 1</t>
        </is>
      </c>
      <c r="K286" t="inlineStr">
        <is>
          <t>III 36, 1</t>
        </is>
      </c>
      <c r="L286" t="inlineStr">
        <is>
          <t>III 36, 1</t>
        </is>
      </c>
      <c r="M286" t="inlineStr"/>
      <c r="N286" t="inlineStr">
        <is>
          <t xml:space="preserve">Sammelband mit zwei Werken von Thomas Murner : </t>
        </is>
      </c>
      <c r="O286" t="inlineStr">
        <is>
          <t xml:space="preserve"> : </t>
        </is>
      </c>
      <c r="P286" t="inlineStr">
        <is>
          <t>X</t>
        </is>
      </c>
      <c r="Q286" t="inlineStr"/>
      <c r="R286" t="inlineStr">
        <is>
          <t>Ledereinband, Schließen, erhabene Buchbeschläge</t>
        </is>
      </c>
      <c r="S286" t="inlineStr">
        <is>
          <t>bis 25 cm</t>
        </is>
      </c>
      <c r="T286" t="inlineStr">
        <is>
          <t>180°</t>
        </is>
      </c>
      <c r="U286" t="inlineStr">
        <is>
          <t>hohler Rücken</t>
        </is>
      </c>
      <c r="V286" t="inlineStr"/>
      <c r="W286" t="inlineStr">
        <is>
          <t>Buchschuh</t>
        </is>
      </c>
      <c r="X286" t="inlineStr">
        <is>
          <t>Nein</t>
        </is>
      </c>
      <c r="Y286" t="n">
        <v>1</v>
      </c>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inlineStr"/>
      <c r="BI286" t="inlineStr"/>
      <c r="BJ286" t="inlineStr"/>
      <c r="BK286" t="inlineStr"/>
      <c r="BL286" t="inlineStr"/>
      <c r="BM286" t="inlineStr"/>
      <c r="BN286" t="n">
        <v>0</v>
      </c>
      <c r="BO286" t="inlineStr"/>
      <c r="BP286" t="inlineStr"/>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c r="DB286" t="inlineStr"/>
      <c r="DC286" t="inlineStr"/>
      <c r="DD286" t="inlineStr"/>
      <c r="DE286" t="inlineStr"/>
      <c r="DF286" t="inlineStr"/>
      <c r="DG286" t="inlineStr"/>
    </row>
    <row r="287">
      <c r="A287" t="inlineStr">
        <is>
          <t>III</t>
        </is>
      </c>
      <c r="B287" t="b">
        <v>1</v>
      </c>
      <c r="C287" t="inlineStr"/>
      <c r="D287" t="inlineStr"/>
      <c r="E287" t="n">
        <v>339</v>
      </c>
      <c r="F287">
        <f>HYPERLINK("https://portal.dnb.de/opac.htm?method=simpleSearch&amp;cqlMode=true&amp;query=idn%3D1066934975", "Portal")</f>
        <v/>
      </c>
      <c r="G287" t="inlineStr">
        <is>
          <t>Aaf</t>
        </is>
      </c>
      <c r="H287" t="inlineStr">
        <is>
          <t>L-1531-315462965</t>
        </is>
      </c>
      <c r="I287" t="inlineStr">
        <is>
          <t>1066934975</t>
        </is>
      </c>
      <c r="J287" t="inlineStr">
        <is>
          <t>III 36, 2</t>
        </is>
      </c>
      <c r="K287" t="inlineStr">
        <is>
          <t>III 36, 2</t>
        </is>
      </c>
      <c r="L287" t="inlineStr">
        <is>
          <t>III 36, 2</t>
        </is>
      </c>
      <c r="M287" t="inlineStr"/>
      <c r="N287" t="inlineStr">
        <is>
          <t>Guldin Bull/ Caroli|| des vierden/ weilant Römischen key=||ser. Reformation/...|| des h. Römischen Reichs/|| ...|| Keyser Friderichs Re=||formation al</t>
        </is>
      </c>
      <c r="O287" t="inlineStr">
        <is>
          <t xml:space="preserve"> : </t>
        </is>
      </c>
      <c r="P287" t="inlineStr">
        <is>
          <t>X</t>
        </is>
      </c>
      <c r="Q287" t="inlineStr"/>
      <c r="R287" t="inlineStr">
        <is>
          <t>Ledereinband, Schließen, erhabene Buchbeschläge</t>
        </is>
      </c>
      <c r="S287" t="inlineStr">
        <is>
          <t>bis 25 cm</t>
        </is>
      </c>
      <c r="T287" t="inlineStr">
        <is>
          <t>180°</t>
        </is>
      </c>
      <c r="U287" t="inlineStr">
        <is>
          <t>hohler Rücken</t>
        </is>
      </c>
      <c r="V287" t="inlineStr"/>
      <c r="W287" t="inlineStr">
        <is>
          <t>Buchschuh</t>
        </is>
      </c>
      <c r="X287" t="inlineStr">
        <is>
          <t>Nein</t>
        </is>
      </c>
      <c r="Y287" t="n">
        <v>0</v>
      </c>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inlineStr"/>
      <c r="BI287" t="inlineStr"/>
      <c r="BJ287" t="inlineStr"/>
      <c r="BK287" t="inlineStr"/>
      <c r="BL287" t="inlineStr"/>
      <c r="BM287" t="inlineStr"/>
      <c r="BN287" t="n">
        <v>0</v>
      </c>
      <c r="BO287" t="inlineStr"/>
      <c r="BP287" t="inlineStr"/>
      <c r="BQ287" t="inlineStr"/>
      <c r="BR287" t="inlineStr"/>
      <c r="BS287" t="inlineStr"/>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c r="DB287" t="inlineStr"/>
      <c r="DC287" t="inlineStr"/>
      <c r="DD287" t="inlineStr"/>
      <c r="DE287" t="inlineStr"/>
      <c r="DF287" t="inlineStr"/>
      <c r="DG287" t="inlineStr"/>
    </row>
    <row r="288">
      <c r="A288" t="inlineStr">
        <is>
          <t>III</t>
        </is>
      </c>
      <c r="B288" t="b">
        <v>1</v>
      </c>
      <c r="C288" t="inlineStr"/>
      <c r="D288" t="inlineStr"/>
      <c r="E288" t="n">
        <v>340</v>
      </c>
      <c r="F288">
        <f>HYPERLINK("https://portal.dnb.de/opac.htm?method=simpleSearch&amp;cqlMode=true&amp;query=idn%3D1066842191", "Portal")</f>
        <v/>
      </c>
      <c r="G288" t="inlineStr">
        <is>
          <t>Aaf</t>
        </is>
      </c>
      <c r="H288" t="inlineStr">
        <is>
          <t>L-1531-315301937</t>
        </is>
      </c>
      <c r="I288" t="inlineStr">
        <is>
          <t>1066842191</t>
        </is>
      </c>
      <c r="J288" t="inlineStr">
        <is>
          <t>III 36, 3</t>
        </is>
      </c>
      <c r="K288" t="inlineStr">
        <is>
          <t>III 36, 3</t>
        </is>
      </c>
      <c r="L288" t="inlineStr">
        <is>
          <t>III 36, 3</t>
        </is>
      </c>
      <c r="M288" t="inlineStr"/>
      <c r="N288" t="inlineStr">
        <is>
          <t>Die @Heymlicheytenn Alberti Magni, Allen Hebammen vnd kindtbaren Frawen dienlich. Des ... Ludouici Bonaciole von Ferrari, etzliche artzneien vnd rath,</t>
        </is>
      </c>
      <c r="O288" t="inlineStr">
        <is>
          <t xml:space="preserve"> : </t>
        </is>
      </c>
      <c r="P288" t="inlineStr">
        <is>
          <t>X</t>
        </is>
      </c>
      <c r="Q288" t="inlineStr"/>
      <c r="R288" t="inlineStr">
        <is>
          <t>Pergamentband</t>
        </is>
      </c>
      <c r="S288" t="inlineStr">
        <is>
          <t>bis 25 cm</t>
        </is>
      </c>
      <c r="T288" t="inlineStr">
        <is>
          <t>180°</t>
        </is>
      </c>
      <c r="U288" t="inlineStr">
        <is>
          <t>hohler Rücken, Einband mit Schutz- oder Stoßkanten</t>
        </is>
      </c>
      <c r="V288" t="inlineStr"/>
      <c r="W288" t="inlineStr">
        <is>
          <t>Kassette</t>
        </is>
      </c>
      <c r="X288" t="inlineStr">
        <is>
          <t>Nein</t>
        </is>
      </c>
      <c r="Y288" t="n">
        <v>0</v>
      </c>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inlineStr"/>
      <c r="BI288" t="inlineStr"/>
      <c r="BJ288" t="inlineStr"/>
      <c r="BK288" t="inlineStr"/>
      <c r="BL288" t="inlineStr"/>
      <c r="BM288" t="inlineStr"/>
      <c r="BN288" t="n">
        <v>0</v>
      </c>
      <c r="BO288" t="inlineStr"/>
      <c r="BP288" t="inlineStr"/>
      <c r="BQ288" t="inlineStr"/>
      <c r="BR288" t="inlineStr"/>
      <c r="BS288" t="inlineStr"/>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c r="DB288" t="inlineStr"/>
      <c r="DC288" t="inlineStr"/>
      <c r="DD288" t="inlineStr"/>
      <c r="DE288" t="inlineStr"/>
      <c r="DF288" t="inlineStr"/>
      <c r="DG288" t="inlineStr"/>
    </row>
    <row r="289">
      <c r="A289" t="inlineStr">
        <is>
          <t>III</t>
        </is>
      </c>
      <c r="B289" t="b">
        <v>1</v>
      </c>
      <c r="C289" t="inlineStr"/>
      <c r="D289" t="inlineStr"/>
      <c r="E289" t="n">
        <v>341</v>
      </c>
      <c r="F289">
        <f>HYPERLINK("https://portal.dnb.de/opac.htm?method=simpleSearch&amp;cqlMode=true&amp;query=idn%3D1066963223", "Portal")</f>
        <v/>
      </c>
      <c r="G289" t="inlineStr">
        <is>
          <t>Aaf</t>
        </is>
      </c>
      <c r="H289" t="inlineStr">
        <is>
          <t>L-1531-315493496</t>
        </is>
      </c>
      <c r="I289" t="inlineStr">
        <is>
          <t>1066963223</t>
        </is>
      </c>
      <c r="J289" t="inlineStr">
        <is>
          <t>III 36, 4</t>
        </is>
      </c>
      <c r="K289" t="inlineStr">
        <is>
          <t>III 36, 4</t>
        </is>
      </c>
      <c r="L289" t="inlineStr">
        <is>
          <t>III 36, 4</t>
        </is>
      </c>
      <c r="M289" t="inlineStr"/>
      <c r="N289" t="inlineStr">
        <is>
          <t xml:space="preserve">Satzung/ Statuten vnd Ord=||nungen/ Best#[ae]ndiger/ gutter Regierung. Einer bil=||lichen/ ordenlichen Policei/ Jn ieden Rechten gegründtes Ebenbild. </t>
        </is>
      </c>
      <c r="O289" t="inlineStr">
        <is>
          <t xml:space="preserve"> : </t>
        </is>
      </c>
      <c r="P289" t="inlineStr">
        <is>
          <t>X</t>
        </is>
      </c>
      <c r="Q289" t="inlineStr"/>
      <c r="R289" t="inlineStr">
        <is>
          <t>Pergamentband</t>
        </is>
      </c>
      <c r="S289" t="inlineStr">
        <is>
          <t>bis 35 cm</t>
        </is>
      </c>
      <c r="T289" t="inlineStr">
        <is>
          <t>180°</t>
        </is>
      </c>
      <c r="U289" t="inlineStr">
        <is>
          <t>hohler Rücken</t>
        </is>
      </c>
      <c r="V289" t="inlineStr"/>
      <c r="W289" t="inlineStr">
        <is>
          <t>Kassette</t>
        </is>
      </c>
      <c r="X289" t="inlineStr">
        <is>
          <t>Nein</t>
        </is>
      </c>
      <c r="Y289" t="n">
        <v>0</v>
      </c>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inlineStr"/>
      <c r="BI289" t="inlineStr"/>
      <c r="BJ289" t="inlineStr"/>
      <c r="BK289" t="inlineStr"/>
      <c r="BL289" t="inlineStr"/>
      <c r="BM289" t="inlineStr"/>
      <c r="BN289" t="n">
        <v>0</v>
      </c>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c r="DB289" t="inlineStr"/>
      <c r="DC289" t="inlineStr"/>
      <c r="DD289" t="inlineStr"/>
      <c r="DE289" t="inlineStr"/>
      <c r="DF289" t="inlineStr"/>
      <c r="DG289" t="inlineStr"/>
    </row>
    <row r="290">
      <c r="A290" t="inlineStr">
        <is>
          <t>III</t>
        </is>
      </c>
      <c r="B290" t="b">
        <v>1</v>
      </c>
      <c r="C290" t="inlineStr"/>
      <c r="D290" t="inlineStr"/>
      <c r="E290" t="n">
        <v>342</v>
      </c>
      <c r="F290">
        <f>HYPERLINK("https://portal.dnb.de/opac.htm?method=simpleSearch&amp;cqlMode=true&amp;query=idn%3D1001583299", "Portal")</f>
        <v/>
      </c>
      <c r="G290" t="inlineStr">
        <is>
          <t>Aal</t>
        </is>
      </c>
      <c r="H290" t="inlineStr">
        <is>
          <t>L-1531-175175608</t>
        </is>
      </c>
      <c r="I290" t="inlineStr">
        <is>
          <t>1001583299</t>
        </is>
      </c>
      <c r="J290" t="inlineStr">
        <is>
          <t>III 36, 5</t>
        </is>
      </c>
      <c r="K290" t="inlineStr">
        <is>
          <t>III 36, 5</t>
        </is>
      </c>
      <c r="L290" t="inlineStr">
        <is>
          <t>III 36, 5</t>
        </is>
      </c>
      <c r="M290" t="inlineStr"/>
      <c r="N290" t="inlineStr">
        <is>
          <t>Zwölff Sibyllenweis=||sagungen : vil wunderbarer Zukünfft ; von anfang|| biß zu end der Welt besagende|| ; Der Küngin von Saba, küng Salomo gethane Pr</t>
        </is>
      </c>
      <c r="O290" t="inlineStr">
        <is>
          <t xml:space="preserve"> : </t>
        </is>
      </c>
      <c r="P290" t="inlineStr"/>
      <c r="Q290" t="inlineStr"/>
      <c r="R290" t="inlineStr">
        <is>
          <t>Halbpergamentband</t>
        </is>
      </c>
      <c r="S290" t="inlineStr">
        <is>
          <t>bis 25 cm</t>
        </is>
      </c>
      <c r="T290" t="inlineStr">
        <is>
          <t>180°</t>
        </is>
      </c>
      <c r="U290" t="inlineStr">
        <is>
          <t>hohler Rücken</t>
        </is>
      </c>
      <c r="V290" t="inlineStr"/>
      <c r="W290" t="inlineStr"/>
      <c r="X290" t="inlineStr"/>
      <c r="Y290" t="n">
        <v>0</v>
      </c>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inlineStr"/>
      <c r="BI290" t="inlineStr"/>
      <c r="BJ290" t="inlineStr"/>
      <c r="BK290" t="inlineStr"/>
      <c r="BL290" t="inlineStr"/>
      <c r="BM290" t="inlineStr"/>
      <c r="BN290" t="n">
        <v>0</v>
      </c>
      <c r="BO290" t="inlineStr"/>
      <c r="BP290" t="inlineStr"/>
      <c r="BQ290" t="inlineStr"/>
      <c r="BR290" t="inlineStr"/>
      <c r="BS290" t="inlineStr"/>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c r="DB290" t="inlineStr"/>
      <c r="DC290" t="inlineStr"/>
      <c r="DD290" t="inlineStr"/>
      <c r="DE290" t="inlineStr"/>
      <c r="DF290" t="inlineStr"/>
      <c r="DG290" t="inlineStr"/>
    </row>
    <row r="291">
      <c r="A291" t="inlineStr">
        <is>
          <t>III</t>
        </is>
      </c>
      <c r="B291" t="b">
        <v>1</v>
      </c>
      <c r="C291" t="inlineStr"/>
      <c r="D291" t="inlineStr"/>
      <c r="E291" t="n">
        <v>353</v>
      </c>
      <c r="F291">
        <f>HYPERLINK("https://portal.dnb.de/opac.htm?method=simpleSearch&amp;cqlMode=true&amp;query=idn%3D1066963320", "Portal")</f>
        <v/>
      </c>
      <c r="G291" t="inlineStr">
        <is>
          <t>Aaf</t>
        </is>
      </c>
      <c r="H291" t="inlineStr">
        <is>
          <t>L-1532-315493585</t>
        </is>
      </c>
      <c r="I291" t="inlineStr">
        <is>
          <t>1066963320</t>
        </is>
      </c>
      <c r="J291" t="inlineStr">
        <is>
          <t>III 36, 5 a</t>
        </is>
      </c>
      <c r="K291" t="inlineStr">
        <is>
          <t>III 36, 5 a</t>
        </is>
      </c>
      <c r="L291" t="inlineStr">
        <is>
          <t>III 36, 5 a</t>
        </is>
      </c>
      <c r="M291" t="inlineStr"/>
      <c r="N291" t="inlineStr">
        <is>
          <t>Zw#[oe]lff Sibyllen weissa=||gungen/ Vil wunderbarer Zukünfft/ Von anfang|| biß zu end der welt besagende.|| Der Künigiñ vonn Saba Künig Salo=||mon ge</t>
        </is>
      </c>
      <c r="O291" t="inlineStr">
        <is>
          <t xml:space="preserve"> : </t>
        </is>
      </c>
      <c r="P291" t="inlineStr">
        <is>
          <t>X</t>
        </is>
      </c>
      <c r="Q291" t="inlineStr"/>
      <c r="R291" t="inlineStr">
        <is>
          <t>Halbledereinband, Schließen, erhabene Buchbeschläge</t>
        </is>
      </c>
      <c r="S291" t="inlineStr">
        <is>
          <t>bis 25 cm</t>
        </is>
      </c>
      <c r="T291" t="inlineStr">
        <is>
          <t>80° bis 110°, einseitig digitalisierbar?</t>
        </is>
      </c>
      <c r="U291" t="inlineStr">
        <is>
          <t>hohler Rücken</t>
        </is>
      </c>
      <c r="V291" t="inlineStr"/>
      <c r="W291" t="inlineStr">
        <is>
          <t>Buchschuh</t>
        </is>
      </c>
      <c r="X291" t="inlineStr">
        <is>
          <t>Nein</t>
        </is>
      </c>
      <c r="Y291" t="n">
        <v>0</v>
      </c>
      <c r="Z291" t="inlineStr"/>
      <c r="AA291" t="inlineStr"/>
      <c r="AB291" t="inlineStr"/>
      <c r="AC291" t="inlineStr"/>
      <c r="AD291" t="inlineStr"/>
      <c r="AE291" t="inlineStr"/>
      <c r="AF291" t="inlineStr"/>
      <c r="AG291" t="inlineStr"/>
      <c r="AH291" t="inlineStr"/>
      <c r="AI291" t="inlineStr"/>
      <c r="AJ291" t="inlineStr"/>
      <c r="AK291" t="inlineStr"/>
      <c r="AL291" t="inlineStr"/>
      <c r="AM291" t="inlineStr"/>
      <c r="AN291" t="inlineStr"/>
      <c r="AO291" t="inlineStr"/>
      <c r="AP291" t="inlineStr"/>
      <c r="AQ291" t="inlineStr"/>
      <c r="AR291" t="inlineStr"/>
      <c r="AS291" t="inlineStr"/>
      <c r="AT291" t="inlineStr"/>
      <c r="AU291" t="inlineStr"/>
      <c r="AV291" t="inlineStr"/>
      <c r="AW291" t="inlineStr"/>
      <c r="AX291" t="inlineStr"/>
      <c r="AY291" t="inlineStr"/>
      <c r="AZ291" t="inlineStr"/>
      <c r="BA291" t="inlineStr"/>
      <c r="BB291" t="inlineStr"/>
      <c r="BC291" t="inlineStr"/>
      <c r="BD291" t="inlineStr"/>
      <c r="BE291" t="inlineStr"/>
      <c r="BF291" t="inlineStr"/>
      <c r="BG291" t="inlineStr"/>
      <c r="BH291" t="inlineStr"/>
      <c r="BI291" t="inlineStr"/>
      <c r="BJ291" t="inlineStr"/>
      <c r="BK291" t="inlineStr"/>
      <c r="BL291" t="inlineStr"/>
      <c r="BM291" t="inlineStr"/>
      <c r="BN291" t="n">
        <v>0</v>
      </c>
      <c r="BO291" t="inlineStr"/>
      <c r="BP291" t="inlineStr"/>
      <c r="BQ291" t="inlineStr"/>
      <c r="BR291" t="inlineStr"/>
      <c r="BS291" t="inlineStr"/>
      <c r="BT291" t="inlineStr"/>
      <c r="BU291" t="inlineStr"/>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c r="DB291" t="inlineStr"/>
      <c r="DC291" t="inlineStr"/>
      <c r="DD291" t="inlineStr"/>
      <c r="DE291" t="inlineStr"/>
      <c r="DF291" t="inlineStr"/>
      <c r="DG291" t="inlineStr"/>
    </row>
    <row r="292">
      <c r="A292" t="inlineStr">
        <is>
          <t>III</t>
        </is>
      </c>
      <c r="B292" t="b">
        <v>1</v>
      </c>
      <c r="C292" t="inlineStr"/>
      <c r="D292" t="inlineStr"/>
      <c r="E292" t="n">
        <v>343</v>
      </c>
      <c r="F292">
        <f>HYPERLINK("https://portal.dnb.de/opac.htm?method=simpleSearch&amp;cqlMode=true&amp;query=idn%3D1066874379", "Portal")</f>
        <v/>
      </c>
      <c r="G292" t="inlineStr">
        <is>
          <t>Aaf</t>
        </is>
      </c>
      <c r="H292" t="inlineStr">
        <is>
          <t>L-1533-315332182</t>
        </is>
      </c>
      <c r="I292" t="inlineStr">
        <is>
          <t>1066874379</t>
        </is>
      </c>
      <c r="J292" t="inlineStr">
        <is>
          <t>III 36, 6</t>
        </is>
      </c>
      <c r="K292" t="inlineStr">
        <is>
          <t>III 36, 6</t>
        </is>
      </c>
      <c r="L292" t="inlineStr">
        <is>
          <t>III 36, 6</t>
        </is>
      </c>
      <c r="M292" t="inlineStr"/>
      <c r="N292" t="inlineStr">
        <is>
          <t xml:space="preserve">Chronic|| von an vñ abgang : </t>
        </is>
      </c>
      <c r="O292" t="inlineStr">
        <is>
          <t xml:space="preserve"> : </t>
        </is>
      </c>
      <c r="P292" t="inlineStr">
        <is>
          <t>X</t>
        </is>
      </c>
      <c r="Q292" t="inlineStr"/>
      <c r="R292" t="inlineStr">
        <is>
          <t>Papier- oder Pappeinband</t>
        </is>
      </c>
      <c r="S292" t="inlineStr">
        <is>
          <t>bis 25 cm</t>
        </is>
      </c>
      <c r="T292" t="inlineStr">
        <is>
          <t>180°</t>
        </is>
      </c>
      <c r="U292" t="inlineStr">
        <is>
          <t>hohler Rücken</t>
        </is>
      </c>
      <c r="V292" t="inlineStr"/>
      <c r="W292" t="inlineStr"/>
      <c r="X292" t="inlineStr"/>
      <c r="Y292" t="n">
        <v>0</v>
      </c>
      <c r="Z292" t="inlineStr"/>
      <c r="AA292" t="inlineStr"/>
      <c r="AB292" t="inlineStr"/>
      <c r="AC292" t="inlineStr"/>
      <c r="AD292" t="inlineStr"/>
      <c r="AE292" t="inlineStr"/>
      <c r="AF292" t="inlineStr"/>
      <c r="AG292" t="inlineStr"/>
      <c r="AH292" t="inlineStr"/>
      <c r="AI292" t="inlineStr">
        <is>
          <t>Pg (Mak.)</t>
        </is>
      </c>
      <c r="AJ292" t="inlineStr"/>
      <c r="AK292" t="inlineStr"/>
      <c r="AL292" t="inlineStr"/>
      <c r="AM292" t="inlineStr">
        <is>
          <t>h</t>
        </is>
      </c>
      <c r="AN292" t="inlineStr"/>
      <c r="AO292" t="inlineStr"/>
      <c r="AP292" t="inlineStr"/>
      <c r="AQ292" t="inlineStr"/>
      <c r="AR292" t="inlineStr"/>
      <c r="AS292" t="inlineStr">
        <is>
          <t>Pa</t>
        </is>
      </c>
      <c r="AT292" t="inlineStr"/>
      <c r="AU292" t="inlineStr"/>
      <c r="AV292" t="inlineStr"/>
      <c r="AW292" t="inlineStr"/>
      <c r="AX292" t="inlineStr"/>
      <c r="AY292" t="inlineStr"/>
      <c r="AZ292" t="inlineStr"/>
      <c r="BA292" t="inlineStr"/>
      <c r="BB292" t="inlineStr"/>
      <c r="BC292" t="inlineStr"/>
      <c r="BD292" t="inlineStr"/>
      <c r="BE292" t="inlineStr"/>
      <c r="BF292" t="inlineStr"/>
      <c r="BG292" t="n">
        <v>110</v>
      </c>
      <c r="BH292" t="inlineStr"/>
      <c r="BI292" t="inlineStr"/>
      <c r="BJ292" t="inlineStr"/>
      <c r="BK292" t="inlineStr"/>
      <c r="BL292" t="inlineStr"/>
      <c r="BM292" t="inlineStr">
        <is>
          <t>n</t>
        </is>
      </c>
      <c r="BN292" t="n">
        <v>0</v>
      </c>
      <c r="BO292" t="inlineStr"/>
      <c r="BP292" t="inlineStr"/>
      <c r="BQ292" t="inlineStr"/>
      <c r="BR292" t="inlineStr"/>
      <c r="BS292" t="inlineStr"/>
      <c r="BT292" t="inlineStr"/>
      <c r="BU292" t="inlineStr"/>
      <c r="BV292" t="inlineStr">
        <is>
          <t>Schaden stabil</t>
        </is>
      </c>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c r="DB292" t="inlineStr"/>
      <c r="DC292" t="inlineStr"/>
      <c r="DD292" t="inlineStr"/>
      <c r="DE292" t="inlineStr"/>
      <c r="DF292" t="inlineStr"/>
      <c r="DG292" t="inlineStr"/>
    </row>
    <row r="293">
      <c r="A293" t="inlineStr">
        <is>
          <t>III</t>
        </is>
      </c>
      <c r="B293" t="b">
        <v>1</v>
      </c>
      <c r="C293" t="inlineStr"/>
      <c r="D293" t="inlineStr"/>
      <c r="E293" t="n">
        <v>344</v>
      </c>
      <c r="F293">
        <f>HYPERLINK("https://portal.dnb.de/opac.htm?method=simpleSearch&amp;cqlMode=true&amp;query=idn%3D1066962065", "Portal")</f>
        <v/>
      </c>
      <c r="G293" t="inlineStr">
        <is>
          <t>Aaf</t>
        </is>
      </c>
      <c r="H293" t="inlineStr">
        <is>
          <t>L-1533-315492465</t>
        </is>
      </c>
      <c r="I293" t="inlineStr">
        <is>
          <t>1066962065</t>
        </is>
      </c>
      <c r="J293" t="inlineStr">
        <is>
          <t>III 36, 7</t>
        </is>
      </c>
      <c r="K293" t="inlineStr">
        <is>
          <t>III 36, 7</t>
        </is>
      </c>
      <c r="L293" t="inlineStr">
        <is>
          <t>III 36, 7</t>
        </is>
      </c>
      <c r="M293" t="inlineStr"/>
      <c r="N293" t="inlineStr">
        <is>
          <t>EPITOME|| CHRONICORVM, AC MA=||gis insignium Historiarum Mundi uelut In||dex: Ab orbe condito ad haec usque|| tempora. Ex probatissimis|| quibusque Au</t>
        </is>
      </c>
      <c r="O293" t="inlineStr">
        <is>
          <t xml:space="preserve"> : </t>
        </is>
      </c>
      <c r="P293" t="inlineStr">
        <is>
          <t>X</t>
        </is>
      </c>
      <c r="Q293" t="inlineStr"/>
      <c r="R293" t="inlineStr">
        <is>
          <t>Ledereinband, Schließen, erhabene Buchbeschläge</t>
        </is>
      </c>
      <c r="S293" t="inlineStr">
        <is>
          <t>bis 25 cm</t>
        </is>
      </c>
      <c r="T293" t="inlineStr">
        <is>
          <t>80° bis 110°, einseitig digitalisierbar?</t>
        </is>
      </c>
      <c r="U293" t="inlineStr">
        <is>
          <t>hohler Rücken, Schrift bis in den Falz</t>
        </is>
      </c>
      <c r="V293" t="inlineStr"/>
      <c r="W293" t="inlineStr">
        <is>
          <t>Buchschuh</t>
        </is>
      </c>
      <c r="X293" t="inlineStr">
        <is>
          <t>Nein</t>
        </is>
      </c>
      <c r="Y293" t="n">
        <v>0</v>
      </c>
      <c r="Z293" t="inlineStr"/>
      <c r="AA293" t="inlineStr"/>
      <c r="AB293" t="inlineStr"/>
      <c r="AC293" t="inlineStr"/>
      <c r="AD293" t="inlineStr"/>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c r="BD293" t="inlineStr"/>
      <c r="BE293" t="inlineStr"/>
      <c r="BF293" t="inlineStr"/>
      <c r="BG293" t="inlineStr"/>
      <c r="BH293" t="inlineStr"/>
      <c r="BI293" t="inlineStr"/>
      <c r="BJ293" t="inlineStr"/>
      <c r="BK293" t="inlineStr"/>
      <c r="BL293" t="inlineStr"/>
      <c r="BM293" t="inlineStr"/>
      <c r="BN293" t="n">
        <v>0</v>
      </c>
      <c r="BO293" t="inlineStr"/>
      <c r="BP293" t="inlineStr"/>
      <c r="BQ293" t="inlineStr"/>
      <c r="BR293" t="inlineStr"/>
      <c r="BS293" t="inlineStr"/>
      <c r="BT293" t="inlineStr"/>
      <c r="BU293" t="inlineStr"/>
      <c r="BV293" t="inlineStr"/>
      <c r="BW293" t="inlineStr"/>
      <c r="BX293" t="inlineStr"/>
      <c r="BY293" t="inlineStr"/>
      <c r="BZ293" t="inlineStr"/>
      <c r="CA293" t="inlineStr"/>
      <c r="CB293" t="inlineStr"/>
      <c r="CC293" t="inlineStr"/>
      <c r="CD293" t="inlineStr"/>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c r="CV293" t="inlineStr"/>
      <c r="CW293" t="inlineStr"/>
      <c r="CX293" t="inlineStr"/>
      <c r="CY293" t="inlineStr"/>
      <c r="CZ293" t="inlineStr"/>
      <c r="DA293" t="inlineStr"/>
      <c r="DB293" t="inlineStr"/>
      <c r="DC293" t="inlineStr"/>
      <c r="DD293" t="inlineStr"/>
      <c r="DE293" t="inlineStr"/>
      <c r="DF293" t="inlineStr"/>
      <c r="DG293" t="inlineStr"/>
    </row>
    <row r="294">
      <c r="A294" t="inlineStr">
        <is>
          <t>III</t>
        </is>
      </c>
      <c r="B294" t="b">
        <v>1</v>
      </c>
      <c r="C294" t="inlineStr"/>
      <c r="D294" t="inlineStr"/>
      <c r="E294" t="n">
        <v>354</v>
      </c>
      <c r="F294">
        <f>HYPERLINK("https://portal.dnb.de/opac.htm?method=simpleSearch&amp;cqlMode=true&amp;query=idn%3D999124927", "Portal")</f>
        <v/>
      </c>
      <c r="G294" t="inlineStr">
        <is>
          <t>Aal</t>
        </is>
      </c>
      <c r="H294" t="inlineStr">
        <is>
          <t>L-1553-167584758</t>
        </is>
      </c>
      <c r="I294" t="inlineStr">
        <is>
          <t>999124927</t>
        </is>
      </c>
      <c r="J294" t="inlineStr">
        <is>
          <t>III 36, 7a</t>
        </is>
      </c>
      <c r="K294" t="inlineStr">
        <is>
          <t>III 36, 7a</t>
        </is>
      </c>
      <c r="L294" t="inlineStr">
        <is>
          <t>III 36, 7 a</t>
        </is>
      </c>
      <c r="M294" t="inlineStr"/>
      <c r="N294" t="inlineStr">
        <is>
          <t xml:space="preserve">[Thewerdanck|| Des Edlen|| Streitbaren Hel||den vnd Ritters|| Ehr vnd mannliche Thaten|| Geschichten vnd Gefehrlicheiten|| ...|| Mit schoenen Figuren </t>
        </is>
      </c>
      <c r="O294" t="inlineStr">
        <is>
          <t xml:space="preserve"> : </t>
        </is>
      </c>
      <c r="P294" t="inlineStr">
        <is>
          <t>X</t>
        </is>
      </c>
      <c r="Q294" t="inlineStr"/>
      <c r="R294" t="inlineStr">
        <is>
          <t>Pergamentband</t>
        </is>
      </c>
      <c r="S294" t="inlineStr">
        <is>
          <t>bis 35 cm</t>
        </is>
      </c>
      <c r="T294" t="inlineStr">
        <is>
          <t>80° bis 110°, einseitig digitalisierbar?</t>
        </is>
      </c>
      <c r="U294" t="inlineStr">
        <is>
          <t>hohler Rücken</t>
        </is>
      </c>
      <c r="V294" t="inlineStr"/>
      <c r="W294" t="inlineStr">
        <is>
          <t xml:space="preserve">Papierumschlag </t>
        </is>
      </c>
      <c r="X294" t="inlineStr">
        <is>
          <t>Ja</t>
        </is>
      </c>
      <c r="Y294" t="n">
        <v>0</v>
      </c>
      <c r="Z294" t="inlineStr"/>
      <c r="AA294" t="inlineStr"/>
      <c r="AB294" t="inlineStr"/>
      <c r="AC294" t="inlineStr"/>
      <c r="AD294" t="inlineStr"/>
      <c r="AE294" t="inlineStr"/>
      <c r="AF294" t="inlineStr"/>
      <c r="AG294" t="inlineStr"/>
      <c r="AH294" t="inlineStr"/>
      <c r="AI294" t="inlineStr"/>
      <c r="AJ294" t="inlineStr"/>
      <c r="AK294" t="inlineStr"/>
      <c r="AL294" t="inlineStr"/>
      <c r="AM294" t="inlineStr"/>
      <c r="AN294" t="inlineStr"/>
      <c r="AO294" t="inlineStr"/>
      <c r="AP294" t="inlineStr"/>
      <c r="AQ294" t="inlineStr"/>
      <c r="AR294" t="inlineStr"/>
      <c r="AS294" t="inlineStr"/>
      <c r="AT294" t="inlineStr"/>
      <c r="AU294" t="inlineStr"/>
      <c r="AV294" t="inlineStr"/>
      <c r="AW294" t="inlineStr"/>
      <c r="AX294" t="inlineStr"/>
      <c r="AY294" t="inlineStr"/>
      <c r="AZ294" t="inlineStr"/>
      <c r="BA294" t="inlineStr"/>
      <c r="BB294" t="inlineStr"/>
      <c r="BC294" t="inlineStr"/>
      <c r="BD294" t="inlineStr"/>
      <c r="BE294" t="inlineStr"/>
      <c r="BF294" t="inlineStr"/>
      <c r="BG294" t="inlineStr"/>
      <c r="BH294" t="inlineStr"/>
      <c r="BI294" t="inlineStr"/>
      <c r="BJ294" t="inlineStr"/>
      <c r="BK294" t="inlineStr"/>
      <c r="BL294" t="inlineStr"/>
      <c r="BM294" t="inlineStr"/>
      <c r="BN294" t="n">
        <v>0</v>
      </c>
      <c r="BO294" t="inlineStr"/>
      <c r="BP294" t="inlineStr"/>
      <c r="BQ294" t="inlineStr"/>
      <c r="BR294" t="inlineStr"/>
      <c r="BS294" t="inlineStr"/>
      <c r="BT294" t="inlineStr"/>
      <c r="BU294" t="inlineStr"/>
      <c r="BV294" t="inlineStr"/>
      <c r="BW294" t="inlineStr"/>
      <c r="BX294" t="inlineStr"/>
      <c r="BY294" t="inlineStr"/>
      <c r="BZ294" t="inlineStr"/>
      <c r="CA294" t="inlineStr"/>
      <c r="CB294" t="inlineStr"/>
      <c r="CC294" t="inlineStr"/>
      <c r="CD294" t="inlineStr"/>
      <c r="CE294" t="inlineStr"/>
      <c r="CF294" t="inlineStr"/>
      <c r="CG294" t="inlineStr"/>
      <c r="CH294" t="inlineStr"/>
      <c r="CI294" t="inlineStr"/>
      <c r="CJ294" t="inlineStr"/>
      <c r="CK294" t="inlineStr"/>
      <c r="CL294" t="inlineStr"/>
      <c r="CM294" t="inlineStr"/>
      <c r="CN294" t="inlineStr"/>
      <c r="CO294" t="inlineStr"/>
      <c r="CP294" t="inlineStr"/>
      <c r="CQ294" t="inlineStr"/>
      <c r="CR294" t="inlineStr"/>
      <c r="CS294" t="inlineStr"/>
      <c r="CT294" t="inlineStr"/>
      <c r="CU294" t="inlineStr"/>
      <c r="CV294" t="inlineStr"/>
      <c r="CW294" t="inlineStr"/>
      <c r="CX294" t="inlineStr"/>
      <c r="CY294" t="inlineStr"/>
      <c r="CZ294" t="inlineStr"/>
      <c r="DA294" t="inlineStr"/>
      <c r="DB294" t="inlineStr"/>
      <c r="DC294" t="inlineStr"/>
      <c r="DD294" t="inlineStr"/>
      <c r="DE294" t="inlineStr"/>
      <c r="DF294" t="inlineStr"/>
      <c r="DG294" t="inlineStr"/>
    </row>
    <row r="295">
      <c r="A295" t="inlineStr">
        <is>
          <t>III</t>
        </is>
      </c>
      <c r="B295" t="b">
        <v>1</v>
      </c>
      <c r="C295" t="inlineStr"/>
      <c r="D295" t="inlineStr"/>
      <c r="E295" t="n">
        <v>345</v>
      </c>
      <c r="F295">
        <f>HYPERLINK("https://portal.dnb.de/opac.htm?method=simpleSearch&amp;cqlMode=true&amp;query=idn%3D1066957878", "Portal")</f>
        <v/>
      </c>
      <c r="G295" t="inlineStr">
        <is>
          <t>Aaf</t>
        </is>
      </c>
      <c r="H295" t="inlineStr">
        <is>
          <t>L-1555-315488506</t>
        </is>
      </c>
      <c r="I295" t="inlineStr">
        <is>
          <t>1066957878</t>
        </is>
      </c>
      <c r="J295" t="inlineStr">
        <is>
          <t>III 36, 8</t>
        </is>
      </c>
      <c r="K295" t="inlineStr">
        <is>
          <t>III 36, 8</t>
        </is>
      </c>
      <c r="L295" t="inlineStr">
        <is>
          <t>III 36, 8</t>
        </is>
      </c>
      <c r="M295" t="inlineStr"/>
      <c r="N295" t="inlineStr">
        <is>
          <t>M. Elucidarius/ von|| allerhandt gesch#[oe]pffen Gottes/ den|| Engeln/ den Himeln/ Gestirns/ Planeten/ vnnd|| wie alle Creaturn geschaffen sein auff e</t>
        </is>
      </c>
      <c r="O295" t="inlineStr">
        <is>
          <t xml:space="preserve"> : </t>
        </is>
      </c>
      <c r="P295" t="inlineStr">
        <is>
          <t>X</t>
        </is>
      </c>
      <c r="Q295" t="inlineStr"/>
      <c r="R295" t="inlineStr">
        <is>
          <t>Halbgewebeband, Schließen, erhabene Buchbeschläge</t>
        </is>
      </c>
      <c r="S295" t="inlineStr">
        <is>
          <t>bis 25 cm</t>
        </is>
      </c>
      <c r="T295" t="inlineStr">
        <is>
          <t>180°</t>
        </is>
      </c>
      <c r="U295" t="inlineStr">
        <is>
          <t>hohler Rücken</t>
        </is>
      </c>
      <c r="V295" t="inlineStr"/>
      <c r="W295" t="inlineStr">
        <is>
          <t>Buchschuh</t>
        </is>
      </c>
      <c r="X295" t="inlineStr">
        <is>
          <t>Nein</t>
        </is>
      </c>
      <c r="Y295" t="n">
        <v>0</v>
      </c>
      <c r="Z295" t="inlineStr"/>
      <c r="AA295" t="inlineStr"/>
      <c r="AB295" t="inlineStr"/>
      <c r="AC295" t="inlineStr"/>
      <c r="AD295" t="inlineStr"/>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c r="BD295" t="inlineStr"/>
      <c r="BE295" t="inlineStr"/>
      <c r="BF295" t="inlineStr"/>
      <c r="BG295" t="inlineStr"/>
      <c r="BH295" t="inlineStr"/>
      <c r="BI295" t="inlineStr"/>
      <c r="BJ295" t="inlineStr"/>
      <c r="BK295" t="inlineStr"/>
      <c r="BL295" t="inlineStr"/>
      <c r="BM295" t="inlineStr"/>
      <c r="BN295" t="n">
        <v>0</v>
      </c>
      <c r="BO295" t="inlineStr"/>
      <c r="BP295" t="inlineStr"/>
      <c r="BQ295" t="inlineStr"/>
      <c r="BR295" t="inlineStr"/>
      <c r="BS295" t="inlineStr"/>
      <c r="BT295" t="inlineStr"/>
      <c r="BU295" t="inlineStr"/>
      <c r="BV295" t="inlineStr"/>
      <c r="BW295" t="inlineStr"/>
      <c r="BX295" t="inlineStr"/>
      <c r="BY295" t="inlineStr"/>
      <c r="BZ295" t="inlineStr"/>
      <c r="CA295" t="inlineStr"/>
      <c r="CB295" t="inlineStr"/>
      <c r="CC295" t="inlineStr"/>
      <c r="CD295" t="inlineStr"/>
      <c r="CE295" t="inlineStr"/>
      <c r="CF295" t="inlineStr"/>
      <c r="CG295" t="inlineStr"/>
      <c r="CH295" t="inlineStr"/>
      <c r="CI295" t="inlineStr"/>
      <c r="CJ295" t="inlineStr"/>
      <c r="CK295" t="inlineStr"/>
      <c r="CL295" t="inlineStr"/>
      <c r="CM295" t="inlineStr"/>
      <c r="CN295" t="inlineStr"/>
      <c r="CO295" t="inlineStr"/>
      <c r="CP295" t="inlineStr"/>
      <c r="CQ295" t="inlineStr"/>
      <c r="CR295" t="inlineStr"/>
      <c r="CS295" t="inlineStr"/>
      <c r="CT295" t="inlineStr"/>
      <c r="CU295" t="inlineStr"/>
      <c r="CV295" t="inlineStr"/>
      <c r="CW295" t="inlineStr"/>
      <c r="CX295" t="inlineStr"/>
      <c r="CY295" t="inlineStr"/>
      <c r="CZ295" t="inlineStr"/>
      <c r="DA295" t="inlineStr"/>
      <c r="DB295" t="inlineStr"/>
      <c r="DC295" t="inlineStr"/>
      <c r="DD295" t="inlineStr"/>
      <c r="DE295" t="inlineStr"/>
      <c r="DF295" t="inlineStr"/>
      <c r="DG295" t="inlineStr"/>
    </row>
    <row r="296">
      <c r="A296" t="inlineStr">
        <is>
          <t>III</t>
        </is>
      </c>
      <c r="B296" t="b">
        <v>1</v>
      </c>
      <c r="C296" t="inlineStr"/>
      <c r="D296" t="inlineStr"/>
      <c r="E296" t="n">
        <v>346</v>
      </c>
      <c r="F296">
        <f>HYPERLINK("https://portal.dnb.de/opac.htm?method=simpleSearch&amp;cqlMode=true&amp;query=idn%3D1066963533", "Portal")</f>
        <v/>
      </c>
      <c r="G296" t="inlineStr">
        <is>
          <t>Aaf</t>
        </is>
      </c>
      <c r="H296" t="inlineStr">
        <is>
          <t>L-1556-315493763</t>
        </is>
      </c>
      <c r="I296" t="inlineStr">
        <is>
          <t>1066963533</t>
        </is>
      </c>
      <c r="J296" t="inlineStr">
        <is>
          <t>III 36, 9</t>
        </is>
      </c>
      <c r="K296" t="inlineStr">
        <is>
          <t>III 36, 9</t>
        </is>
      </c>
      <c r="L296" t="inlineStr">
        <is>
          <t>III 36, 9</t>
        </is>
      </c>
      <c r="M296" t="inlineStr"/>
      <c r="N296" t="inlineStr">
        <is>
          <t>Das @groß Pla=||neten Buch.|| Darinn das Erst Theil sagt/ von natur/ eigen-||thumb vnd w#[ue]rckung der sieben Planeten/ vnd zw#[oe]lff zeichen des Hi</t>
        </is>
      </c>
      <c r="O296" t="inlineStr">
        <is>
          <t xml:space="preserve"> : </t>
        </is>
      </c>
      <c r="P296" t="inlineStr">
        <is>
          <t>X</t>
        </is>
      </c>
      <c r="Q296" t="inlineStr"/>
      <c r="R296" t="inlineStr">
        <is>
          <t>Pergamentband</t>
        </is>
      </c>
      <c r="S296" t="inlineStr">
        <is>
          <t>bis 25 cm</t>
        </is>
      </c>
      <c r="T296" t="inlineStr">
        <is>
          <t>80° bis 110°, einseitig digitalisierbar?</t>
        </is>
      </c>
      <c r="U296" t="inlineStr">
        <is>
          <t>hohler Rücken</t>
        </is>
      </c>
      <c r="V296" t="inlineStr"/>
      <c r="W296" t="inlineStr">
        <is>
          <t>Kassette</t>
        </is>
      </c>
      <c r="X296" t="inlineStr">
        <is>
          <t>Nein</t>
        </is>
      </c>
      <c r="Y296" t="n">
        <v>0</v>
      </c>
      <c r="Z296" t="inlineStr"/>
      <c r="AA296" t="inlineStr">
        <is>
          <t>Kassette enthält auch alten Einband</t>
        </is>
      </c>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inlineStr"/>
      <c r="BI296" t="inlineStr"/>
      <c r="BJ296" t="inlineStr"/>
      <c r="BK296" t="inlineStr"/>
      <c r="BL296" t="inlineStr"/>
      <c r="BM296" t="inlineStr"/>
      <c r="BN296" t="n">
        <v>0</v>
      </c>
      <c r="BO296" t="inlineStr"/>
      <c r="BP296" t="inlineStr"/>
      <c r="BQ296" t="inlineStr"/>
      <c r="BR296" t="inlineStr"/>
      <c r="BS296" t="inlineStr"/>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c r="DB296" t="inlineStr"/>
      <c r="DC296" t="inlineStr"/>
      <c r="DD296" t="inlineStr"/>
      <c r="DE296" t="inlineStr"/>
      <c r="DF296" t="inlineStr"/>
      <c r="DG296" t="inlineStr"/>
    </row>
    <row r="297">
      <c r="A297" t="inlineStr">
        <is>
          <t>III</t>
        </is>
      </c>
      <c r="B297" t="b">
        <v>1</v>
      </c>
      <c r="C297" t="inlineStr">
        <is>
          <t>x</t>
        </is>
      </c>
      <c r="D297" t="inlineStr"/>
      <c r="E297" t="n">
        <v>347</v>
      </c>
      <c r="F297">
        <f>HYPERLINK("https://portal.dnb.de/opac.htm?method=simpleSearch&amp;cqlMode=true&amp;query=idn%3D1066962928", "Portal")</f>
        <v/>
      </c>
      <c r="G297" t="inlineStr">
        <is>
          <t>Aaf</t>
        </is>
      </c>
      <c r="H297" t="inlineStr">
        <is>
          <t>L-1560-315493194</t>
        </is>
      </c>
      <c r="I297" t="inlineStr">
        <is>
          <t>1066962928</t>
        </is>
      </c>
      <c r="J297" t="inlineStr">
        <is>
          <t>III 36, 10</t>
        </is>
      </c>
      <c r="K297" t="inlineStr">
        <is>
          <t>III 36, 10</t>
        </is>
      </c>
      <c r="L297" t="inlineStr">
        <is>
          <t>III 36, 10</t>
        </is>
      </c>
      <c r="M297" t="inlineStr"/>
      <c r="N297" t="inlineStr">
        <is>
          <t>Eigentlicher be=||richt/ der Erfinder aller|| ding/ Nemlich/|| Wie alle Geistliche vnnd Weltliche sachen/|| K#[ue]nste/ Handtwercker vnd H#[ae]ndel #[</t>
        </is>
      </c>
      <c r="O297" t="inlineStr">
        <is>
          <t xml:space="preserve"> : </t>
        </is>
      </c>
      <c r="P297" t="inlineStr">
        <is>
          <t>X</t>
        </is>
      </c>
      <c r="Q297" t="inlineStr"/>
      <c r="R297" t="inlineStr">
        <is>
          <t>Ledereinband, Schließen, erhabene Buchbeschläge</t>
        </is>
      </c>
      <c r="S297" t="inlineStr">
        <is>
          <t>bis 25 cm</t>
        </is>
      </c>
      <c r="T297" t="inlineStr">
        <is>
          <t>80° bis 110°, einseitig digitalisierbar?</t>
        </is>
      </c>
      <c r="U297" t="inlineStr">
        <is>
          <t>fester Rücken mit Schmuckprägung, Schrift bis in den Falz</t>
        </is>
      </c>
      <c r="V297" t="inlineStr"/>
      <c r="W297" t="inlineStr">
        <is>
          <t>Buchschuh</t>
        </is>
      </c>
      <c r="X297" t="inlineStr">
        <is>
          <t>Nein</t>
        </is>
      </c>
      <c r="Y297" t="n">
        <v>1</v>
      </c>
      <c r="Z297" t="inlineStr"/>
      <c r="AA297" t="inlineStr"/>
      <c r="AB297" t="inlineStr"/>
      <c r="AC297" t="inlineStr"/>
      <c r="AD297" t="inlineStr"/>
      <c r="AE297" t="inlineStr"/>
      <c r="AF297" t="inlineStr"/>
      <c r="AG297" t="inlineStr"/>
      <c r="AH297" t="inlineStr"/>
      <c r="AI297" t="inlineStr">
        <is>
          <t>HD</t>
        </is>
      </c>
      <c r="AJ297" t="inlineStr"/>
      <c r="AK297" t="inlineStr"/>
      <c r="AL297" t="inlineStr"/>
      <c r="AM297" t="inlineStr">
        <is>
          <t>f</t>
        </is>
      </c>
      <c r="AN297" t="inlineStr"/>
      <c r="AO297" t="inlineStr"/>
      <c r="AP297" t="inlineStr"/>
      <c r="AQ297" t="inlineStr"/>
      <c r="AR297" t="inlineStr"/>
      <c r="AS297" t="inlineStr">
        <is>
          <t>Pa</t>
        </is>
      </c>
      <c r="AT297" t="inlineStr"/>
      <c r="AU297" t="inlineStr">
        <is>
          <t>x</t>
        </is>
      </c>
      <c r="AV297" t="inlineStr"/>
      <c r="AW297" t="inlineStr"/>
      <c r="AX297" t="inlineStr"/>
      <c r="AY297" t="inlineStr"/>
      <c r="AZ297" t="inlineStr"/>
      <c r="BA297" t="inlineStr"/>
      <c r="BB297" t="inlineStr"/>
      <c r="BC297" t="inlineStr"/>
      <c r="BD297" t="inlineStr"/>
      <c r="BE297" t="inlineStr"/>
      <c r="BF297" t="inlineStr"/>
      <c r="BG297" t="n">
        <v>60</v>
      </c>
      <c r="BH297" t="inlineStr"/>
      <c r="BI297" t="inlineStr"/>
      <c r="BJ297" t="inlineStr"/>
      <c r="BK297" t="inlineStr"/>
      <c r="BL297" t="inlineStr"/>
      <c r="BM297" t="inlineStr">
        <is>
          <t>ja vor</t>
        </is>
      </c>
      <c r="BN297" t="n">
        <v>1</v>
      </c>
      <c r="BO297" t="inlineStr"/>
      <c r="BP297" t="inlineStr"/>
      <c r="BQ297" t="inlineStr"/>
      <c r="BR297" t="inlineStr">
        <is>
          <t>x</t>
        </is>
      </c>
      <c r="BS297" t="inlineStr"/>
      <c r="BT297" t="inlineStr"/>
      <c r="BU297" t="inlineStr"/>
      <c r="BV297" t="inlineStr"/>
      <c r="BW297" t="inlineStr"/>
      <c r="BX297" t="inlineStr"/>
      <c r="BY297" t="inlineStr"/>
      <c r="BZ297" t="inlineStr">
        <is>
          <t>x</t>
        </is>
      </c>
      <c r="CA297" t="inlineStr"/>
      <c r="CB297" t="inlineStr">
        <is>
          <t>x</t>
        </is>
      </c>
      <c r="CC297" t="inlineStr"/>
      <c r="CD297" t="inlineStr"/>
      <c r="CE297" t="inlineStr"/>
      <c r="CF297" t="inlineStr"/>
      <c r="CG297" t="inlineStr"/>
      <c r="CH297" t="inlineStr">
        <is>
          <t>x</t>
        </is>
      </c>
      <c r="CI297" t="inlineStr"/>
      <c r="CJ297" t="inlineStr"/>
      <c r="CK297" t="inlineStr"/>
      <c r="CL297" t="inlineStr"/>
      <c r="CM297" t="n">
        <v>1</v>
      </c>
      <c r="CN297" t="inlineStr">
        <is>
          <t>am Rücken Leder fixieren und mit JP überfangen, Schließe: ggf. Material einfügen</t>
        </is>
      </c>
      <c r="CO297" t="inlineStr"/>
      <c r="CP297" t="inlineStr"/>
      <c r="CQ297" t="inlineStr"/>
      <c r="CR297" t="inlineStr"/>
      <c r="CS297" t="inlineStr"/>
      <c r="CT297" t="inlineStr"/>
      <c r="CU297" t="inlineStr"/>
      <c r="CV297" t="inlineStr"/>
      <c r="CW297" t="inlineStr"/>
      <c r="CX297" t="inlineStr"/>
      <c r="CY297" t="inlineStr"/>
      <c r="CZ297" t="inlineStr"/>
      <c r="DA297" t="inlineStr"/>
      <c r="DB297" t="inlineStr"/>
      <c r="DC297" t="inlineStr"/>
      <c r="DD297" t="inlineStr"/>
      <c r="DE297" t="inlineStr"/>
      <c r="DF297" t="inlineStr"/>
      <c r="DG297" t="inlineStr"/>
    </row>
    <row r="298">
      <c r="A298" t="inlineStr">
        <is>
          <t>III</t>
        </is>
      </c>
      <c r="B298" t="b">
        <v>0</v>
      </c>
      <c r="C298" t="inlineStr"/>
      <c r="D298" t="inlineStr"/>
      <c r="E298" t="n">
        <v>348</v>
      </c>
      <c r="F298">
        <f>HYPERLINK("https://portal.dnb.de/opac.htm?method=simpleSearch&amp;cqlMode=true&amp;query=idn%3D1132638577", "Portal")</f>
        <v/>
      </c>
      <c r="G298" t="inlineStr"/>
      <c r="H298" t="inlineStr">
        <is>
          <t>L-9999-406955883</t>
        </is>
      </c>
      <c r="I298" t="inlineStr">
        <is>
          <t>1132638577</t>
        </is>
      </c>
      <c r="J298" t="inlineStr"/>
      <c r="K298" t="inlineStr"/>
      <c r="L298" t="inlineStr">
        <is>
          <t>III 36, 11</t>
        </is>
      </c>
      <c r="M298" t="inlineStr"/>
      <c r="N298" t="inlineStr"/>
      <c r="O298" t="inlineStr"/>
      <c r="P298" t="inlineStr"/>
      <c r="Q298" t="inlineStr"/>
      <c r="R298" t="inlineStr"/>
      <c r="S298" t="inlineStr"/>
      <c r="T298" t="inlineStr"/>
      <c r="U298" t="inlineStr"/>
      <c r="V298" t="inlineStr"/>
      <c r="W298" t="inlineStr"/>
      <c r="X298" t="inlineStr"/>
      <c r="Y298" t="inlineStr"/>
      <c r="Z298" t="inlineStr"/>
      <c r="AA298" t="inlineStr"/>
      <c r="AB298" t="inlineStr"/>
      <c r="AC298" t="inlineStr"/>
      <c r="AD298" t="inlineStr">
        <is>
          <t>DA</t>
        </is>
      </c>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inlineStr"/>
      <c r="BI298" t="inlineStr"/>
      <c r="BJ298" t="inlineStr"/>
      <c r="BK298" t="inlineStr"/>
      <c r="BL298" t="inlineStr"/>
      <c r="BM298" t="inlineStr"/>
      <c r="BN298" t="n">
        <v>0</v>
      </c>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c r="DB298" t="inlineStr"/>
      <c r="DC298" t="inlineStr"/>
      <c r="DD298" t="inlineStr"/>
      <c r="DE298" t="inlineStr"/>
      <c r="DF298" t="inlineStr"/>
      <c r="DG298" t="inlineStr"/>
    </row>
    <row r="299">
      <c r="A299" t="inlineStr">
        <is>
          <t>III</t>
        </is>
      </c>
      <c r="B299" t="b">
        <v>0</v>
      </c>
      <c r="C299" t="inlineStr"/>
      <c r="D299" t="inlineStr"/>
      <c r="E299" t="n">
        <v>349</v>
      </c>
      <c r="F299">
        <f>HYPERLINK("https://portal.dnb.de/opac.htm?method=simpleSearch&amp;cqlMode=true&amp;query=idn%3D1066961808", "Portal")</f>
        <v/>
      </c>
      <c r="G299" t="inlineStr"/>
      <c r="H299" t="inlineStr">
        <is>
          <t>L-1550-315492201</t>
        </is>
      </c>
      <c r="I299" t="inlineStr">
        <is>
          <t>1066961808</t>
        </is>
      </c>
      <c r="J299" t="inlineStr"/>
      <c r="K299" t="inlineStr"/>
      <c r="L299" t="inlineStr">
        <is>
          <t>III 36, 12</t>
        </is>
      </c>
      <c r="M299" t="inlineStr"/>
      <c r="N299" t="inlineStr"/>
      <c r="O299" t="inlineStr"/>
      <c r="P299" t="inlineStr"/>
      <c r="Q299" t="inlineStr"/>
      <c r="R299" t="inlineStr"/>
      <c r="S299" t="inlineStr"/>
      <c r="T299" t="inlineStr"/>
      <c r="U299" t="inlineStr"/>
      <c r="V299" t="inlineStr"/>
      <c r="W299" t="inlineStr"/>
      <c r="X299" t="inlineStr"/>
      <c r="Y299" t="inlineStr"/>
      <c r="Z299" t="inlineStr"/>
      <c r="AA299" t="inlineStr"/>
      <c r="AB299" t="inlineStr"/>
      <c r="AC299" t="inlineStr"/>
      <c r="AD299" t="inlineStr">
        <is>
          <t>DA</t>
        </is>
      </c>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c r="BD299" t="inlineStr"/>
      <c r="BE299" t="inlineStr"/>
      <c r="BF299" t="inlineStr"/>
      <c r="BG299" t="inlineStr"/>
      <c r="BH299" t="inlineStr"/>
      <c r="BI299" t="inlineStr"/>
      <c r="BJ299" t="inlineStr"/>
      <c r="BK299" t="inlineStr"/>
      <c r="BL299" t="inlineStr"/>
      <c r="BM299" t="inlineStr"/>
      <c r="BN299" t="n">
        <v>0</v>
      </c>
      <c r="BO299" t="inlineStr"/>
      <c r="BP299" t="inlineStr"/>
      <c r="BQ299" t="inlineStr"/>
      <c r="BR299" t="inlineStr"/>
      <c r="BS299" t="inlineStr"/>
      <c r="BT299" t="inlineStr"/>
      <c r="BU299" t="inlineStr"/>
      <c r="BV299" t="inlineStr"/>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c r="DA299" t="inlineStr"/>
      <c r="DB299" t="inlineStr"/>
      <c r="DC299" t="inlineStr"/>
      <c r="DD299" t="inlineStr"/>
      <c r="DE299" t="inlineStr"/>
      <c r="DF299" t="inlineStr"/>
      <c r="DG299" t="inlineStr"/>
    </row>
    <row r="300">
      <c r="A300" t="inlineStr">
        <is>
          <t>III</t>
        </is>
      </c>
      <c r="B300" t="b">
        <v>1</v>
      </c>
      <c r="C300" t="inlineStr"/>
      <c r="D300" t="inlineStr"/>
      <c r="E300" t="n">
        <v>350</v>
      </c>
      <c r="F300">
        <f>HYPERLINK("https://portal.dnb.de/opac.htm?method=simpleSearch&amp;cqlMode=true&amp;query=idn%3D999174002", "Portal")</f>
        <v/>
      </c>
      <c r="G300" t="inlineStr">
        <is>
          <t>Aal</t>
        </is>
      </c>
      <c r="H300" t="inlineStr">
        <is>
          <t>L-1555-16764758X</t>
        </is>
      </c>
      <c r="I300" t="inlineStr">
        <is>
          <t>999174002</t>
        </is>
      </c>
      <c r="J300" t="inlineStr">
        <is>
          <t>III 36, 13</t>
        </is>
      </c>
      <c r="K300" t="inlineStr">
        <is>
          <t>III 36, 13</t>
        </is>
      </c>
      <c r="L300" t="inlineStr">
        <is>
          <t>III 36, 13</t>
        </is>
      </c>
      <c r="M300" t="inlineStr"/>
      <c r="N300" t="inlineStr">
        <is>
          <t>Manual oder|| Handtbüchlin : Darin||nen die fürnembste Heubtartickel der|| warhafftigen Christlichen Lere, in Frage|| vnd Antwort gestellet seind, gem</t>
        </is>
      </c>
      <c r="O300" t="inlineStr">
        <is>
          <t xml:space="preserve"> : </t>
        </is>
      </c>
      <c r="P300" t="inlineStr"/>
      <c r="Q300" t="inlineStr"/>
      <c r="R300" t="inlineStr">
        <is>
          <t>Halbpergamentband</t>
        </is>
      </c>
      <c r="S300" t="inlineStr">
        <is>
          <t>bis 25 cm</t>
        </is>
      </c>
      <c r="T300" t="inlineStr">
        <is>
          <t>80° bis 110°, einseitig digitalisierbar?</t>
        </is>
      </c>
      <c r="U300" t="inlineStr">
        <is>
          <t>hohler Rücken, Schrift bis in den Falz</t>
        </is>
      </c>
      <c r="V300" t="inlineStr"/>
      <c r="W300" t="inlineStr"/>
      <c r="X300" t="inlineStr">
        <is>
          <t>Signaturfahne austauschen</t>
        </is>
      </c>
      <c r="Y300" t="n">
        <v>1</v>
      </c>
      <c r="Z300" t="inlineStr"/>
      <c r="AA300" t="inlineStr"/>
      <c r="AB300" t="inlineStr"/>
      <c r="AC300" t="inlineStr"/>
      <c r="AD300" t="inlineStr"/>
      <c r="AE300" t="inlineStr"/>
      <c r="AF300" t="inlineStr"/>
      <c r="AG300" t="inlineStr"/>
      <c r="AH300" t="inlineStr"/>
      <c r="AI300" t="inlineStr"/>
      <c r="AJ300" t="inlineStr"/>
      <c r="AK300" t="inlineStr"/>
      <c r="AL300" t="inlineStr"/>
      <c r="AM300" t="inlineStr"/>
      <c r="AN300" t="inlineStr"/>
      <c r="AO300" t="inlineStr"/>
      <c r="AP300" t="inlineStr"/>
      <c r="AQ300" t="inlineStr"/>
      <c r="AR300" t="inlineStr"/>
      <c r="AS300" t="inlineStr"/>
      <c r="AT300" t="inlineStr"/>
      <c r="AU300" t="inlineStr"/>
      <c r="AV300" t="inlineStr"/>
      <c r="AW300" t="inlineStr"/>
      <c r="AX300" t="inlineStr"/>
      <c r="AY300" t="inlineStr"/>
      <c r="AZ300" t="inlineStr"/>
      <c r="BA300" t="inlineStr"/>
      <c r="BB300" t="inlineStr"/>
      <c r="BC300" t="inlineStr"/>
      <c r="BD300" t="inlineStr"/>
      <c r="BE300" t="inlineStr"/>
      <c r="BF300" t="inlineStr"/>
      <c r="BG300" t="inlineStr"/>
      <c r="BH300" t="inlineStr"/>
      <c r="BI300" t="inlineStr"/>
      <c r="BJ300" t="inlineStr"/>
      <c r="BK300" t="inlineStr"/>
      <c r="BL300" t="inlineStr"/>
      <c r="BM300" t="inlineStr"/>
      <c r="BN300" t="n">
        <v>0</v>
      </c>
      <c r="BO300" t="inlineStr"/>
      <c r="BP300" t="inlineStr"/>
      <c r="BQ300" t="inlineStr"/>
      <c r="BR300" t="inlineStr"/>
      <c r="BS300" t="inlineStr"/>
      <c r="BT300" t="inlineStr"/>
      <c r="BU300" t="inlineStr"/>
      <c r="BV300" t="inlineStr"/>
      <c r="BW300" t="inlineStr"/>
      <c r="BX300" t="inlineStr"/>
      <c r="BY300" t="inlineStr"/>
      <c r="BZ300" t="inlineStr"/>
      <c r="CA300" t="inlineStr"/>
      <c r="CB300" t="inlineStr"/>
      <c r="CC300" t="inlineStr"/>
      <c r="CD300" t="inlineStr"/>
      <c r="CE300" t="inlineStr"/>
      <c r="CF300" t="inlineStr"/>
      <c r="CG300" t="inlineStr"/>
      <c r="CH300" t="inlineStr"/>
      <c r="CI300" t="inlineStr"/>
      <c r="CJ300" t="inlineStr"/>
      <c r="CK300" t="inlineStr"/>
      <c r="CL300" t="inlineStr"/>
      <c r="CM300" t="inlineStr"/>
      <c r="CN300" t="inlineStr"/>
      <c r="CO300" t="inlineStr"/>
      <c r="CP300" t="inlineStr"/>
      <c r="CQ300" t="inlineStr"/>
      <c r="CR300" t="inlineStr"/>
      <c r="CS300" t="inlineStr"/>
      <c r="CT300" t="inlineStr"/>
      <c r="CU300" t="inlineStr"/>
      <c r="CV300" t="inlineStr"/>
      <c r="CW300" t="inlineStr"/>
      <c r="CX300" t="inlineStr"/>
      <c r="CY300" t="inlineStr"/>
      <c r="CZ300" t="inlineStr"/>
      <c r="DA300" t="inlineStr"/>
      <c r="DB300" t="inlineStr"/>
      <c r="DC300" t="inlineStr"/>
      <c r="DD300" t="inlineStr"/>
      <c r="DE300" t="inlineStr"/>
      <c r="DF300" t="inlineStr"/>
      <c r="DG300" t="inlineStr"/>
    </row>
    <row r="301">
      <c r="A301" t="inlineStr">
        <is>
          <t>III</t>
        </is>
      </c>
      <c r="B301" t="b">
        <v>1</v>
      </c>
      <c r="C301" t="inlineStr"/>
      <c r="D301" t="inlineStr"/>
      <c r="E301" t="n">
        <v>352</v>
      </c>
      <c r="F301">
        <f>HYPERLINK("https://portal.dnb.de/opac.htm?method=simpleSearch&amp;cqlMode=true&amp;query=idn%3D993974147", "Portal")</f>
        <v/>
      </c>
      <c r="G301" t="inlineStr">
        <is>
          <t>Aal</t>
        </is>
      </c>
      <c r="H301" t="inlineStr">
        <is>
          <t>L-1544-154114529</t>
        </is>
      </c>
      <c r="I301" t="inlineStr">
        <is>
          <t>993974147</t>
        </is>
      </c>
      <c r="J301" t="inlineStr">
        <is>
          <t>III 36, 13 a</t>
        </is>
      </c>
      <c r="K301" t="inlineStr">
        <is>
          <t>III 36, 13 a</t>
        </is>
      </c>
      <c r="L301" t="inlineStr">
        <is>
          <t>III 36, 13 a</t>
        </is>
      </c>
      <c r="M301" t="inlineStr"/>
      <c r="N301" t="inlineStr">
        <is>
          <t xml:space="preserve">Aristophanois eutrapelōta tu kōmōdiki eudeka : </t>
        </is>
      </c>
      <c r="O301" t="inlineStr">
        <is>
          <t xml:space="preserve"> : </t>
        </is>
      </c>
      <c r="P301" t="inlineStr">
        <is>
          <t>X</t>
        </is>
      </c>
      <c r="Q301" t="inlineStr">
        <is>
          <t>614,00 EUR</t>
        </is>
      </c>
      <c r="R301" t="inlineStr">
        <is>
          <t>Ledereinband, Schließen, erhabene Buchbeschläge</t>
        </is>
      </c>
      <c r="S301" t="inlineStr">
        <is>
          <t>bis 25 cm</t>
        </is>
      </c>
      <c r="T301" t="inlineStr">
        <is>
          <t>80° bis 110°, einseitig digitalisierbar?</t>
        </is>
      </c>
      <c r="U301" t="inlineStr">
        <is>
          <t>fester Rücken mit Schmuckprägung, Schrift bis in den Falz</t>
        </is>
      </c>
      <c r="V301" t="inlineStr"/>
      <c r="W301" t="inlineStr">
        <is>
          <t>Kassette</t>
        </is>
      </c>
      <c r="X301" t="inlineStr">
        <is>
          <t>Nein</t>
        </is>
      </c>
      <c r="Y301" t="n">
        <v>0</v>
      </c>
      <c r="Z301" t="inlineStr"/>
      <c r="AA301" t="inlineStr"/>
      <c r="AB301" t="inlineStr"/>
      <c r="AC301" t="inlineStr"/>
      <c r="AD301" t="inlineStr"/>
      <c r="AE301" t="inlineStr"/>
      <c r="AF301" t="inlineStr"/>
      <c r="AG301" t="inlineStr"/>
      <c r="AH301" t="inlineStr"/>
      <c r="AI301" t="inlineStr"/>
      <c r="AJ301" t="inlineStr"/>
      <c r="AK301" t="inlineStr"/>
      <c r="AL301" t="inlineStr"/>
      <c r="AM301" t="inlineStr"/>
      <c r="AN301" t="inlineStr"/>
      <c r="AO301" t="inlineStr"/>
      <c r="AP301" t="inlineStr"/>
      <c r="AQ301" t="inlineStr"/>
      <c r="AR301" t="inlineStr"/>
      <c r="AS301" t="inlineStr"/>
      <c r="AT301" t="inlineStr"/>
      <c r="AU301" t="inlineStr"/>
      <c r="AV301" t="inlineStr"/>
      <c r="AW301" t="inlineStr"/>
      <c r="AX301" t="inlineStr"/>
      <c r="AY301" t="inlineStr"/>
      <c r="AZ301" t="inlineStr"/>
      <c r="BA301" t="inlineStr"/>
      <c r="BB301" t="inlineStr"/>
      <c r="BC301" t="inlineStr"/>
      <c r="BD301" t="inlineStr"/>
      <c r="BE301" t="inlineStr"/>
      <c r="BF301" t="inlineStr"/>
      <c r="BG301" t="inlineStr"/>
      <c r="BH301" t="inlineStr"/>
      <c r="BI301" t="inlineStr"/>
      <c r="BJ301" t="inlineStr"/>
      <c r="BK301" t="inlineStr"/>
      <c r="BL301" t="inlineStr"/>
      <c r="BM301" t="inlineStr"/>
      <c r="BN301" t="n">
        <v>0</v>
      </c>
      <c r="BO301" t="inlineStr"/>
      <c r="BP301" t="inlineStr"/>
      <c r="BQ301" t="inlineStr"/>
      <c r="BR301" t="inlineStr"/>
      <c r="BS301" t="inlineStr"/>
      <c r="BT301" t="inlineStr"/>
      <c r="BU301" t="inlineStr"/>
      <c r="BV301" t="inlineStr"/>
      <c r="BW301" t="inlineStr"/>
      <c r="BX301" t="inlineStr"/>
      <c r="BY301" t="inlineStr"/>
      <c r="BZ301" t="inlineStr"/>
      <c r="CA301" t="inlineStr"/>
      <c r="CB301" t="inlineStr"/>
      <c r="CC301" t="inlineStr"/>
      <c r="CD301" t="inlineStr"/>
      <c r="CE301" t="inlineStr"/>
      <c r="CF301" t="inlineStr"/>
      <c r="CG301" t="inlineStr"/>
      <c r="CH301" t="inlineStr"/>
      <c r="CI301" t="inlineStr"/>
      <c r="CJ301" t="inlineStr"/>
      <c r="CK301" t="inlineStr"/>
      <c r="CL301" t="inlineStr"/>
      <c r="CM301" t="inlineStr"/>
      <c r="CN301" t="inlineStr"/>
      <c r="CO301" t="inlineStr"/>
      <c r="CP301" t="inlineStr"/>
      <c r="CQ301" t="inlineStr"/>
      <c r="CR301" t="inlineStr"/>
      <c r="CS301" t="inlineStr"/>
      <c r="CT301" t="inlineStr"/>
      <c r="CU301" t="inlineStr"/>
      <c r="CV301" t="inlineStr"/>
      <c r="CW301" t="inlineStr"/>
      <c r="CX301" t="inlineStr"/>
      <c r="CY301" t="inlineStr"/>
      <c r="CZ301" t="inlineStr"/>
      <c r="DA301" t="inlineStr"/>
      <c r="DB301" t="inlineStr"/>
      <c r="DC301" t="inlineStr"/>
      <c r="DD301" t="inlineStr"/>
      <c r="DE301" t="inlineStr"/>
      <c r="DF301" t="inlineStr"/>
      <c r="DG301" t="inlineStr"/>
    </row>
    <row r="302">
      <c r="A302" t="inlineStr">
        <is>
          <t>III</t>
        </is>
      </c>
      <c r="B302" t="b">
        <v>1</v>
      </c>
      <c r="C302" t="inlineStr"/>
      <c r="D302" t="inlineStr"/>
      <c r="E302" t="inlineStr"/>
      <c r="F302">
        <f>HYPERLINK("https://portal.dnb.de/opac.htm?method=simpleSearch&amp;cqlMode=true&amp;query=idn%3D1242593578", "Portal")</f>
        <v/>
      </c>
      <c r="G302" t="inlineStr">
        <is>
          <t>Aa</t>
        </is>
      </c>
      <c r="H302" t="inlineStr">
        <is>
          <t>L-3000-026991</t>
        </is>
      </c>
      <c r="I302" t="inlineStr">
        <is>
          <t>1242593578</t>
        </is>
      </c>
      <c r="J302" t="inlineStr">
        <is>
          <t>III 36, 14</t>
        </is>
      </c>
      <c r="K302" t="inlineStr">
        <is>
          <t>III 36, 14</t>
        </is>
      </c>
      <c r="L302" t="inlineStr">
        <is>
          <t>III 36, 14</t>
        </is>
      </c>
      <c r="M302" t="inlineStr"/>
      <c r="N302" t="inlineStr">
        <is>
          <t>KReutter Buch Des Hochberuempten Pedanij Di=||oscoridis Anazarbei/ gründliche vnd gewisse beschreibung|| aller materien oder gezeugs der Artznei/ ...|</t>
        </is>
      </c>
      <c r="O302" t="inlineStr">
        <is>
          <t xml:space="preserve"> : </t>
        </is>
      </c>
      <c r="P302" t="inlineStr"/>
      <c r="Q302" t="inlineStr">
        <is>
          <t>500,00 EUR</t>
        </is>
      </c>
      <c r="R302" t="inlineStr"/>
      <c r="S302" t="inlineStr"/>
      <c r="T302" t="inlineStr"/>
      <c r="U302" t="inlineStr"/>
      <c r="V302" t="inlineStr"/>
      <c r="W302" t="inlineStr"/>
      <c r="X302" t="inlineStr"/>
      <c r="Y302" t="inlineStr"/>
      <c r="Z302" t="inlineStr"/>
      <c r="AA302" t="inlineStr"/>
      <c r="AB302" t="inlineStr"/>
      <c r="AC302" t="inlineStr"/>
      <c r="AD302" t="inlineStr"/>
      <c r="AE302" t="inlineStr"/>
      <c r="AF302" t="inlineStr"/>
      <c r="AG302" t="inlineStr"/>
      <c r="AH302" t="inlineStr"/>
      <c r="AI302" t="inlineStr"/>
      <c r="AJ302" t="inlineStr"/>
      <c r="AK302" t="inlineStr"/>
      <c r="AL302" t="inlineStr"/>
      <c r="AM302" t="inlineStr"/>
      <c r="AN302" t="inlineStr"/>
      <c r="AO302" t="inlineStr"/>
      <c r="AP302" t="inlineStr"/>
      <c r="AQ302" t="inlineStr"/>
      <c r="AR302" t="inlineStr"/>
      <c r="AS302" t="inlineStr"/>
      <c r="AT302" t="inlineStr"/>
      <c r="AU302" t="inlineStr"/>
      <c r="AV302" t="inlineStr"/>
      <c r="AW302" t="inlineStr"/>
      <c r="AX302" t="inlineStr"/>
      <c r="AY302" t="inlineStr"/>
      <c r="AZ302" t="inlineStr"/>
      <c r="BA302" t="inlineStr"/>
      <c r="BB302" t="inlineStr"/>
      <c r="BC302" t="inlineStr"/>
      <c r="BD302" t="inlineStr"/>
      <c r="BE302" t="inlineStr"/>
      <c r="BF302" t="inlineStr"/>
      <c r="BG302" t="inlineStr"/>
      <c r="BH302" t="inlineStr"/>
      <c r="BI302" t="inlineStr"/>
      <c r="BJ302" t="inlineStr"/>
      <c r="BK302" t="inlineStr"/>
      <c r="BL302" t="inlineStr"/>
      <c r="BM302" t="inlineStr"/>
      <c r="BN302" t="inlineStr"/>
      <c r="BO302" t="inlineStr"/>
      <c r="BP302" t="inlineStr"/>
      <c r="BQ302" t="inlineStr"/>
      <c r="BR302" t="inlineStr"/>
      <c r="BS302" t="inlineStr"/>
      <c r="BT302" t="inlineStr"/>
      <c r="BU302" t="inlineStr"/>
      <c r="BV302" t="inlineStr"/>
      <c r="BW302" t="inlineStr"/>
      <c r="BX302" t="inlineStr"/>
      <c r="BY302" t="inlineStr"/>
      <c r="BZ302" t="inlineStr"/>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c r="CV302" t="inlineStr"/>
      <c r="CW302" t="inlineStr"/>
      <c r="CX302" t="inlineStr"/>
      <c r="CY302" t="inlineStr"/>
      <c r="CZ302" t="inlineStr"/>
      <c r="DA302" t="inlineStr"/>
      <c r="DB302" t="inlineStr"/>
      <c r="DC302" t="inlineStr"/>
      <c r="DD302" t="inlineStr"/>
      <c r="DE302" t="inlineStr"/>
      <c r="DF302" t="inlineStr"/>
      <c r="DG302" t="inlineStr"/>
    </row>
    <row r="303">
      <c r="A303" t="inlineStr">
        <is>
          <t>III</t>
        </is>
      </c>
      <c r="B303" t="b">
        <v>0</v>
      </c>
      <c r="C303" t="inlineStr"/>
      <c r="D303" t="inlineStr"/>
      <c r="E303" t="n">
        <v>355</v>
      </c>
      <c r="F303">
        <f>HYPERLINK("https://portal.dnb.de/opac.htm?method=simpleSearch&amp;cqlMode=true&amp;query=idn%3D1066964335", "Portal")</f>
        <v/>
      </c>
      <c r="G303" t="inlineStr"/>
      <c r="H303" t="inlineStr">
        <is>
          <t>L-1502-315494557</t>
        </is>
      </c>
      <c r="I303" t="inlineStr">
        <is>
          <t>1066964335</t>
        </is>
      </c>
      <c r="J303" t="inlineStr"/>
      <c r="K303" t="inlineStr"/>
      <c r="L303" t="inlineStr">
        <is>
          <t>III 37, 1</t>
        </is>
      </c>
      <c r="M303" t="inlineStr"/>
      <c r="N303" t="inlineStr"/>
      <c r="O303" t="inlineStr"/>
      <c r="P303" t="inlineStr"/>
      <c r="Q303" t="inlineStr"/>
      <c r="R303" t="inlineStr"/>
      <c r="S303" t="inlineStr"/>
      <c r="T303" t="inlineStr"/>
      <c r="U303" t="inlineStr"/>
      <c r="V303" t="inlineStr"/>
      <c r="W303" t="inlineStr"/>
      <c r="X303" t="inlineStr"/>
      <c r="Y303" t="inlineStr"/>
      <c r="Z303" t="inlineStr"/>
      <c r="AA303" t="inlineStr"/>
      <c r="AB303" t="inlineStr"/>
      <c r="AC303" t="inlineStr"/>
      <c r="AD303" t="inlineStr"/>
      <c r="AE303" t="inlineStr"/>
      <c r="AF303" t="inlineStr"/>
      <c r="AG303" t="inlineStr"/>
      <c r="AH303" t="inlineStr"/>
      <c r="AI303" t="inlineStr"/>
      <c r="AJ303" t="inlineStr"/>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c r="AY303" t="inlineStr"/>
      <c r="AZ303" t="inlineStr"/>
      <c r="BA303" t="inlineStr"/>
      <c r="BB303" t="inlineStr"/>
      <c r="BC303" t="inlineStr"/>
      <c r="BD303" t="inlineStr"/>
      <c r="BE303" t="inlineStr"/>
      <c r="BF303" t="inlineStr"/>
      <c r="BG303" t="inlineStr"/>
      <c r="BH303" t="inlineStr"/>
      <c r="BI303" t="inlineStr"/>
      <c r="BJ303" t="inlineStr"/>
      <c r="BK303" t="inlineStr"/>
      <c r="BL303" t="inlineStr"/>
      <c r="BM303" t="inlineStr"/>
      <c r="BN303" t="n">
        <v>0</v>
      </c>
      <c r="BO303" t="inlineStr"/>
      <c r="BP303" t="inlineStr"/>
      <c r="BQ303" t="inlineStr"/>
      <c r="BR303" t="inlineStr"/>
      <c r="BS303" t="inlineStr"/>
      <c r="BT303" t="inlineStr"/>
      <c r="BU303" t="inlineStr"/>
      <c r="BV303" t="inlineStr"/>
      <c r="BW303" t="inlineStr"/>
      <c r="BX303" t="inlineStr"/>
      <c r="BY303" t="inlineStr"/>
      <c r="BZ303" t="inlineStr"/>
      <c r="CA303" t="inlineStr"/>
      <c r="CB303" t="inlineStr"/>
      <c r="CC303" t="inlineStr"/>
      <c r="CD303" t="inlineStr"/>
      <c r="CE303" t="inlineStr"/>
      <c r="CF303" t="inlineStr"/>
      <c r="CG303" t="inlineStr"/>
      <c r="CH303" t="inlineStr"/>
      <c r="CI303" t="inlineStr"/>
      <c r="CJ303" t="inlineStr"/>
      <c r="CK303" t="inlineStr"/>
      <c r="CL303" t="inlineStr"/>
      <c r="CM303" t="inlineStr"/>
      <c r="CN303" t="inlineStr"/>
      <c r="CO303" t="inlineStr"/>
      <c r="CP303" t="inlineStr"/>
      <c r="CQ303" t="inlineStr"/>
      <c r="CR303" t="inlineStr"/>
      <c r="CS303" t="inlineStr"/>
      <c r="CT303" t="inlineStr"/>
      <c r="CU303" t="inlineStr"/>
      <c r="CV303" t="inlineStr"/>
      <c r="CW303" t="inlineStr"/>
      <c r="CX303" t="inlineStr"/>
      <c r="CY303" t="inlineStr"/>
      <c r="CZ303" t="inlineStr"/>
      <c r="DA303" t="inlineStr"/>
      <c r="DB303" t="inlineStr"/>
      <c r="DC303" t="inlineStr"/>
      <c r="DD303" t="inlineStr"/>
      <c r="DE303" t="inlineStr"/>
      <c r="DF303" t="inlineStr"/>
      <c r="DG303" t="inlineStr"/>
    </row>
    <row r="304">
      <c r="A304" t="inlineStr">
        <is>
          <t>III</t>
        </is>
      </c>
      <c r="B304" t="b">
        <v>1</v>
      </c>
      <c r="C304" t="inlineStr"/>
      <c r="D304" t="inlineStr"/>
      <c r="E304" t="n">
        <v>356</v>
      </c>
      <c r="F304">
        <f>HYPERLINK("https://portal.dnb.de/opac.htm?method=simpleSearch&amp;cqlMode=true&amp;query=idn%3D999514849", "Portal")</f>
        <v/>
      </c>
      <c r="G304" t="inlineStr">
        <is>
          <t>Aal</t>
        </is>
      </c>
      <c r="H304" t="inlineStr">
        <is>
          <t>L-1553-168491079</t>
        </is>
      </c>
      <c r="I304" t="inlineStr">
        <is>
          <t>999514849</t>
        </is>
      </c>
      <c r="J304" t="inlineStr">
        <is>
          <t>III 37, 5</t>
        </is>
      </c>
      <c r="K304" t="inlineStr">
        <is>
          <t>III 37, 5</t>
        </is>
      </c>
      <c r="L304" t="inlineStr">
        <is>
          <t>III 37, 5</t>
        </is>
      </c>
      <c r="M304" t="inlineStr"/>
      <c r="N304" t="inlineStr">
        <is>
          <t>Von der vnzertren=||lichen voreynigung in einen Person|| beider naturn vnsers Herrn Jesu Christi|| Gottes vnd Marien Son|| Docto. Martini Lutheri beke</t>
        </is>
      </c>
      <c r="O304" t="inlineStr">
        <is>
          <t xml:space="preserve"> : </t>
        </is>
      </c>
      <c r="P304" t="inlineStr"/>
      <c r="Q304" t="inlineStr"/>
      <c r="R304" t="inlineStr">
        <is>
          <t>Halbpergamentband</t>
        </is>
      </c>
      <c r="S304" t="inlineStr">
        <is>
          <t>bis 25 cm</t>
        </is>
      </c>
      <c r="T304" t="inlineStr">
        <is>
          <t>180°</t>
        </is>
      </c>
      <c r="U304" t="inlineStr">
        <is>
          <t>hohler Rücken</t>
        </is>
      </c>
      <c r="V304" t="inlineStr"/>
      <c r="W304" t="inlineStr"/>
      <c r="X304" t="inlineStr"/>
      <c r="Y304" t="n">
        <v>0</v>
      </c>
      <c r="Z304" t="inlineStr"/>
      <c r="AA304" t="inlineStr"/>
      <c r="AB304" t="inlineStr"/>
      <c r="AC304" t="inlineStr"/>
      <c r="AD304" t="inlineStr"/>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c r="BD304" t="inlineStr"/>
      <c r="BE304" t="inlineStr"/>
      <c r="BF304" t="inlineStr"/>
      <c r="BG304" t="inlineStr"/>
      <c r="BH304" t="inlineStr"/>
      <c r="BI304" t="inlineStr"/>
      <c r="BJ304" t="inlineStr"/>
      <c r="BK304" t="inlineStr"/>
      <c r="BL304" t="inlineStr"/>
      <c r="BM304" t="inlineStr"/>
      <c r="BN304" t="n">
        <v>0</v>
      </c>
      <c r="BO304" t="inlineStr"/>
      <c r="BP304" t="inlineStr"/>
      <c r="BQ304" t="inlineStr"/>
      <c r="BR304" t="inlineStr"/>
      <c r="BS304" t="inlineStr"/>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c r="DB304" t="inlineStr"/>
      <c r="DC304" t="inlineStr"/>
      <c r="DD304" t="inlineStr"/>
      <c r="DE304" t="inlineStr"/>
      <c r="DF304" t="inlineStr"/>
      <c r="DG304" t="inlineStr"/>
    </row>
    <row r="305">
      <c r="A305" t="inlineStr">
        <is>
          <t>III</t>
        </is>
      </c>
      <c r="B305" t="b">
        <v>0</v>
      </c>
      <c r="C305" t="inlineStr"/>
      <c r="D305" t="inlineStr"/>
      <c r="E305" t="inlineStr"/>
      <c r="F305">
        <f>HYPERLINK("https://portal.dnb.de/opac.htm?method=simpleSearch&amp;cqlMode=true&amp;query=idn%3D", "Portal")</f>
        <v/>
      </c>
      <c r="G305" t="inlineStr"/>
      <c r="H305" t="inlineStr"/>
      <c r="I305" t="inlineStr"/>
      <c r="J305" t="inlineStr"/>
      <c r="K305" t="inlineStr"/>
      <c r="L305" t="inlineStr">
        <is>
          <t>III 38 A, 1</t>
        </is>
      </c>
      <c r="M305" t="inlineStr"/>
      <c r="N305" t="inlineStr"/>
      <c r="O305" t="inlineStr"/>
      <c r="P305" t="inlineStr">
        <is>
          <t>X</t>
        </is>
      </c>
      <c r="Q305" t="inlineStr"/>
      <c r="R305" t="inlineStr">
        <is>
          <t>Halbpergamentband</t>
        </is>
      </c>
      <c r="S305" t="inlineStr">
        <is>
          <t>bis 35 cm</t>
        </is>
      </c>
      <c r="T305" t="inlineStr">
        <is>
          <t>80° bis 110°, einseitig digitalisierbar?</t>
        </is>
      </c>
      <c r="U305" t="inlineStr">
        <is>
          <t>hohler Rücken, Schrift bis in den Falz, welliger Buchblock</t>
        </is>
      </c>
      <c r="V305" t="inlineStr"/>
      <c r="W305" t="inlineStr"/>
      <c r="X305" t="inlineStr"/>
      <c r="Y305" t="n">
        <v>1</v>
      </c>
      <c r="Z305" t="inlineStr"/>
      <c r="AA305" t="inlineStr"/>
      <c r="AB305" t="inlineStr"/>
      <c r="AC305" t="inlineStr"/>
      <c r="AD305" t="inlineStr"/>
      <c r="AE305" t="inlineStr"/>
      <c r="AF305" t="inlineStr"/>
      <c r="AG305" t="inlineStr"/>
      <c r="AH305" t="inlineStr"/>
      <c r="AI305" t="inlineStr">
        <is>
          <t>HPg</t>
        </is>
      </c>
      <c r="AJ305" t="inlineStr"/>
      <c r="AK305" t="inlineStr"/>
      <c r="AL305" t="inlineStr"/>
      <c r="AM305" t="inlineStr">
        <is>
          <t>h/E</t>
        </is>
      </c>
      <c r="AN305" t="inlineStr"/>
      <c r="AO305" t="inlineStr"/>
      <c r="AP305" t="inlineStr"/>
      <c r="AQ305" t="inlineStr"/>
      <c r="AR305" t="inlineStr"/>
      <c r="AS305" t="inlineStr">
        <is>
          <t>Pa</t>
        </is>
      </c>
      <c r="AT305" t="inlineStr"/>
      <c r="AU305" t="inlineStr"/>
      <c r="AV305" t="inlineStr"/>
      <c r="AW305" t="inlineStr"/>
      <c r="AX305" t="inlineStr"/>
      <c r="AY305" t="inlineStr"/>
      <c r="AZ305" t="inlineStr"/>
      <c r="BA305" t="inlineStr"/>
      <c r="BB305" t="inlineStr"/>
      <c r="BC305" t="inlineStr"/>
      <c r="BD305" t="inlineStr"/>
      <c r="BE305" t="inlineStr"/>
      <c r="BF305" t="inlineStr"/>
      <c r="BG305" t="n">
        <v>110</v>
      </c>
      <c r="BH305" t="inlineStr"/>
      <c r="BI305" t="inlineStr"/>
      <c r="BJ305" t="inlineStr"/>
      <c r="BK305" t="inlineStr"/>
      <c r="BL305" t="inlineStr"/>
      <c r="BM305" t="inlineStr">
        <is>
          <t>n</t>
        </is>
      </c>
      <c r="BN305" t="n">
        <v>0</v>
      </c>
      <c r="BO305" t="inlineStr"/>
      <c r="BP305" t="inlineStr"/>
      <c r="BQ305" t="inlineStr"/>
      <c r="BR305" t="inlineStr"/>
      <c r="BS305" t="inlineStr"/>
      <c r="BT305" t="inlineStr"/>
      <c r="BU305" t="inlineStr"/>
      <c r="BV305" t="inlineStr">
        <is>
          <t>Schaden stabil</t>
        </is>
      </c>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c r="DA305" t="inlineStr"/>
      <c r="DB305" t="inlineStr"/>
      <c r="DC305" t="inlineStr"/>
      <c r="DD305" t="inlineStr"/>
      <c r="DE305" t="inlineStr"/>
      <c r="DF305" t="inlineStr"/>
      <c r="DG305" t="inlineStr"/>
    </row>
    <row r="306">
      <c r="A306" t="inlineStr">
        <is>
          <t>III</t>
        </is>
      </c>
      <c r="B306" t="b">
        <v>1</v>
      </c>
      <c r="C306" t="inlineStr"/>
      <c r="D306" t="inlineStr"/>
      <c r="E306" t="inlineStr"/>
      <c r="F306">
        <f>HYPERLINK("https://portal.dnb.de/opac.htm?method=simpleSearch&amp;cqlMode=true&amp;query=idn%3D1268573205", "Portal")</f>
        <v/>
      </c>
      <c r="G306" t="inlineStr">
        <is>
          <t>Aa</t>
        </is>
      </c>
      <c r="H306" t="inlineStr">
        <is>
          <t>L-1516-833613774</t>
        </is>
      </c>
      <c r="I306" t="inlineStr">
        <is>
          <t>1268573205</t>
        </is>
      </c>
      <c r="J306" t="inlineStr">
        <is>
          <t>III 38 C, 1</t>
        </is>
      </c>
      <c r="K306" t="inlineStr">
        <is>
          <t>III 38 A, 1</t>
        </is>
      </c>
      <c r="L306" t="inlineStr">
        <is>
          <t>III 38 A, 1</t>
        </is>
      </c>
      <c r="M306" t="inlineStr"/>
      <c r="N306" t="inlineStr">
        <is>
          <t>Psalterium Hebreum, Grecu, Arabicu &amp; Chaldeu : cu tribus latinis iterptatibus &amp; glossis ...</t>
        </is>
      </c>
      <c r="O306" t="inlineStr">
        <is>
          <t xml:space="preserve"> : </t>
        </is>
      </c>
      <c r="P306" t="inlineStr"/>
      <c r="Q306" t="inlineStr">
        <is>
          <t>22500,00 USD</t>
        </is>
      </c>
      <c r="R306" t="inlineStr"/>
      <c r="S306" t="inlineStr"/>
      <c r="T306" t="inlineStr"/>
      <c r="U306" t="inlineStr"/>
      <c r="V306" t="inlineStr"/>
      <c r="W306" t="inlineStr"/>
      <c r="X306" t="inlineStr"/>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c r="BB306" t="inlineStr"/>
      <c r="BC306" t="inlineStr"/>
      <c r="BD306" t="inlineStr"/>
      <c r="BE306" t="inlineStr"/>
      <c r="BF306" t="inlineStr"/>
      <c r="BG306" t="inlineStr"/>
      <c r="BH306" t="inlineStr"/>
      <c r="BI306" t="inlineStr"/>
      <c r="BJ306" t="inlineStr"/>
      <c r="BK306" t="inlineStr"/>
      <c r="BL306" t="inlineStr"/>
      <c r="BM306" t="inlineStr"/>
      <c r="BN306" t="inlineStr"/>
      <c r="BO306" t="inlineStr"/>
      <c r="BP306" t="inlineStr"/>
      <c r="BQ306" t="inlineStr"/>
      <c r="BR306" t="inlineStr"/>
      <c r="BS306" t="inlineStr"/>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c r="DA306" t="inlineStr"/>
      <c r="DB306" t="inlineStr"/>
      <c r="DC306" t="inlineStr"/>
      <c r="DD306" t="inlineStr"/>
      <c r="DE306" t="inlineStr"/>
      <c r="DF306" t="inlineStr"/>
      <c r="DG306" t="inlineStr"/>
    </row>
    <row r="307">
      <c r="A307" t="inlineStr">
        <is>
          <t>III</t>
        </is>
      </c>
      <c r="B307" t="b">
        <v>1</v>
      </c>
      <c r="C307" t="inlineStr"/>
      <c r="D307" t="inlineStr"/>
      <c r="E307" t="n">
        <v>1201</v>
      </c>
      <c r="F307">
        <f>HYPERLINK("https://portal.dnb.de/opac.htm?method=simpleSearch&amp;cqlMode=true&amp;query=idn%3D994340486", "Portal")</f>
        <v/>
      </c>
      <c r="G307" t="inlineStr">
        <is>
          <t>Aal</t>
        </is>
      </c>
      <c r="H307" t="inlineStr">
        <is>
          <t>L-1557-155411853</t>
        </is>
      </c>
      <c r="I307" t="inlineStr">
        <is>
          <t>994340486</t>
        </is>
      </c>
      <c r="J307" t="inlineStr">
        <is>
          <t>III 38 C, 1</t>
        </is>
      </c>
      <c r="K307" t="inlineStr">
        <is>
          <t>III 38 C, 1</t>
        </is>
      </c>
      <c r="L307" t="inlineStr">
        <is>
          <t>III 38 C, 1</t>
        </is>
      </c>
      <c r="M307" t="inlineStr"/>
      <c r="N307" t="inlineStr">
        <is>
          <t>Aischylon Tragōdiai Z Echolia : Aeschyli Tragoediae VII ; Quae cum omnes multoquam autes castigationes eduntur, tum vero una, quae mutila et decurtata</t>
        </is>
      </c>
      <c r="O307" t="inlineStr">
        <is>
          <t xml:space="preserve"> : </t>
        </is>
      </c>
      <c r="P307" t="inlineStr">
        <is>
          <t>X</t>
        </is>
      </c>
      <c r="Q307" t="inlineStr">
        <is>
          <t>800,00 EUR</t>
        </is>
      </c>
      <c r="R307" t="inlineStr">
        <is>
          <t>Ledereinband</t>
        </is>
      </c>
      <c r="S307" t="inlineStr">
        <is>
          <t>bis 25 cm</t>
        </is>
      </c>
      <c r="T307" t="inlineStr">
        <is>
          <t>180°</t>
        </is>
      </c>
      <c r="U307" t="inlineStr">
        <is>
          <t>fester Rücken mit Schmuckprägung</t>
        </is>
      </c>
      <c r="V307" t="inlineStr"/>
      <c r="W307" t="inlineStr">
        <is>
          <t>Kassette</t>
        </is>
      </c>
      <c r="X307" t="inlineStr">
        <is>
          <t>Nein</t>
        </is>
      </c>
      <c r="Y307" t="n">
        <v>0</v>
      </c>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c r="BD307" t="inlineStr"/>
      <c r="BE307" t="inlineStr"/>
      <c r="BF307" t="inlineStr"/>
      <c r="BG307" t="inlineStr"/>
      <c r="BH307" t="inlineStr"/>
      <c r="BI307" t="inlineStr"/>
      <c r="BJ307" t="inlineStr"/>
      <c r="BK307" t="inlineStr"/>
      <c r="BL307" t="inlineStr"/>
      <c r="BM307" t="inlineStr"/>
      <c r="BN307" t="n">
        <v>0</v>
      </c>
      <c r="BO307" t="inlineStr"/>
      <c r="BP307" t="inlineStr"/>
      <c r="BQ307" t="inlineStr"/>
      <c r="BR307" t="inlineStr"/>
      <c r="BS307" t="inlineStr"/>
      <c r="BT307" t="inlineStr"/>
      <c r="BU307" t="inlineStr"/>
      <c r="BV307" t="inlineStr"/>
      <c r="BW307" t="inlineStr"/>
      <c r="BX307" t="inlineStr"/>
      <c r="BY307" t="inlineStr"/>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c r="CV307" t="inlineStr"/>
      <c r="CW307" t="inlineStr"/>
      <c r="CX307" t="inlineStr"/>
      <c r="CY307" t="inlineStr"/>
      <c r="CZ307" t="inlineStr"/>
      <c r="DA307" t="inlineStr"/>
      <c r="DB307" t="inlineStr"/>
      <c r="DC307" t="inlineStr"/>
      <c r="DD307" t="inlineStr"/>
      <c r="DE307" t="inlineStr"/>
      <c r="DF307" t="inlineStr"/>
      <c r="DG307" t="inlineStr"/>
    </row>
    <row r="308">
      <c r="A308" t="inlineStr">
        <is>
          <t>III</t>
        </is>
      </c>
      <c r="B308" t="b">
        <v>1</v>
      </c>
      <c r="C308" t="inlineStr"/>
      <c r="D308" t="inlineStr"/>
      <c r="E308" t="n">
        <v>1202</v>
      </c>
      <c r="F308">
        <f>HYPERLINK("https://portal.dnb.de/opac.htm?method=simpleSearch&amp;cqlMode=true&amp;query=idn%3D993918360", "Portal")</f>
        <v/>
      </c>
      <c r="G308" t="inlineStr">
        <is>
          <t>Aal</t>
        </is>
      </c>
      <c r="H308" t="inlineStr">
        <is>
          <t>L-1550-154006726</t>
        </is>
      </c>
      <c r="I308" t="inlineStr">
        <is>
          <t>993918360</t>
        </is>
      </c>
      <c r="J308" t="inlineStr">
        <is>
          <t>III 38 G, 1</t>
        </is>
      </c>
      <c r="K308" t="inlineStr">
        <is>
          <t>III 38 G, 1</t>
        </is>
      </c>
      <c r="L308" t="inlineStr">
        <is>
          <t>III 38 G, 1</t>
        </is>
      </c>
      <c r="M308" t="inlineStr"/>
      <c r="N308" t="inlineStr">
        <is>
          <t xml:space="preserve">AELII AN-||TONII NEBRISSEN-||SIS RERVM A FERNANDO ET|| Elisabe Hispaniar. felicißimis Regibus gesta|| rū Decades duae, Necnō belli Nauariēsis|| libri </t>
        </is>
      </c>
      <c r="O308" t="inlineStr">
        <is>
          <t xml:space="preserve"> : </t>
        </is>
      </c>
      <c r="P308" t="inlineStr"/>
      <c r="Q308" t="inlineStr"/>
      <c r="R308" t="inlineStr">
        <is>
          <t>Ledereinband</t>
        </is>
      </c>
      <c r="S308" t="inlineStr">
        <is>
          <t>bis 25 cm</t>
        </is>
      </c>
      <c r="T308" t="inlineStr">
        <is>
          <t>80° bis 110°, einseitig digitalisierbar?</t>
        </is>
      </c>
      <c r="U308" t="inlineStr"/>
      <c r="V308" t="inlineStr"/>
      <c r="W308" t="inlineStr">
        <is>
          <t>Kassette</t>
        </is>
      </c>
      <c r="X308" t="inlineStr">
        <is>
          <t>Nein</t>
        </is>
      </c>
      <c r="Y308" t="n">
        <v>0</v>
      </c>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inlineStr"/>
      <c r="BI308" t="inlineStr"/>
      <c r="BJ308" t="inlineStr"/>
      <c r="BK308" t="inlineStr"/>
      <c r="BL308" t="inlineStr"/>
      <c r="BM308" t="inlineStr"/>
      <c r="BN308" t="n">
        <v>0</v>
      </c>
      <c r="BO308" t="inlineStr"/>
      <c r="BP308" t="inlineStr"/>
      <c r="BQ308" t="inlineStr"/>
      <c r="BR308" t="inlineStr"/>
      <c r="BS308" t="inlineStr"/>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c r="DB308" t="inlineStr"/>
      <c r="DC308" t="inlineStr"/>
      <c r="DD308" t="inlineStr"/>
      <c r="DE308" t="inlineStr"/>
      <c r="DF308" t="inlineStr"/>
      <c r="DG308" t="inlineStr"/>
    </row>
    <row r="309">
      <c r="A309" t="inlineStr">
        <is>
          <t>III</t>
        </is>
      </c>
      <c r="B309" t="b">
        <v>1</v>
      </c>
      <c r="C309" t="inlineStr"/>
      <c r="D309" t="inlineStr"/>
      <c r="E309" t="n">
        <v>357</v>
      </c>
      <c r="F309">
        <f>HYPERLINK("https://portal.dnb.de/opac.htm?method=simpleSearch&amp;cqlMode=true&amp;query=idn%3D1066960046", "Portal")</f>
        <v/>
      </c>
      <c r="G309" t="inlineStr">
        <is>
          <t>Aaf</t>
        </is>
      </c>
      <c r="H309" t="inlineStr">
        <is>
          <t>L-1523-315490578</t>
        </is>
      </c>
      <c r="I309" t="inlineStr">
        <is>
          <t>1066960046</t>
        </is>
      </c>
      <c r="J309" t="inlineStr">
        <is>
          <t>III 38, 1</t>
        </is>
      </c>
      <c r="K309" t="inlineStr">
        <is>
          <t>III 38, 1</t>
        </is>
      </c>
      <c r="L309" t="inlineStr">
        <is>
          <t>III 38, 1</t>
        </is>
      </c>
      <c r="M309" t="inlineStr"/>
      <c r="N309" t="inlineStr">
        <is>
          <t>Ain @hüpsche Chro=||nick von Heidnischen vñ Christen|| künigen/ der Teütschen vnd Welschen Francken/ dariñ|| nit allein die Troyanischen/Pipinischen v</t>
        </is>
      </c>
      <c r="O309" t="inlineStr">
        <is>
          <t xml:space="preserve"> : </t>
        </is>
      </c>
      <c r="P309" t="inlineStr">
        <is>
          <t>X</t>
        </is>
      </c>
      <c r="Q309" t="inlineStr"/>
      <c r="R309" t="inlineStr">
        <is>
          <t>Pergamentband, Schließen, erhabene Buchbeschläge</t>
        </is>
      </c>
      <c r="S309" t="inlineStr">
        <is>
          <t>bis 25 cm</t>
        </is>
      </c>
      <c r="T309" t="inlineStr">
        <is>
          <t>180°</t>
        </is>
      </c>
      <c r="U309" t="inlineStr">
        <is>
          <t>hohler Rücken</t>
        </is>
      </c>
      <c r="V309" t="inlineStr"/>
      <c r="W309" t="inlineStr">
        <is>
          <t>Buchschuh</t>
        </is>
      </c>
      <c r="X309" t="inlineStr">
        <is>
          <t>Nein</t>
        </is>
      </c>
      <c r="Y309" t="n">
        <v>1</v>
      </c>
      <c r="Z309" t="inlineStr"/>
      <c r="AA309" t="inlineStr"/>
      <c r="AB309" t="inlineStr"/>
      <c r="AC309" t="inlineStr"/>
      <c r="AD309" t="inlineStr"/>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c r="BD309" t="inlineStr"/>
      <c r="BE309" t="inlineStr"/>
      <c r="BF309" t="inlineStr"/>
      <c r="BG309" t="inlineStr"/>
      <c r="BH309" t="inlineStr"/>
      <c r="BI309" t="inlineStr"/>
      <c r="BJ309" t="inlineStr"/>
      <c r="BK309" t="inlineStr"/>
      <c r="BL309" t="inlineStr"/>
      <c r="BM309" t="inlineStr"/>
      <c r="BN309" t="n">
        <v>0</v>
      </c>
      <c r="BO309" t="inlineStr"/>
      <c r="BP309" t="inlineStr"/>
      <c r="BQ309" t="inlineStr"/>
      <c r="BR309" t="inlineStr"/>
      <c r="BS309" t="inlineStr"/>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c r="DA309" t="inlineStr"/>
      <c r="DB309" t="inlineStr"/>
      <c r="DC309" t="inlineStr"/>
      <c r="DD309" t="inlineStr"/>
      <c r="DE309" t="inlineStr"/>
      <c r="DF309" t="inlineStr"/>
      <c r="DG309" t="inlineStr"/>
    </row>
    <row r="310">
      <c r="A310" t="inlineStr">
        <is>
          <t>III</t>
        </is>
      </c>
      <c r="B310" t="b">
        <v>1</v>
      </c>
      <c r="C310" t="inlineStr"/>
      <c r="D310" t="inlineStr"/>
      <c r="E310" t="n">
        <v>358</v>
      </c>
      <c r="F310">
        <f>HYPERLINK("https://portal.dnb.de/opac.htm?method=simpleSearch&amp;cqlMode=true&amp;query=idn%3D1066871272", "Portal")</f>
        <v/>
      </c>
      <c r="G310" t="inlineStr">
        <is>
          <t>Aaf</t>
        </is>
      </c>
      <c r="H310" t="inlineStr">
        <is>
          <t>L-1522-315329106</t>
        </is>
      </c>
      <c r="I310" t="inlineStr">
        <is>
          <t>1066871272</t>
        </is>
      </c>
      <c r="J310" t="inlineStr">
        <is>
          <t>III 39, 1</t>
        </is>
      </c>
      <c r="K310" t="inlineStr">
        <is>
          <t>III 39, 1</t>
        </is>
      </c>
      <c r="L310" t="inlineStr">
        <is>
          <t>III 39, 1</t>
        </is>
      </c>
      <c r="M310" t="inlineStr"/>
      <c r="N310" t="inlineStr">
        <is>
          <t xml:space="preserve">Võ misbrauch|| Christlicher freyheyt durch Johan|| Eberlin von Gintzburgk ...|| : </t>
        </is>
      </c>
      <c r="O310" t="inlineStr">
        <is>
          <t xml:space="preserve"> : </t>
        </is>
      </c>
      <c r="P310" t="inlineStr">
        <is>
          <t>X</t>
        </is>
      </c>
      <c r="Q310" t="inlineStr"/>
      <c r="R310" t="inlineStr">
        <is>
          <t>Schließen, erhabene Buchbeschläge</t>
        </is>
      </c>
      <c r="S310" t="inlineStr">
        <is>
          <t>bis 25 cm</t>
        </is>
      </c>
      <c r="T310" t="inlineStr">
        <is>
          <t>180°</t>
        </is>
      </c>
      <c r="U310" t="inlineStr">
        <is>
          <t>hohler Rücken, stark brüchiges Einbandmaterial</t>
        </is>
      </c>
      <c r="V310" t="inlineStr"/>
      <c r="W310" t="inlineStr">
        <is>
          <t>Buchschuh</t>
        </is>
      </c>
      <c r="X310" t="inlineStr">
        <is>
          <t>Nein</t>
        </is>
      </c>
      <c r="Y310" t="n">
        <v>3</v>
      </c>
      <c r="Z310" t="inlineStr"/>
      <c r="AA310" t="inlineStr"/>
      <c r="AB310" t="inlineStr"/>
      <c r="AC310" t="inlineStr"/>
      <c r="AD310" t="inlineStr"/>
      <c r="AE310" t="inlineStr"/>
      <c r="AF310" t="inlineStr"/>
      <c r="AG310" t="inlineStr"/>
      <c r="AH310" t="inlineStr"/>
      <c r="AI310" t="inlineStr">
        <is>
          <t>HL</t>
        </is>
      </c>
      <c r="AJ310" t="inlineStr"/>
      <c r="AK310" t="inlineStr">
        <is>
          <t>x</t>
        </is>
      </c>
      <c r="AL310" t="inlineStr"/>
      <c r="AM310" t="inlineStr">
        <is>
          <t>h/E</t>
        </is>
      </c>
      <c r="AN310" t="inlineStr"/>
      <c r="AO310" t="inlineStr"/>
      <c r="AP310" t="inlineStr"/>
      <c r="AQ310" t="inlineStr">
        <is>
          <t>x</t>
        </is>
      </c>
      <c r="AR310" t="inlineStr"/>
      <c r="AS310" t="inlineStr">
        <is>
          <t>Pa</t>
        </is>
      </c>
      <c r="AT310" t="inlineStr">
        <is>
          <t>x</t>
        </is>
      </c>
      <c r="AU310" t="inlineStr"/>
      <c r="AV310" t="inlineStr"/>
      <c r="AW310" t="inlineStr"/>
      <c r="AX310" t="inlineStr"/>
      <c r="AY310" t="inlineStr"/>
      <c r="AZ310" t="inlineStr"/>
      <c r="BA310" t="inlineStr"/>
      <c r="BB310" t="inlineStr"/>
      <c r="BC310" t="inlineStr"/>
      <c r="BD310" t="inlineStr"/>
      <c r="BE310" t="inlineStr"/>
      <c r="BF310" t="inlineStr"/>
      <c r="BG310" t="n">
        <v>110</v>
      </c>
      <c r="BH310" t="inlineStr"/>
      <c r="BI310" t="inlineStr"/>
      <c r="BJ310" t="inlineStr"/>
      <c r="BK310" t="inlineStr"/>
      <c r="BL310" t="inlineStr"/>
      <c r="BM310" t="inlineStr">
        <is>
          <t>n</t>
        </is>
      </c>
      <c r="BN310" t="n">
        <v>0</v>
      </c>
      <c r="BO310" t="inlineStr"/>
      <c r="BP310" t="inlineStr"/>
      <c r="BQ310" t="inlineStr"/>
      <c r="BR310" t="inlineStr"/>
      <c r="BS310" t="inlineStr"/>
      <c r="BT310" t="inlineStr"/>
      <c r="BU310" t="inlineStr"/>
      <c r="BV310" t="inlineStr">
        <is>
          <t>Schaden stabil</t>
        </is>
      </c>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c r="DB310" t="inlineStr"/>
      <c r="DC310" t="inlineStr"/>
      <c r="DD310" t="inlineStr"/>
      <c r="DE310" t="inlineStr"/>
      <c r="DF310" t="inlineStr"/>
      <c r="DG310" t="inlineStr"/>
    </row>
    <row r="311">
      <c r="A311" t="inlineStr">
        <is>
          <t>III</t>
        </is>
      </c>
      <c r="B311" t="b">
        <v>1</v>
      </c>
      <c r="C311" t="inlineStr"/>
      <c r="D311" t="inlineStr"/>
      <c r="E311" t="n">
        <v>359</v>
      </c>
      <c r="F311">
        <f>HYPERLINK("https://portal.dnb.de/opac.htm?method=simpleSearch&amp;cqlMode=true&amp;query=idn%3D993883141", "Portal")</f>
        <v/>
      </c>
      <c r="G311" t="inlineStr">
        <is>
          <t>Afl</t>
        </is>
      </c>
      <c r="H311" t="inlineStr">
        <is>
          <t>L-1505-153947101</t>
        </is>
      </c>
      <c r="I311" t="inlineStr">
        <is>
          <t>993883141</t>
        </is>
      </c>
      <c r="J311" t="inlineStr">
        <is>
          <t>III 40, 1</t>
        </is>
      </c>
      <c r="K311" t="inlineStr">
        <is>
          <t>III 40, 1</t>
        </is>
      </c>
      <c r="L311" t="inlineStr">
        <is>
          <t>III 40, 1</t>
        </is>
      </c>
      <c r="M311" t="inlineStr"/>
      <c r="N311" t="inlineStr">
        <is>
          <t>... Opus preclarissimum postillar[um] diui Alberti Magni|| Ratisponen̄ dum vixit Ep̄i:summi et incomporabilis|| Theologi:sup Quattuor Euāgelia ...|| a</t>
        </is>
      </c>
      <c r="O311" t="inlineStr">
        <is>
          <t>4. : Postilla apprime ma||gistralis Super Jo||annis Euangeliare|| ...</t>
        </is>
      </c>
      <c r="P311" t="inlineStr">
        <is>
          <t>X</t>
        </is>
      </c>
      <c r="Q311" t="inlineStr"/>
      <c r="R311" t="inlineStr">
        <is>
          <t>Halbledereinband, Schließen, erhabene Buchbeschläge</t>
        </is>
      </c>
      <c r="S311" t="inlineStr">
        <is>
          <t>bis 35 cm</t>
        </is>
      </c>
      <c r="T311" t="inlineStr">
        <is>
          <t>80° bis 110°, einseitig digitalisierbar?</t>
        </is>
      </c>
      <c r="U311" t="inlineStr">
        <is>
          <t>hohler Rücken, welliger Buchblock</t>
        </is>
      </c>
      <c r="V311" t="inlineStr"/>
      <c r="W311" t="inlineStr">
        <is>
          <t>Buchschuh</t>
        </is>
      </c>
      <c r="X311" t="inlineStr">
        <is>
          <t>Nein</t>
        </is>
      </c>
      <c r="Y311" t="n">
        <v>1</v>
      </c>
      <c r="Z311" t="inlineStr"/>
      <c r="AA311" t="inlineStr"/>
      <c r="AB311" t="inlineStr"/>
      <c r="AC311" t="inlineStr"/>
      <c r="AD311" t="inlineStr"/>
      <c r="AE311" t="inlineStr"/>
      <c r="AF311" t="inlineStr"/>
      <c r="AG311" t="inlineStr"/>
      <c r="AH311" t="inlineStr"/>
      <c r="AI311" t="inlineStr"/>
      <c r="AJ311" t="inlineStr"/>
      <c r="AK311" t="inlineStr"/>
      <c r="AL311" t="inlineStr"/>
      <c r="AM311" t="inlineStr"/>
      <c r="AN311" t="inlineStr"/>
      <c r="AO311" t="inlineStr"/>
      <c r="AP311" t="inlineStr"/>
      <c r="AQ311" t="inlineStr"/>
      <c r="AR311" t="inlineStr"/>
      <c r="AS311" t="inlineStr"/>
      <c r="AT311" t="inlineStr"/>
      <c r="AU311" t="inlineStr"/>
      <c r="AV311" t="inlineStr"/>
      <c r="AW311" t="inlineStr"/>
      <c r="AX311" t="inlineStr"/>
      <c r="AY311" t="inlineStr"/>
      <c r="AZ311" t="inlineStr"/>
      <c r="BA311" t="inlineStr"/>
      <c r="BB311" t="inlineStr"/>
      <c r="BC311" t="inlineStr"/>
      <c r="BD311" t="inlineStr"/>
      <c r="BE311" t="inlineStr"/>
      <c r="BF311" t="inlineStr"/>
      <c r="BG311" t="inlineStr"/>
      <c r="BH311" t="inlineStr"/>
      <c r="BI311" t="inlineStr"/>
      <c r="BJ311" t="inlineStr"/>
      <c r="BK311" t="inlineStr"/>
      <c r="BL311" t="inlineStr"/>
      <c r="BM311" t="inlineStr"/>
      <c r="BN311" t="n">
        <v>0</v>
      </c>
      <c r="BO311" t="inlineStr"/>
      <c r="BP311" t="inlineStr"/>
      <c r="BQ311" t="inlineStr"/>
      <c r="BR311" t="inlineStr"/>
      <c r="BS311" t="inlineStr"/>
      <c r="BT311" t="inlineStr"/>
      <c r="BU311" t="inlineStr"/>
      <c r="BV311" t="inlineStr"/>
      <c r="BW311" t="inlineStr"/>
      <c r="BX311" t="inlineStr"/>
      <c r="BY311" t="inlineStr"/>
      <c r="BZ311" t="inlineStr"/>
      <c r="CA311" t="inlineStr"/>
      <c r="CB311" t="inlineStr"/>
      <c r="CC311" t="inlineStr"/>
      <c r="CD311" t="inlineStr"/>
      <c r="CE311" t="inlineStr"/>
      <c r="CF311" t="inlineStr"/>
      <c r="CG311" t="inlineStr"/>
      <c r="CH311" t="inlineStr"/>
      <c r="CI311" t="inlineStr"/>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c r="CZ311" t="inlineStr"/>
      <c r="DA311" t="inlineStr"/>
      <c r="DB311" t="inlineStr"/>
      <c r="DC311" t="inlineStr"/>
      <c r="DD311" t="inlineStr"/>
      <c r="DE311" t="inlineStr"/>
      <c r="DF311" t="inlineStr"/>
      <c r="DG311" t="inlineStr"/>
    </row>
    <row r="312">
      <c r="A312" t="inlineStr">
        <is>
          <t>III</t>
        </is>
      </c>
      <c r="B312" t="b">
        <v>1</v>
      </c>
      <c r="C312" t="inlineStr"/>
      <c r="D312" t="inlineStr"/>
      <c r="E312" t="n">
        <v>360</v>
      </c>
      <c r="F312">
        <f>HYPERLINK("https://portal.dnb.de/opac.htm?method=simpleSearch&amp;cqlMode=true&amp;query=idn%3D993882951", "Portal")</f>
        <v/>
      </c>
      <c r="G312" t="inlineStr">
        <is>
          <t>Afl</t>
        </is>
      </c>
      <c r="H312" t="inlineStr">
        <is>
          <t>L-1505-153946962</t>
        </is>
      </c>
      <c r="I312" t="inlineStr">
        <is>
          <t>993882951</t>
        </is>
      </c>
      <c r="J312" t="inlineStr">
        <is>
          <t>III 40, 1</t>
        </is>
      </c>
      <c r="K312" t="inlineStr">
        <is>
          <t>III 40, 1</t>
        </is>
      </c>
      <c r="L312" t="inlineStr">
        <is>
          <t>III 40, 1</t>
        </is>
      </c>
      <c r="M312" t="inlineStr"/>
      <c r="N312" t="inlineStr">
        <is>
          <t>... Opus preclarissimum postillar[um] diui Alberti Magni|| Ratisponen̄ dum vixit Ep̄i:summi et incomporabilis|| Theologi:sup Quattuor Euāgelia ...|| a</t>
        </is>
      </c>
      <c r="O312" t="inlineStr">
        <is>
          <t>3. : [Sp. I.] Prima et|| Secunda|| [Sp. II.] Partes Postille Super Euan||geliare Luce|| Venerabilis dn̄i:domini Alberti magni|| ...||</t>
        </is>
      </c>
      <c r="P312" t="inlineStr"/>
      <c r="Q312" t="inlineStr"/>
      <c r="R312" t="inlineStr"/>
      <c r="S312" t="inlineStr"/>
      <c r="T312" t="inlineStr"/>
      <c r="U312" t="inlineStr"/>
      <c r="V312" t="inlineStr"/>
      <c r="W312" t="inlineStr"/>
      <c r="X312" t="inlineStr"/>
      <c r="Y312" t="inlineStr"/>
      <c r="Z312" t="inlineStr"/>
      <c r="AA312" t="inlineStr"/>
      <c r="AB312" t="inlineStr"/>
      <c r="AC312" t="inlineStr"/>
      <c r="AD312" t="inlineStr"/>
      <c r="AE312" t="inlineStr"/>
      <c r="AF312" t="inlineStr"/>
      <c r="AG312" t="inlineStr"/>
      <c r="AH312" t="inlineStr"/>
      <c r="AI312" t="inlineStr"/>
      <c r="AJ312" t="inlineStr"/>
      <c r="AK312" t="inlineStr"/>
      <c r="AL312" t="inlineStr"/>
      <c r="AM312" t="inlineStr"/>
      <c r="AN312" t="inlineStr"/>
      <c r="AO312" t="inlineStr"/>
      <c r="AP312" t="inlineStr"/>
      <c r="AQ312" t="inlineStr"/>
      <c r="AR312" t="inlineStr"/>
      <c r="AS312" t="inlineStr"/>
      <c r="AT312" t="inlineStr"/>
      <c r="AU312" t="inlineStr"/>
      <c r="AV312" t="inlineStr"/>
      <c r="AW312" t="inlineStr"/>
      <c r="AX312" t="inlineStr"/>
      <c r="AY312" t="inlineStr"/>
      <c r="AZ312" t="inlineStr"/>
      <c r="BA312" t="inlineStr"/>
      <c r="BB312" t="inlineStr"/>
      <c r="BC312" t="inlineStr"/>
      <c r="BD312" t="inlineStr"/>
      <c r="BE312" t="inlineStr"/>
      <c r="BF312" t="inlineStr"/>
      <c r="BG312" t="inlineStr"/>
      <c r="BH312" t="inlineStr"/>
      <c r="BI312" t="inlineStr"/>
      <c r="BJ312" t="inlineStr"/>
      <c r="BK312" t="inlineStr"/>
      <c r="BL312" t="inlineStr"/>
      <c r="BM312" t="inlineStr"/>
      <c r="BN312" t="n">
        <v>0</v>
      </c>
      <c r="BO312" t="inlineStr"/>
      <c r="BP312" t="inlineStr"/>
      <c r="BQ312" t="inlineStr"/>
      <c r="BR312" t="inlineStr"/>
      <c r="BS312" t="inlineStr"/>
      <c r="BT312" t="inlineStr"/>
      <c r="BU312" t="inlineStr"/>
      <c r="BV312" t="inlineStr"/>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c r="DB312" t="inlineStr"/>
      <c r="DC312" t="inlineStr"/>
      <c r="DD312" t="inlineStr"/>
      <c r="DE312" t="inlineStr"/>
      <c r="DF312" t="inlineStr"/>
      <c r="DG312" t="inlineStr"/>
    </row>
    <row r="313">
      <c r="A313" t="inlineStr">
        <is>
          <t>III</t>
        </is>
      </c>
      <c r="B313" t="b">
        <v>1</v>
      </c>
      <c r="C313" t="inlineStr"/>
      <c r="D313" t="inlineStr"/>
      <c r="E313" t="n">
        <v>361</v>
      </c>
      <c r="F313">
        <f>HYPERLINK("https://portal.dnb.de/opac.htm?method=simpleSearch&amp;cqlMode=true&amp;query=idn%3D993882900", "Portal")</f>
        <v/>
      </c>
      <c r="G313" t="inlineStr">
        <is>
          <t>Afl</t>
        </is>
      </c>
      <c r="H313" t="inlineStr">
        <is>
          <t>L-1505-15394692X</t>
        </is>
      </c>
      <c r="I313" t="inlineStr">
        <is>
          <t>993882900</t>
        </is>
      </c>
      <c r="J313" t="inlineStr">
        <is>
          <t>III 40, 1</t>
        </is>
      </c>
      <c r="K313" t="inlineStr">
        <is>
          <t>III 40, 1</t>
        </is>
      </c>
      <c r="L313" t="inlineStr">
        <is>
          <t>III 40, 1</t>
        </is>
      </c>
      <c r="M313" t="inlineStr"/>
      <c r="N313" t="inlineStr">
        <is>
          <t>... Opus preclarissimum postillar[um] diui Alberti Magni|| Ratisponen̄ dum vixit Ep̄i:summi et incomporabilis|| Theologi:sup Quattuor Euāgelia ...|| a</t>
        </is>
      </c>
      <c r="O313" t="inlineStr">
        <is>
          <t>2. : Super Marci Euange||liare Postilla|| Venerabilis domini: domini Al||berti magni ...</t>
        </is>
      </c>
      <c r="P313" t="inlineStr"/>
      <c r="Q313" t="inlineStr"/>
      <c r="R313" t="inlineStr"/>
      <c r="S313" t="inlineStr"/>
      <c r="T313" t="inlineStr"/>
      <c r="U313" t="inlineStr"/>
      <c r="V313" t="inlineStr"/>
      <c r="W313" t="inlineStr"/>
      <c r="X313" t="inlineStr"/>
      <c r="Y313" t="inlineStr"/>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inlineStr"/>
      <c r="BI313" t="inlineStr"/>
      <c r="BJ313" t="inlineStr"/>
      <c r="BK313" t="inlineStr"/>
      <c r="BL313" t="inlineStr"/>
      <c r="BM313" t="inlineStr"/>
      <c r="BN313" t="n">
        <v>0</v>
      </c>
      <c r="BO313" t="inlineStr"/>
      <c r="BP313" t="inlineStr"/>
      <c r="BQ313" t="inlineStr"/>
      <c r="BR313" t="inlineStr"/>
      <c r="BS313" t="inlineStr"/>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c r="DB313" t="inlineStr"/>
      <c r="DC313" t="inlineStr"/>
      <c r="DD313" t="inlineStr"/>
      <c r="DE313" t="inlineStr"/>
      <c r="DF313" t="inlineStr"/>
      <c r="DG313" t="inlineStr"/>
    </row>
    <row r="314">
      <c r="A314" t="inlineStr">
        <is>
          <t>III</t>
        </is>
      </c>
      <c r="B314" t="b">
        <v>1</v>
      </c>
      <c r="C314" t="inlineStr"/>
      <c r="D314" t="inlineStr"/>
      <c r="E314" t="n">
        <v>362</v>
      </c>
      <c r="F314">
        <f>HYPERLINK("https://portal.dnb.de/opac.htm?method=simpleSearch&amp;cqlMode=true&amp;query=idn%3D99388282X", "Portal")</f>
        <v/>
      </c>
      <c r="G314" t="inlineStr">
        <is>
          <t>Afl</t>
        </is>
      </c>
      <c r="H314" t="inlineStr">
        <is>
          <t>L-1505-153946822</t>
        </is>
      </c>
      <c r="I314" t="inlineStr">
        <is>
          <t>99388282X</t>
        </is>
      </c>
      <c r="J314" t="inlineStr">
        <is>
          <t>III 40, 1</t>
        </is>
      </c>
      <c r="K314" t="inlineStr">
        <is>
          <t>III 40, 1</t>
        </is>
      </c>
      <c r="L314" t="inlineStr">
        <is>
          <t>III 40, 1</t>
        </is>
      </c>
      <c r="M314" t="inlineStr"/>
      <c r="N314" t="inlineStr">
        <is>
          <t>... Opus preclarissimum postillar[um] diui Alberti Magni|| Ratisponen̄ dum vixit Ep̄i:summi et incomporabilis|| Theologi:sup Quattuor Euāgelia ...|| a</t>
        </is>
      </c>
      <c r="O314" t="inlineStr">
        <is>
          <t>1. : Super Matthei Euangeli||are postilla Alberti magni|| ...||</t>
        </is>
      </c>
      <c r="P314" t="inlineStr"/>
      <c r="Q314" t="inlineStr"/>
      <c r="R314" t="inlineStr"/>
      <c r="S314" t="inlineStr"/>
      <c r="T314" t="inlineStr"/>
      <c r="U314" t="inlineStr"/>
      <c r="V314" t="inlineStr"/>
      <c r="W314" t="inlineStr"/>
      <c r="X314" t="inlineStr"/>
      <c r="Y314" t="inlineStr"/>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inlineStr"/>
      <c r="BI314" t="inlineStr"/>
      <c r="BJ314" t="inlineStr"/>
      <c r="BK314" t="inlineStr"/>
      <c r="BL314" t="inlineStr"/>
      <c r="BM314" t="inlineStr"/>
      <c r="BN314" t="n">
        <v>0</v>
      </c>
      <c r="BO314" t="inlineStr"/>
      <c r="BP314" t="inlineStr"/>
      <c r="BQ314" t="inlineStr"/>
      <c r="BR314" t="inlineStr"/>
      <c r="BS314" t="inlineStr"/>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c r="DA314" t="inlineStr"/>
      <c r="DB314" t="inlineStr"/>
      <c r="DC314" t="inlineStr"/>
      <c r="DD314" t="inlineStr"/>
      <c r="DE314" t="inlineStr"/>
      <c r="DF314" t="inlineStr"/>
      <c r="DG314" t="inlineStr"/>
    </row>
    <row r="315">
      <c r="A315" t="inlineStr">
        <is>
          <t>III</t>
        </is>
      </c>
      <c r="B315" t="b">
        <v>1</v>
      </c>
      <c r="C315" t="inlineStr"/>
      <c r="D315" t="inlineStr"/>
      <c r="E315" t="n">
        <v>363</v>
      </c>
      <c r="F315">
        <f>HYPERLINK("https://portal.dnb.de/opac.htm?method=simpleSearch&amp;cqlMode=true&amp;query=idn%3D993995845", "Portal")</f>
        <v/>
      </c>
      <c r="G315" t="inlineStr">
        <is>
          <t>Aal</t>
        </is>
      </c>
      <c r="H315" t="inlineStr">
        <is>
          <t>L-1521-154137898</t>
        </is>
      </c>
      <c r="I315" t="inlineStr">
        <is>
          <t>993995845</t>
        </is>
      </c>
      <c r="J315" t="inlineStr">
        <is>
          <t>III 40, 2</t>
        </is>
      </c>
      <c r="K315" t="inlineStr">
        <is>
          <t>III 40, 2</t>
        </is>
      </c>
      <c r="L315" t="inlineStr">
        <is>
          <t>III 40, 2</t>
        </is>
      </c>
      <c r="M315" t="inlineStr"/>
      <c r="N315" t="inlineStr">
        <is>
          <t>Sant Augustins ausz||legung über den fünffunduier||zigsten Psalm der sich an||hebt|der herr ist vnser|| zůflucht vnd sterck|| geteutstht [!]|| durch G</t>
        </is>
      </c>
      <c r="O315" t="inlineStr">
        <is>
          <t xml:space="preserve"> : </t>
        </is>
      </c>
      <c r="P315" t="inlineStr">
        <is>
          <t>X</t>
        </is>
      </c>
      <c r="Q315" t="inlineStr"/>
      <c r="R315" t="inlineStr">
        <is>
          <t>Gewebeeinband</t>
        </is>
      </c>
      <c r="S315" t="inlineStr">
        <is>
          <t>bis 25 cm</t>
        </is>
      </c>
      <c r="T315" t="inlineStr">
        <is>
          <t>180°</t>
        </is>
      </c>
      <c r="U315" t="inlineStr">
        <is>
          <t>hohler Rücken</t>
        </is>
      </c>
      <c r="V315" t="inlineStr"/>
      <c r="W315" t="inlineStr"/>
      <c r="X315" t="inlineStr"/>
      <c r="Y315" t="n">
        <v>1</v>
      </c>
      <c r="Z315" t="inlineStr"/>
      <c r="AA315" t="inlineStr"/>
      <c r="AB315" t="inlineStr"/>
      <c r="AC315" t="inlineStr"/>
      <c r="AD315" t="inlineStr"/>
      <c r="AE315" t="inlineStr"/>
      <c r="AF315" t="inlineStr"/>
      <c r="AG315" t="inlineStr"/>
      <c r="AH315" t="inlineStr"/>
      <c r="AI315" t="inlineStr">
        <is>
          <t>G</t>
        </is>
      </c>
      <c r="AJ315" t="inlineStr"/>
      <c r="AK315" t="inlineStr">
        <is>
          <t>x</t>
        </is>
      </c>
      <c r="AL315" t="inlineStr">
        <is>
          <t>x</t>
        </is>
      </c>
      <c r="AM315" t="inlineStr">
        <is>
          <t>h/E</t>
        </is>
      </c>
      <c r="AN315" t="inlineStr"/>
      <c r="AO315" t="inlineStr"/>
      <c r="AP315" t="inlineStr"/>
      <c r="AQ315" t="inlineStr"/>
      <c r="AR315" t="inlineStr"/>
      <c r="AS315" t="inlineStr">
        <is>
          <t>Pa</t>
        </is>
      </c>
      <c r="AT315" t="inlineStr">
        <is>
          <t>x</t>
        </is>
      </c>
      <c r="AU315" t="inlineStr"/>
      <c r="AV315" t="inlineStr"/>
      <c r="AW315" t="inlineStr"/>
      <c r="AX315" t="inlineStr"/>
      <c r="AY315" t="inlineStr"/>
      <c r="AZ315" t="inlineStr"/>
      <c r="BA315" t="inlineStr"/>
      <c r="BB315" t="inlineStr"/>
      <c r="BC315" t="inlineStr"/>
      <c r="BD315" t="inlineStr"/>
      <c r="BE315" t="inlineStr"/>
      <c r="BF315" t="inlineStr"/>
      <c r="BG315" t="n">
        <v>80</v>
      </c>
      <c r="BH315" t="inlineStr"/>
      <c r="BI315" t="inlineStr"/>
      <c r="BJ315" t="inlineStr"/>
      <c r="BK315" t="inlineStr"/>
      <c r="BL315" t="inlineStr"/>
      <c r="BM315" t="inlineStr">
        <is>
          <t>n</t>
        </is>
      </c>
      <c r="BN315" t="n">
        <v>0</v>
      </c>
      <c r="BO315" t="inlineStr"/>
      <c r="BP315" t="inlineStr"/>
      <c r="BQ315" t="inlineStr"/>
      <c r="BR315" t="inlineStr">
        <is>
          <t>x</t>
        </is>
      </c>
      <c r="BS315" t="inlineStr"/>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c r="DB315" t="inlineStr"/>
      <c r="DC315" t="inlineStr"/>
      <c r="DD315" t="inlineStr"/>
      <c r="DE315" t="inlineStr"/>
      <c r="DF315" t="inlineStr"/>
      <c r="DG315" t="inlineStr"/>
    </row>
    <row r="316">
      <c r="A316" t="inlineStr">
        <is>
          <t>III</t>
        </is>
      </c>
      <c r="B316" t="b">
        <v>1</v>
      </c>
      <c r="C316" t="inlineStr"/>
      <c r="D316" t="inlineStr"/>
      <c r="E316" t="n">
        <v>364</v>
      </c>
      <c r="F316">
        <f>HYPERLINK("https://portal.dnb.de/opac.htm?method=simpleSearch&amp;cqlMode=true&amp;query=idn%3D1066800138", "Portal")</f>
        <v/>
      </c>
      <c r="G316" t="inlineStr">
        <is>
          <t>Aaf</t>
        </is>
      </c>
      <c r="H316" t="inlineStr">
        <is>
          <t>L-1535-31522004X</t>
        </is>
      </c>
      <c r="I316" t="inlineStr">
        <is>
          <t>1066800138</t>
        </is>
      </c>
      <c r="J316" t="inlineStr">
        <is>
          <t>III 40, 3</t>
        </is>
      </c>
      <c r="K316" t="inlineStr">
        <is>
          <t>III 40, 3</t>
        </is>
      </c>
      <c r="L316" t="inlineStr">
        <is>
          <t>III 40, 3</t>
        </is>
      </c>
      <c r="M316" t="inlineStr"/>
      <c r="N316" t="inlineStr">
        <is>
          <t xml:space="preserve">IN EPI||STOLAM S. PAVLI|| ad Galatas Commentarius,|| ex praelectione D.Mar||tini Luth.collectus.|| VITEBERGAE.|| M.D. XXXV.|| ...|| : </t>
        </is>
      </c>
      <c r="O316" t="inlineStr">
        <is>
          <t xml:space="preserve"> : </t>
        </is>
      </c>
      <c r="P316" t="inlineStr">
        <is>
          <t>X</t>
        </is>
      </c>
      <c r="Q316" t="inlineStr"/>
      <c r="R316" t="inlineStr">
        <is>
          <t>Ledereinband, Schließen, erhabene Buchbeschläge</t>
        </is>
      </c>
      <c r="S316" t="inlineStr">
        <is>
          <t>bis 25 cm</t>
        </is>
      </c>
      <c r="T316" t="inlineStr">
        <is>
          <t>nur sehr geringer Öffnungswinkel</t>
        </is>
      </c>
      <c r="U316" t="inlineStr"/>
      <c r="V316" t="inlineStr"/>
      <c r="W316" t="inlineStr">
        <is>
          <t>Kassette</t>
        </is>
      </c>
      <c r="X316" t="inlineStr">
        <is>
          <t>Nein</t>
        </is>
      </c>
      <c r="Y316" t="n">
        <v>0</v>
      </c>
      <c r="Z316" t="inlineStr"/>
      <c r="AA316" t="inlineStr"/>
      <c r="AB316" t="inlineStr"/>
      <c r="AC316" t="inlineStr"/>
      <c r="AD316" t="inlineStr"/>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c r="BD316" t="inlineStr"/>
      <c r="BE316" t="inlineStr"/>
      <c r="BF316" t="inlineStr"/>
      <c r="BG316" t="inlineStr"/>
      <c r="BH316" t="inlineStr"/>
      <c r="BI316" t="inlineStr"/>
      <c r="BJ316" t="inlineStr"/>
      <c r="BK316" t="inlineStr"/>
      <c r="BL316" t="inlineStr"/>
      <c r="BM316" t="inlineStr"/>
      <c r="BN316" t="n">
        <v>0</v>
      </c>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c r="DB316" t="inlineStr"/>
      <c r="DC316" t="inlineStr"/>
      <c r="DD316" t="inlineStr"/>
      <c r="DE316" t="inlineStr"/>
      <c r="DF316" t="inlineStr"/>
      <c r="DG316" t="inlineStr"/>
    </row>
    <row r="317">
      <c r="A317" t="inlineStr">
        <is>
          <t>III</t>
        </is>
      </c>
      <c r="B317" t="b">
        <v>1</v>
      </c>
      <c r="C317" t="inlineStr"/>
      <c r="D317" t="inlineStr"/>
      <c r="E317" t="n">
        <v>365</v>
      </c>
      <c r="F317">
        <f>HYPERLINK("https://portal.dnb.de/opac.htm?method=simpleSearch&amp;cqlMode=true&amp;query=idn%3D99993922X", "Portal")</f>
        <v/>
      </c>
      <c r="G317" t="inlineStr">
        <is>
          <t>Aal</t>
        </is>
      </c>
      <c r="H317" t="inlineStr">
        <is>
          <t>L-1504-169751783</t>
        </is>
      </c>
      <c r="I317" t="inlineStr">
        <is>
          <t>99993922X</t>
        </is>
      </c>
      <c r="J317" t="inlineStr">
        <is>
          <t>III 40, 4</t>
        </is>
      </c>
      <c r="K317" t="inlineStr">
        <is>
          <t>III 40, 4</t>
        </is>
      </c>
      <c r="L317" t="inlineStr">
        <is>
          <t>III 40, 4</t>
        </is>
      </c>
      <c r="M317" t="inlineStr"/>
      <c r="N317" t="inlineStr">
        <is>
          <t xml:space="preserve">Sermones Pomerii fratris|| Pelbarti de Themeswar di||ui Ordinis sancti Francisci|| De tempore|| [Hyemales et Estiuales] : </t>
        </is>
      </c>
      <c r="O317" t="inlineStr">
        <is>
          <t xml:space="preserve"> : </t>
        </is>
      </c>
      <c r="P317" t="inlineStr"/>
      <c r="Q317" t="inlineStr"/>
      <c r="R317" t="inlineStr">
        <is>
          <t>Papier- oder Pappeinband</t>
        </is>
      </c>
      <c r="S317" t="inlineStr">
        <is>
          <t>bis 35 cm</t>
        </is>
      </c>
      <c r="T317" t="inlineStr">
        <is>
          <t>80° bis 110°, einseitig digitalisierbar?</t>
        </is>
      </c>
      <c r="U317" t="inlineStr">
        <is>
          <t>hohler Rücken</t>
        </is>
      </c>
      <c r="V317" t="inlineStr"/>
      <c r="W317" t="inlineStr"/>
      <c r="X317" t="inlineStr"/>
      <c r="Y317" t="n">
        <v>1</v>
      </c>
      <c r="Z317" t="inlineStr"/>
      <c r="AA317" t="inlineStr"/>
      <c r="AB317" t="inlineStr"/>
      <c r="AC317" t="inlineStr"/>
      <c r="AD317" t="inlineStr"/>
      <c r="AE317" t="inlineStr"/>
      <c r="AF317" t="inlineStr"/>
      <c r="AG317" t="inlineStr"/>
      <c r="AH317" t="inlineStr"/>
      <c r="AI317" t="inlineStr">
        <is>
          <t>Pa</t>
        </is>
      </c>
      <c r="AJ317" t="inlineStr"/>
      <c r="AK317" t="inlineStr"/>
      <c r="AL317" t="inlineStr"/>
      <c r="AM317" t="inlineStr">
        <is>
          <t>h/E</t>
        </is>
      </c>
      <c r="AN317" t="inlineStr"/>
      <c r="AO317" t="inlineStr"/>
      <c r="AP317" t="inlineStr"/>
      <c r="AQ317" t="inlineStr"/>
      <c r="AR317" t="inlineStr"/>
      <c r="AS317" t="inlineStr">
        <is>
          <t>Pa</t>
        </is>
      </c>
      <c r="AT317" t="inlineStr"/>
      <c r="AU317" t="inlineStr"/>
      <c r="AV317" t="inlineStr"/>
      <c r="AW317" t="inlineStr"/>
      <c r="AX317" t="inlineStr"/>
      <c r="AY317" t="inlineStr"/>
      <c r="AZ317" t="inlineStr"/>
      <c r="BA317" t="inlineStr"/>
      <c r="BB317" t="inlineStr"/>
      <c r="BC317" t="inlineStr"/>
      <c r="BD317" t="inlineStr"/>
      <c r="BE317" t="inlineStr"/>
      <c r="BF317" t="inlineStr"/>
      <c r="BG317" t="n">
        <v>60</v>
      </c>
      <c r="BH317" t="inlineStr"/>
      <c r="BI317" t="inlineStr"/>
      <c r="BJ317" t="inlineStr"/>
      <c r="BK317" t="inlineStr"/>
      <c r="BL317" t="inlineStr"/>
      <c r="BM317" t="inlineStr">
        <is>
          <t>n</t>
        </is>
      </c>
      <c r="BN317" t="n">
        <v>0</v>
      </c>
      <c r="BO317" t="inlineStr"/>
      <c r="BP317" t="inlineStr"/>
      <c r="BQ317" t="inlineStr"/>
      <c r="BR317" t="inlineStr"/>
      <c r="BS317" t="inlineStr"/>
      <c r="BT317" t="inlineStr"/>
      <c r="BU317" t="inlineStr"/>
      <c r="BV317" t="inlineStr">
        <is>
          <t>Schaden stabil</t>
        </is>
      </c>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c r="DA317" t="inlineStr"/>
      <c r="DB317" t="inlineStr"/>
      <c r="DC317" t="inlineStr"/>
      <c r="DD317" t="inlineStr"/>
      <c r="DE317" t="inlineStr"/>
      <c r="DF317" t="inlineStr"/>
      <c r="DG317" t="inlineStr"/>
    </row>
    <row r="318">
      <c r="A318" t="inlineStr">
        <is>
          <t>III</t>
        </is>
      </c>
      <c r="B318" t="b">
        <v>1</v>
      </c>
      <c r="C318" t="inlineStr"/>
      <c r="D318" t="inlineStr"/>
      <c r="E318" t="n">
        <v>366</v>
      </c>
      <c r="F318">
        <f>HYPERLINK("https://portal.dnb.de/opac.htm?method=simpleSearch&amp;cqlMode=true&amp;query=idn%3D998831123", "Portal")</f>
        <v/>
      </c>
      <c r="G318" t="inlineStr">
        <is>
          <t>Afl</t>
        </is>
      </c>
      <c r="H318" t="inlineStr">
        <is>
          <t>L-1526-167036696</t>
        </is>
      </c>
      <c r="I318" t="inlineStr">
        <is>
          <t>998831123</t>
        </is>
      </c>
      <c r="J318" t="inlineStr">
        <is>
          <t>III 40, 5 - 1</t>
        </is>
      </c>
      <c r="K318" t="inlineStr">
        <is>
          <t>III 40, 5 - 1</t>
        </is>
      </c>
      <c r="L318" t="inlineStr">
        <is>
          <t>III 40, 5 - 1</t>
        </is>
      </c>
      <c r="M318" t="inlineStr"/>
      <c r="N318" t="inlineStr">
        <is>
          <t>Loukianou samosateōs meros ...</t>
        </is>
      </c>
      <c r="O318" t="inlineStr">
        <is>
          <t>1. : Loukianou Samosateos Meros Proton</t>
        </is>
      </c>
      <c r="P318" t="inlineStr">
        <is>
          <t>X</t>
        </is>
      </c>
      <c r="Q318" t="inlineStr">
        <is>
          <t>400,00 EUR</t>
        </is>
      </c>
      <c r="R318" t="inlineStr">
        <is>
          <t>Ledereinband</t>
        </is>
      </c>
      <c r="S318" t="inlineStr">
        <is>
          <t>bis 25 cm</t>
        </is>
      </c>
      <c r="T318" t="inlineStr">
        <is>
          <t>80° bis 110°, einseitig digitalisierbar?</t>
        </is>
      </c>
      <c r="U318" t="inlineStr"/>
      <c r="V318" t="inlineStr"/>
      <c r="W318" t="inlineStr">
        <is>
          <t>Kassette</t>
        </is>
      </c>
      <c r="X318" t="inlineStr">
        <is>
          <t>Nein</t>
        </is>
      </c>
      <c r="Y318" t="n">
        <v>1</v>
      </c>
      <c r="Z318" t="inlineStr"/>
      <c r="AA318" t="inlineStr"/>
      <c r="AB318" t="inlineStr"/>
      <c r="AC318" t="inlineStr"/>
      <c r="AD318" t="inlineStr"/>
      <c r="AE318" t="inlineStr"/>
      <c r="AF318" t="inlineStr"/>
      <c r="AG318" t="inlineStr"/>
      <c r="AH318" t="inlineStr"/>
      <c r="AI318" t="inlineStr">
        <is>
          <t>L</t>
        </is>
      </c>
      <c r="AJ318" t="inlineStr"/>
      <c r="AK318" t="inlineStr"/>
      <c r="AL318" t="inlineStr">
        <is>
          <t>x</t>
        </is>
      </c>
      <c r="AM318" t="inlineStr">
        <is>
          <t>f</t>
        </is>
      </c>
      <c r="AN318" t="inlineStr"/>
      <c r="AO318" t="inlineStr"/>
      <c r="AP318" t="inlineStr"/>
      <c r="AQ318" t="inlineStr"/>
      <c r="AR318" t="inlineStr"/>
      <c r="AS318" t="inlineStr">
        <is>
          <t>Pa</t>
        </is>
      </c>
      <c r="AT318" t="inlineStr"/>
      <c r="AU318" t="inlineStr"/>
      <c r="AV318" t="inlineStr"/>
      <c r="AW318" t="inlineStr"/>
      <c r="AX318" t="inlineStr"/>
      <c r="AY318" t="inlineStr"/>
      <c r="AZ318" t="inlineStr"/>
      <c r="BA318" t="inlineStr"/>
      <c r="BB318" t="inlineStr"/>
      <c r="BC318" t="inlineStr"/>
      <c r="BD318" t="inlineStr"/>
      <c r="BE318" t="inlineStr"/>
      <c r="BF318" t="inlineStr"/>
      <c r="BG318" t="n">
        <v>80</v>
      </c>
      <c r="BH318" t="inlineStr"/>
      <c r="BI318" t="inlineStr"/>
      <c r="BJ318" t="inlineStr"/>
      <c r="BK318" t="inlineStr"/>
      <c r="BL318" t="inlineStr"/>
      <c r="BM318" t="inlineStr">
        <is>
          <t>n</t>
        </is>
      </c>
      <c r="BN318" t="n">
        <v>0</v>
      </c>
      <c r="BO318" t="inlineStr"/>
      <c r="BP318" t="inlineStr">
        <is>
          <t>Gewebe</t>
        </is>
      </c>
      <c r="BQ318" t="inlineStr"/>
      <c r="BR318" t="inlineStr"/>
      <c r="BS318" t="inlineStr"/>
      <c r="BT318" t="inlineStr"/>
      <c r="BU318" t="inlineStr"/>
      <c r="BV318" t="inlineStr"/>
      <c r="BW318" t="inlineStr"/>
      <c r="BX318" t="inlineStr"/>
      <c r="BY318" t="inlineStr"/>
      <c r="BZ318" t="inlineStr"/>
      <c r="CA318" t="inlineStr"/>
      <c r="CB318" t="inlineStr"/>
      <c r="CC318" t="inlineStr"/>
      <c r="CD318" t="inlineStr"/>
      <c r="CE318" t="inlineStr"/>
      <c r="CF318" t="inlineStr"/>
      <c r="CG318" t="inlineStr"/>
      <c r="CH318" t="inlineStr"/>
      <c r="CI318" t="inlineStr"/>
      <c r="CJ318" t="inlineStr"/>
      <c r="CK318" t="inlineStr"/>
      <c r="CL318" t="inlineStr"/>
      <c r="CM318" t="inlineStr"/>
      <c r="CN318" t="inlineStr"/>
      <c r="CO318" t="inlineStr"/>
      <c r="CP318" t="inlineStr"/>
      <c r="CQ318" t="inlineStr"/>
      <c r="CR318" t="inlineStr"/>
      <c r="CS318" t="inlineStr"/>
      <c r="CT318" t="inlineStr"/>
      <c r="CU318" t="inlineStr"/>
      <c r="CV318" t="inlineStr"/>
      <c r="CW318" t="inlineStr"/>
      <c r="CX318" t="inlineStr"/>
      <c r="CY318" t="inlineStr"/>
      <c r="CZ318" t="inlineStr"/>
      <c r="DA318" t="inlineStr"/>
      <c r="DB318" t="inlineStr"/>
      <c r="DC318" t="inlineStr"/>
      <c r="DD318" t="inlineStr"/>
      <c r="DE318" t="inlineStr"/>
      <c r="DF318" t="inlineStr"/>
      <c r="DG318" t="inlineStr"/>
    </row>
    <row r="319">
      <c r="A319" t="inlineStr">
        <is>
          <t>III</t>
        </is>
      </c>
      <c r="B319" t="b">
        <v>1</v>
      </c>
      <c r="C319" t="inlineStr"/>
      <c r="D319" t="inlineStr"/>
      <c r="E319" t="n">
        <v>367</v>
      </c>
      <c r="F319">
        <f>HYPERLINK("https://portal.dnb.de/opac.htm?method=simpleSearch&amp;cqlMode=true&amp;query=idn%3D998831182", "Portal")</f>
        <v/>
      </c>
      <c r="G319" t="inlineStr">
        <is>
          <t>Afl</t>
        </is>
      </c>
      <c r="H319" t="inlineStr">
        <is>
          <t>L-9999-167036742</t>
        </is>
      </c>
      <c r="I319" t="inlineStr">
        <is>
          <t>998831182</t>
        </is>
      </c>
      <c r="J319" t="inlineStr">
        <is>
          <t>III 40, 5 - 2</t>
        </is>
      </c>
      <c r="K319" t="inlineStr">
        <is>
          <t>III 40, 5 - 2</t>
        </is>
      </c>
      <c r="L319" t="inlineStr">
        <is>
          <t>III 40, 5 - 2</t>
        </is>
      </c>
      <c r="M319" t="inlineStr"/>
      <c r="N319" t="inlineStr">
        <is>
          <t>Loukianou samosateōs meros ...</t>
        </is>
      </c>
      <c r="O319" t="inlineStr">
        <is>
          <t>2. : Loukianou Samosateos Meros Deuteron</t>
        </is>
      </c>
      <c r="P319" t="inlineStr">
        <is>
          <t>X</t>
        </is>
      </c>
      <c r="Q319" t="inlineStr">
        <is>
          <t>400,00 EUR</t>
        </is>
      </c>
      <c r="R319" t="inlineStr">
        <is>
          <t>Ledereinband</t>
        </is>
      </c>
      <c r="S319" t="inlineStr">
        <is>
          <t>bis 25 cm</t>
        </is>
      </c>
      <c r="T319" t="inlineStr">
        <is>
          <t>80° bis 110°, einseitig digitalisierbar?</t>
        </is>
      </c>
      <c r="U319" t="inlineStr"/>
      <c r="V319" t="inlineStr"/>
      <c r="W319" t="inlineStr">
        <is>
          <t>Kassette</t>
        </is>
      </c>
      <c r="X319" t="inlineStr">
        <is>
          <t>Nein</t>
        </is>
      </c>
      <c r="Y319" t="n">
        <v>2</v>
      </c>
      <c r="Z319" t="inlineStr"/>
      <c r="AA319" t="inlineStr"/>
      <c r="AB319" t="inlineStr"/>
      <c r="AC319" t="inlineStr"/>
      <c r="AD319" t="inlineStr"/>
      <c r="AE319" t="inlineStr"/>
      <c r="AF319" t="inlineStr"/>
      <c r="AG319" t="inlineStr"/>
      <c r="AH319" t="inlineStr"/>
      <c r="AI319" t="inlineStr">
        <is>
          <t>L</t>
        </is>
      </c>
      <c r="AJ319" t="inlineStr"/>
      <c r="AK319" t="inlineStr"/>
      <c r="AL319" t="inlineStr"/>
      <c r="AM319" t="inlineStr">
        <is>
          <t>f</t>
        </is>
      </c>
      <c r="AN319" t="inlineStr"/>
      <c r="AO319" t="inlineStr"/>
      <c r="AP319" t="inlineStr"/>
      <c r="AQ319" t="inlineStr"/>
      <c r="AR319" t="inlineStr"/>
      <c r="AS319" t="inlineStr">
        <is>
          <t>Pa</t>
        </is>
      </c>
      <c r="AT319" t="inlineStr"/>
      <c r="AU319" t="inlineStr"/>
      <c r="AV319" t="inlineStr"/>
      <c r="AW319" t="inlineStr"/>
      <c r="AX319" t="inlineStr"/>
      <c r="AY319" t="inlineStr"/>
      <c r="AZ319" t="inlineStr"/>
      <c r="BA319" t="inlineStr"/>
      <c r="BB319" t="inlineStr"/>
      <c r="BC319" t="inlineStr"/>
      <c r="BD319" t="inlineStr"/>
      <c r="BE319" t="inlineStr"/>
      <c r="BF319" t="inlineStr"/>
      <c r="BG319" t="n">
        <v>45</v>
      </c>
      <c r="BH319" t="inlineStr"/>
      <c r="BI319" t="inlineStr"/>
      <c r="BJ319" t="inlineStr"/>
      <c r="BK319" t="inlineStr"/>
      <c r="BL319" t="inlineStr"/>
      <c r="BM319" t="inlineStr">
        <is>
          <t>n</t>
        </is>
      </c>
      <c r="BN319" t="n">
        <v>0</v>
      </c>
      <c r="BO319" t="inlineStr"/>
      <c r="BP319" t="inlineStr">
        <is>
          <t>Gewebe</t>
        </is>
      </c>
      <c r="BQ319" t="inlineStr"/>
      <c r="BR319" t="inlineStr"/>
      <c r="BS319" t="inlineStr"/>
      <c r="BT319" t="inlineStr"/>
      <c r="BU319" t="inlineStr"/>
      <c r="BV319" t="inlineStr">
        <is>
          <t>Schaden stabil</t>
        </is>
      </c>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c r="DA319" t="inlineStr"/>
      <c r="DB319" t="inlineStr"/>
      <c r="DC319" t="inlineStr"/>
      <c r="DD319" t="inlineStr"/>
      <c r="DE319" t="inlineStr"/>
      <c r="DF319" t="inlineStr"/>
      <c r="DG319" t="inlineStr"/>
    </row>
    <row r="320">
      <c r="A320" t="inlineStr">
        <is>
          <t>III</t>
        </is>
      </c>
      <c r="B320" t="b">
        <v>1</v>
      </c>
      <c r="C320" t="inlineStr"/>
      <c r="D320" t="inlineStr"/>
      <c r="E320" t="n">
        <v>368</v>
      </c>
      <c r="F320">
        <f>HYPERLINK("https://portal.dnb.de/opac.htm?method=simpleSearch&amp;cqlMode=true&amp;query=idn%3D993862233", "Portal")</f>
        <v/>
      </c>
      <c r="G320" t="inlineStr">
        <is>
          <t>Aal</t>
        </is>
      </c>
      <c r="H320" t="inlineStr">
        <is>
          <t>L-1548-153916184</t>
        </is>
      </c>
      <c r="I320" t="inlineStr">
        <is>
          <t>993862233</t>
        </is>
      </c>
      <c r="J320" t="inlineStr">
        <is>
          <t>III 41, 1</t>
        </is>
      </c>
      <c r="K320" t="inlineStr">
        <is>
          <t>III 41, 1</t>
        </is>
      </c>
      <c r="L320" t="inlineStr">
        <is>
          <t>III 41, 1</t>
        </is>
      </c>
      <c r="M320" t="inlineStr"/>
      <c r="N320" t="inlineStr">
        <is>
          <t>Bekentnisse vnd Erkle||ringe vp dat INTERIM|| dorch der Erbarn|| Stede|| Lübeck|| Hamborch|| Lünenborch|| etc. : Superintendenten Pastorn vnd Prediger</t>
        </is>
      </c>
      <c r="O320" t="inlineStr">
        <is>
          <t xml:space="preserve"> : </t>
        </is>
      </c>
      <c r="P320" t="inlineStr">
        <is>
          <t>X</t>
        </is>
      </c>
      <c r="Q320" t="inlineStr"/>
      <c r="R320" t="inlineStr">
        <is>
          <t>Pergamentband</t>
        </is>
      </c>
      <c r="S320" t="inlineStr">
        <is>
          <t>bis 25 cm</t>
        </is>
      </c>
      <c r="T320" t="inlineStr">
        <is>
          <t>80° bis 110°, einseitig digitalisierbar?</t>
        </is>
      </c>
      <c r="U320" t="inlineStr">
        <is>
          <t>hohler Rücken</t>
        </is>
      </c>
      <c r="V320" t="inlineStr"/>
      <c r="W320" t="inlineStr">
        <is>
          <t>Kassette</t>
        </is>
      </c>
      <c r="X320" t="inlineStr">
        <is>
          <t>Nein</t>
        </is>
      </c>
      <c r="Y320" t="n">
        <v>0</v>
      </c>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c r="BH320" t="inlineStr"/>
      <c r="BI320" t="inlineStr"/>
      <c r="BJ320" t="inlineStr"/>
      <c r="BK320" t="inlineStr"/>
      <c r="BL320" t="inlineStr"/>
      <c r="BM320" t="inlineStr"/>
      <c r="BN320" t="n">
        <v>0</v>
      </c>
      <c r="BO320" t="inlineStr"/>
      <c r="BP320" t="inlineStr"/>
      <c r="BQ320" t="inlineStr"/>
      <c r="BR320" t="inlineStr"/>
      <c r="BS320" t="inlineStr"/>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c r="DB320" t="inlineStr"/>
      <c r="DC320" t="inlineStr"/>
      <c r="DD320" t="inlineStr"/>
      <c r="DE320" t="inlineStr"/>
      <c r="DF320" t="inlineStr"/>
      <c r="DG320" t="inlineStr"/>
    </row>
    <row r="321">
      <c r="A321" t="inlineStr">
        <is>
          <t>III</t>
        </is>
      </c>
      <c r="B321" t="b">
        <v>1</v>
      </c>
      <c r="C321" t="inlineStr"/>
      <c r="D321" t="inlineStr"/>
      <c r="E321" t="n">
        <v>369</v>
      </c>
      <c r="F321">
        <f>HYPERLINK("https://portal.dnb.de/opac.htm?method=simpleSearch&amp;cqlMode=true&amp;query=idn%3D993903487", "Portal")</f>
        <v/>
      </c>
      <c r="G321" t="inlineStr">
        <is>
          <t>Aal</t>
        </is>
      </c>
      <c r="H321" t="inlineStr">
        <is>
          <t>L-1554-153966742</t>
        </is>
      </c>
      <c r="I321" t="inlineStr">
        <is>
          <t>993903487</t>
        </is>
      </c>
      <c r="J321" t="inlineStr">
        <is>
          <t>III 42, 1</t>
        </is>
      </c>
      <c r="K321" t="inlineStr">
        <is>
          <t>III 42, 1</t>
        </is>
      </c>
      <c r="L321" t="inlineStr">
        <is>
          <t>III 42, 1</t>
        </is>
      </c>
      <c r="M321" t="inlineStr"/>
      <c r="N321" t="inlineStr">
        <is>
          <t>ABDruck des|| Durchleuchtigen Hoch=||gebornen Fuersten vnd Herrn|| Herrn Albrechten|| des Juengern Marggrauen zu Brandenburg|| ...|| offnen Außschreib</t>
        </is>
      </c>
      <c r="O321" t="inlineStr">
        <is>
          <t xml:space="preserve"> : </t>
        </is>
      </c>
      <c r="P321" t="inlineStr">
        <is>
          <t>X</t>
        </is>
      </c>
      <c r="Q321" t="inlineStr"/>
      <c r="R321" t="inlineStr">
        <is>
          <t>Halbgewebeband, Broschur</t>
        </is>
      </c>
      <c r="S321" t="inlineStr">
        <is>
          <t>bis 25 cm</t>
        </is>
      </c>
      <c r="T321" t="inlineStr">
        <is>
          <t>180°</t>
        </is>
      </c>
      <c r="U321" t="inlineStr"/>
      <c r="V321" t="inlineStr"/>
      <c r="W321" t="inlineStr"/>
      <c r="X321" t="inlineStr"/>
      <c r="Y321" t="n">
        <v>1</v>
      </c>
      <c r="Z321" t="inlineStr"/>
      <c r="AA321" t="inlineStr"/>
      <c r="AB321" t="inlineStr"/>
      <c r="AC321" t="inlineStr"/>
      <c r="AD321" t="inlineStr"/>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c r="BH321" t="inlineStr"/>
      <c r="BI321" t="inlineStr"/>
      <c r="BJ321" t="inlineStr"/>
      <c r="BK321" t="inlineStr"/>
      <c r="BL321" t="inlineStr"/>
      <c r="BM321" t="inlineStr"/>
      <c r="BN321" t="n">
        <v>0</v>
      </c>
      <c r="BO321" t="inlineStr"/>
      <c r="BP321" t="inlineStr"/>
      <c r="BQ321" t="inlineStr"/>
      <c r="BR321" t="inlineStr"/>
      <c r="BS321" t="inlineStr"/>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c r="DB321" t="inlineStr"/>
      <c r="DC321" t="inlineStr"/>
      <c r="DD321" t="inlineStr"/>
      <c r="DE321" t="inlineStr"/>
      <c r="DF321" t="inlineStr"/>
      <c r="DG321" t="inlineStr"/>
    </row>
    <row r="322">
      <c r="A322" t="inlineStr">
        <is>
          <t>III</t>
        </is>
      </c>
      <c r="B322" t="b">
        <v>1</v>
      </c>
      <c r="C322" t="inlineStr"/>
      <c r="D322" t="inlineStr"/>
      <c r="E322" t="n">
        <v>370</v>
      </c>
      <c r="F322">
        <f>HYPERLINK("https://portal.dnb.de/opac.htm?method=simpleSearch&amp;cqlMode=true&amp;query=idn%3D1066963770", "Portal")</f>
        <v/>
      </c>
      <c r="G322" t="inlineStr">
        <is>
          <t>Aaf</t>
        </is>
      </c>
      <c r="H322" t="inlineStr">
        <is>
          <t>L-1559-315493984</t>
        </is>
      </c>
      <c r="I322" t="inlineStr">
        <is>
          <t>1066963770</t>
        </is>
      </c>
      <c r="J322" t="inlineStr">
        <is>
          <t>III 44, 1</t>
        </is>
      </c>
      <c r="K322" t="inlineStr">
        <is>
          <t>III 44, 1</t>
        </is>
      </c>
      <c r="L322" t="inlineStr">
        <is>
          <t>III 44, 1</t>
        </is>
      </c>
      <c r="M322" t="inlineStr"/>
      <c r="N322" t="inlineStr">
        <is>
          <t>Artikel Christ=||licher Lere/ so da hetten sol=||len auffs Concilium vberantwor=||tet werden/ wo es sein w#[ue]rde/ Vnd|| vom Gewalt des Bapsts/ vnd||</t>
        </is>
      </c>
      <c r="O322" t="inlineStr">
        <is>
          <t xml:space="preserve"> : </t>
        </is>
      </c>
      <c r="P322" t="inlineStr">
        <is>
          <t>X</t>
        </is>
      </c>
      <c r="Q322" t="inlineStr"/>
      <c r="R322" t="inlineStr">
        <is>
          <t>Ledereinband</t>
        </is>
      </c>
      <c r="S322" t="inlineStr">
        <is>
          <t>bis 25 cm</t>
        </is>
      </c>
      <c r="T322" t="inlineStr">
        <is>
          <t>80° bis 110°, einseitig digitalisierbar?</t>
        </is>
      </c>
      <c r="U322" t="inlineStr">
        <is>
          <t>hohler Rücken, stark brüchiges Einbandmaterial, Schrift bis in den Falz</t>
        </is>
      </c>
      <c r="V322" t="inlineStr"/>
      <c r="W322" t="inlineStr"/>
      <c r="X322" t="inlineStr"/>
      <c r="Y322" t="n">
        <v>3</v>
      </c>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inlineStr"/>
      <c r="BI322" t="inlineStr"/>
      <c r="BJ322" t="inlineStr"/>
      <c r="BK322" t="inlineStr"/>
      <c r="BL322" t="inlineStr"/>
      <c r="BM322" t="inlineStr"/>
      <c r="BN322" t="n">
        <v>0</v>
      </c>
      <c r="BO322" t="inlineStr"/>
      <c r="BP322" t="inlineStr"/>
      <c r="BQ322" t="inlineStr"/>
      <c r="BR322" t="inlineStr"/>
      <c r="BS322" t="inlineStr"/>
      <c r="BT322" t="inlineStr"/>
      <c r="BU322" t="inlineStr"/>
      <c r="BV322" t="inlineStr"/>
      <c r="BW322" t="inlineStr"/>
      <c r="BX322" t="inlineStr"/>
      <c r="BY322" t="inlineStr"/>
      <c r="BZ322" t="inlineStr"/>
      <c r="CA322" t="inlineStr"/>
      <c r="CB322" t="inlineStr"/>
      <c r="CC322" t="inlineStr"/>
      <c r="CD322" t="inlineStr"/>
      <c r="CE322" t="inlineStr"/>
      <c r="CF322" t="inlineStr"/>
      <c r="CG322" t="inlineStr"/>
      <c r="CH322" t="inlineStr"/>
      <c r="CI322" t="inlineStr"/>
      <c r="CJ322" t="inlineStr"/>
      <c r="CK322" t="inlineStr"/>
      <c r="CL322" t="inlineStr"/>
      <c r="CM322" t="inlineStr"/>
      <c r="CN322" t="inlineStr"/>
      <c r="CO322" t="inlineStr"/>
      <c r="CP322" t="inlineStr"/>
      <c r="CQ322" t="inlineStr"/>
      <c r="CR322" t="inlineStr"/>
      <c r="CS322" t="inlineStr"/>
      <c r="CT322" t="inlineStr"/>
      <c r="CU322" t="inlineStr"/>
      <c r="CV322" t="inlineStr"/>
      <c r="CW322" t="inlineStr"/>
      <c r="CX322" t="inlineStr"/>
      <c r="CY322" t="inlineStr"/>
      <c r="CZ322" t="inlineStr"/>
      <c r="DA322" t="inlineStr"/>
      <c r="DB322" t="inlineStr"/>
      <c r="DC322" t="inlineStr"/>
      <c r="DD322" t="inlineStr"/>
      <c r="DE322" t="inlineStr"/>
      <c r="DF322" t="inlineStr"/>
      <c r="DG322" t="inlineStr"/>
    </row>
    <row r="323">
      <c r="A323" t="inlineStr">
        <is>
          <t>III</t>
        </is>
      </c>
      <c r="B323" t="b">
        <v>1</v>
      </c>
      <c r="C323" t="inlineStr"/>
      <c r="D323" t="inlineStr"/>
      <c r="E323" t="n">
        <v>371</v>
      </c>
      <c r="F323">
        <f>HYPERLINK("https://portal.dnb.de/opac.htm?method=simpleSearch&amp;cqlMode=true&amp;query=idn%3D1066957886", "Portal")</f>
        <v/>
      </c>
      <c r="G323" t="inlineStr">
        <is>
          <t>Aaf</t>
        </is>
      </c>
      <c r="H323" t="inlineStr">
        <is>
          <t>L-1559-315488514</t>
        </is>
      </c>
      <c r="I323" t="inlineStr">
        <is>
          <t>1066957886</t>
        </is>
      </c>
      <c r="J323" t="inlineStr">
        <is>
          <t>III 44, 2</t>
        </is>
      </c>
      <c r="K323" t="inlineStr">
        <is>
          <t>III 44, 2</t>
        </is>
      </c>
      <c r="L323" t="inlineStr">
        <is>
          <t>III 44, 2</t>
        </is>
      </c>
      <c r="M323" t="inlineStr"/>
      <c r="N323" t="inlineStr">
        <is>
          <t xml:space="preserve">Des¬ Durchleuchti=||gen hochgebornen F#[ue]rsten vnd Her=||ren/ Herrn Johans Friderichen des Mittlern/|| Hertzogen zu Sachssen ... : </t>
        </is>
      </c>
      <c r="O323" t="inlineStr">
        <is>
          <t xml:space="preserve"> : </t>
        </is>
      </c>
      <c r="P323" t="inlineStr">
        <is>
          <t>X</t>
        </is>
      </c>
      <c r="Q323" t="inlineStr"/>
      <c r="R323" t="inlineStr">
        <is>
          <t>Halbledereinband</t>
        </is>
      </c>
      <c r="S323" t="inlineStr">
        <is>
          <t>bis 25 cm</t>
        </is>
      </c>
      <c r="T323" t="inlineStr">
        <is>
          <t>180°</t>
        </is>
      </c>
      <c r="U323" t="inlineStr">
        <is>
          <t>hohler Rücken</t>
        </is>
      </c>
      <c r="V323" t="inlineStr"/>
      <c r="W323" t="inlineStr"/>
      <c r="X323" t="inlineStr"/>
      <c r="Y323" t="n">
        <v>0</v>
      </c>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inlineStr"/>
      <c r="BI323" t="inlineStr"/>
      <c r="BJ323" t="inlineStr"/>
      <c r="BK323" t="inlineStr"/>
      <c r="BL323" t="inlineStr"/>
      <c r="BM323" t="inlineStr"/>
      <c r="BN323" t="n">
        <v>0</v>
      </c>
      <c r="BO323" t="inlineStr"/>
      <c r="BP323" t="inlineStr"/>
      <c r="BQ323" t="inlineStr"/>
      <c r="BR323" t="inlineStr"/>
      <c r="BS323" t="inlineStr"/>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c r="DB323" t="inlineStr"/>
      <c r="DC323" t="inlineStr"/>
      <c r="DD323" t="inlineStr"/>
      <c r="DE323" t="inlineStr"/>
      <c r="DF323" t="inlineStr"/>
      <c r="DG323" t="inlineStr"/>
    </row>
    <row r="324">
      <c r="A324" t="inlineStr">
        <is>
          <t>III</t>
        </is>
      </c>
      <c r="B324" t="b">
        <v>1</v>
      </c>
      <c r="C324" t="inlineStr"/>
      <c r="D324" t="inlineStr"/>
      <c r="E324" t="n">
        <v>372</v>
      </c>
      <c r="F324">
        <f>HYPERLINK("https://portal.dnb.de/opac.htm?method=simpleSearch&amp;cqlMode=true&amp;query=idn%3D993931669", "Portal")</f>
        <v/>
      </c>
      <c r="G324" t="inlineStr">
        <is>
          <t>Aal</t>
        </is>
      </c>
      <c r="H324" t="inlineStr">
        <is>
          <t>L-1555-154041289</t>
        </is>
      </c>
      <c r="I324" t="inlineStr">
        <is>
          <t>993931669</t>
        </is>
      </c>
      <c r="J324" t="inlineStr">
        <is>
          <t>III 44, 3</t>
        </is>
      </c>
      <c r="K324" t="inlineStr">
        <is>
          <t>III 44, 3</t>
        </is>
      </c>
      <c r="L324" t="inlineStr">
        <is>
          <t>III 44, 3</t>
        </is>
      </c>
      <c r="M324" t="inlineStr"/>
      <c r="N324" t="inlineStr">
        <is>
          <t xml:space="preserve">[Unterricht] Vnterricht vnd Ver-||manung auffs newe Jar, so ich|| vor zweien jaren den grossen Herrn dieser Welt geschanckt|| habe.|| : </t>
        </is>
      </c>
      <c r="O324" t="inlineStr">
        <is>
          <t xml:space="preserve"> : </t>
        </is>
      </c>
      <c r="P324" t="inlineStr"/>
      <c r="Q324" t="inlineStr"/>
      <c r="R324" t="inlineStr">
        <is>
          <t>Halbpergamentband</t>
        </is>
      </c>
      <c r="S324" t="inlineStr">
        <is>
          <t>bis 25 cm</t>
        </is>
      </c>
      <c r="T324" t="inlineStr">
        <is>
          <t>180°</t>
        </is>
      </c>
      <c r="U324" t="inlineStr"/>
      <c r="V324" t="inlineStr"/>
      <c r="W324" t="inlineStr"/>
      <c r="X324" t="inlineStr"/>
      <c r="Y324" t="n">
        <v>0</v>
      </c>
      <c r="Z324" t="inlineStr"/>
      <c r="AA324" t="inlineStr"/>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inlineStr"/>
      <c r="BI324" t="inlineStr"/>
      <c r="BJ324" t="inlineStr"/>
      <c r="BK324" t="inlineStr"/>
      <c r="BL324" t="inlineStr"/>
      <c r="BM324" t="inlineStr"/>
      <c r="BN324" t="n">
        <v>0</v>
      </c>
      <c r="BO324" t="inlineStr"/>
      <c r="BP324" t="inlineStr"/>
      <c r="BQ324" t="inlineStr"/>
      <c r="BR324" t="inlineStr"/>
      <c r="BS324" t="inlineStr"/>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c r="DA324" t="inlineStr"/>
      <c r="DB324" t="inlineStr"/>
      <c r="DC324" t="inlineStr"/>
      <c r="DD324" t="inlineStr"/>
      <c r="DE324" t="inlineStr"/>
      <c r="DF324" t="inlineStr"/>
      <c r="DG324" t="inlineStr"/>
    </row>
    <row r="325">
      <c r="A325" t="inlineStr">
        <is>
          <t>III</t>
        </is>
      </c>
      <c r="B325" t="b">
        <v>1</v>
      </c>
      <c r="C325" t="inlineStr"/>
      <c r="D325" t="inlineStr"/>
      <c r="E325" t="n">
        <v>374</v>
      </c>
      <c r="F325">
        <f>HYPERLINK("https://portal.dnb.de/opac.htm?method=simpleSearch&amp;cqlMode=true&amp;query=idn%3D993931669", "Portal")</f>
        <v/>
      </c>
      <c r="G325" t="inlineStr">
        <is>
          <t>Aal</t>
        </is>
      </c>
      <c r="H325" t="inlineStr">
        <is>
          <t>L-1555-154041327</t>
        </is>
      </c>
      <c r="I325" t="inlineStr">
        <is>
          <t>993931669</t>
        </is>
      </c>
      <c r="J325" t="inlineStr">
        <is>
          <t>III 44, 3a</t>
        </is>
      </c>
      <c r="K325" t="inlineStr">
        <is>
          <t>III 44, 3a</t>
        </is>
      </c>
      <c r="L325" t="inlineStr">
        <is>
          <t>III 44, 3 a</t>
        </is>
      </c>
      <c r="M325" t="inlineStr"/>
      <c r="N325" t="inlineStr">
        <is>
          <t xml:space="preserve">[Unterricht] Vnterricht vnd Ver-||manung auffs newe Jar, so ich|| vor zweien jaren den grossen Herrn dieser Welt geschanckt|| habe.|| : </t>
        </is>
      </c>
      <c r="O325" t="inlineStr">
        <is>
          <t xml:space="preserve"> : </t>
        </is>
      </c>
      <c r="P325" t="inlineStr"/>
      <c r="Q325" t="inlineStr"/>
      <c r="R325" t="inlineStr">
        <is>
          <t>Papier- oder Pappeinband</t>
        </is>
      </c>
      <c r="S325" t="inlineStr">
        <is>
          <t>bis 25 cm</t>
        </is>
      </c>
      <c r="T325" t="inlineStr">
        <is>
          <t>180°</t>
        </is>
      </c>
      <c r="U325" t="inlineStr"/>
      <c r="V325" t="inlineStr"/>
      <c r="W325" t="inlineStr"/>
      <c r="X325" t="inlineStr"/>
      <c r="Y325" t="n">
        <v>1</v>
      </c>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inlineStr"/>
      <c r="BI325" t="inlineStr"/>
      <c r="BJ325" t="inlineStr"/>
      <c r="BK325" t="inlineStr"/>
      <c r="BL325" t="inlineStr"/>
      <c r="BM325" t="inlineStr"/>
      <c r="BN325" t="n">
        <v>0</v>
      </c>
      <c r="BO325" t="inlineStr"/>
      <c r="BP325" t="inlineStr"/>
      <c r="BQ325" t="inlineStr"/>
      <c r="BR325" t="inlineStr"/>
      <c r="BS325" t="inlineStr"/>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inlineStr"/>
      <c r="DA325" t="inlineStr"/>
      <c r="DB325" t="inlineStr"/>
      <c r="DC325" t="inlineStr"/>
      <c r="DD325" t="inlineStr"/>
      <c r="DE325" t="inlineStr"/>
      <c r="DF325" t="inlineStr"/>
      <c r="DG325" t="inlineStr"/>
    </row>
    <row r="326">
      <c r="A326" t="inlineStr">
        <is>
          <t>III</t>
        </is>
      </c>
      <c r="B326" t="b">
        <v>1</v>
      </c>
      <c r="C326" t="inlineStr"/>
      <c r="D326" t="inlineStr"/>
      <c r="E326" t="n">
        <v>373</v>
      </c>
      <c r="F326">
        <f>HYPERLINK("https://portal.dnb.de/opac.htm?method=simpleSearch&amp;cqlMode=true&amp;query=idn%3D1002178991", "Portal")</f>
        <v/>
      </c>
      <c r="G326" t="inlineStr">
        <is>
          <t>Aal</t>
        </is>
      </c>
      <c r="H326" t="inlineStr">
        <is>
          <t>L-1559-176760954</t>
        </is>
      </c>
      <c r="I326" t="inlineStr">
        <is>
          <t>1002178991</t>
        </is>
      </c>
      <c r="J326" t="inlineStr">
        <is>
          <t>III 44, 4</t>
        </is>
      </c>
      <c r="K326" t="inlineStr">
        <is>
          <t>III 44, 4</t>
        </is>
      </c>
      <c r="L326" t="inlineStr">
        <is>
          <t>III 44, 4</t>
        </is>
      </c>
      <c r="M326" t="inlineStr"/>
      <c r="N326" t="inlineStr">
        <is>
          <t xml:space="preserve">Hauspostill vber die Sontags vnd der fürnemesten Feste Euangelien, durch das gantze Jar, : </t>
        </is>
      </c>
      <c r="O326" t="inlineStr">
        <is>
          <t xml:space="preserve"> : </t>
        </is>
      </c>
      <c r="P326" t="inlineStr"/>
      <c r="Q326" t="inlineStr"/>
      <c r="R326" t="inlineStr">
        <is>
          <t>Ledereinband, Schließen, erhabene Buchbeschläge</t>
        </is>
      </c>
      <c r="S326" t="inlineStr">
        <is>
          <t>bis 35 cm</t>
        </is>
      </c>
      <c r="T326" t="inlineStr">
        <is>
          <t>80° bis 110°, einseitig digitalisierbar?</t>
        </is>
      </c>
      <c r="U326" t="inlineStr">
        <is>
          <t>Schrift bis in den Falz</t>
        </is>
      </c>
      <c r="V326" t="inlineStr"/>
      <c r="W326" t="inlineStr">
        <is>
          <t>Kassette</t>
        </is>
      </c>
      <c r="X326" t="inlineStr">
        <is>
          <t>Nein</t>
        </is>
      </c>
      <c r="Y326" t="n">
        <v>0</v>
      </c>
      <c r="Z326" t="inlineStr"/>
      <c r="AA326" t="inlineStr"/>
      <c r="AB326" t="inlineStr"/>
      <c r="AC326" t="inlineStr"/>
      <c r="AD326" t="inlineStr"/>
      <c r="AE326" t="inlineStr"/>
      <c r="AF326" t="inlineStr"/>
      <c r="AG326" t="inlineStr"/>
      <c r="AH326" t="inlineStr"/>
      <c r="AI326" t="inlineStr">
        <is>
          <t>HD</t>
        </is>
      </c>
      <c r="AJ326" t="inlineStr"/>
      <c r="AK326" t="inlineStr"/>
      <c r="AL326" t="inlineStr">
        <is>
          <t>x</t>
        </is>
      </c>
      <c r="AM326" t="inlineStr">
        <is>
          <t>f</t>
        </is>
      </c>
      <c r="AN326" t="inlineStr"/>
      <c r="AO326" t="inlineStr"/>
      <c r="AP326" t="inlineStr"/>
      <c r="AQ326" t="inlineStr"/>
      <c r="AR326" t="inlineStr"/>
      <c r="AS326" t="inlineStr">
        <is>
          <t>Pa</t>
        </is>
      </c>
      <c r="AT326" t="inlineStr"/>
      <c r="AU326" t="inlineStr"/>
      <c r="AV326" t="inlineStr"/>
      <c r="AW326" t="inlineStr"/>
      <c r="AX326" t="inlineStr"/>
      <c r="AY326" t="inlineStr"/>
      <c r="AZ326" t="inlineStr"/>
      <c r="BA326" t="inlineStr"/>
      <c r="BB326" t="inlineStr"/>
      <c r="BC326" t="inlineStr"/>
      <c r="BD326" t="inlineStr"/>
      <c r="BE326" t="n">
        <v>0</v>
      </c>
      <c r="BF326" t="inlineStr"/>
      <c r="BG326" t="n">
        <v>110</v>
      </c>
      <c r="BH326" t="inlineStr"/>
      <c r="BI326" t="inlineStr"/>
      <c r="BJ326" t="inlineStr"/>
      <c r="BK326" t="inlineStr">
        <is>
          <t>x</t>
        </is>
      </c>
      <c r="BL326" t="inlineStr"/>
      <c r="BM326" t="inlineStr">
        <is>
          <t>n</t>
        </is>
      </c>
      <c r="BN326" t="n">
        <v>0</v>
      </c>
      <c r="BO326" t="inlineStr"/>
      <c r="BP326" t="inlineStr">
        <is>
          <t>Gewebe</t>
        </is>
      </c>
      <c r="BQ326" t="inlineStr"/>
      <c r="BR326" t="inlineStr"/>
      <c r="BS326" t="inlineStr"/>
      <c r="BT326" t="inlineStr"/>
      <c r="BU326" t="inlineStr"/>
      <c r="BV326" t="inlineStr"/>
      <c r="BW326" t="inlineStr"/>
      <c r="BX326" t="inlineStr"/>
      <c r="BY326" t="inlineStr"/>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c r="DB326" t="inlineStr"/>
      <c r="DC326" t="inlineStr"/>
      <c r="DD326" t="inlineStr"/>
      <c r="DE326" t="inlineStr"/>
      <c r="DF326" t="inlineStr"/>
      <c r="DG326" t="inlineStr"/>
    </row>
    <row r="327">
      <c r="A327" t="inlineStr">
        <is>
          <t>III</t>
        </is>
      </c>
      <c r="B327" t="b">
        <v>1</v>
      </c>
      <c r="C327" t="inlineStr"/>
      <c r="D327" t="inlineStr"/>
      <c r="E327" t="n">
        <v>375</v>
      </c>
      <c r="F327">
        <f>HYPERLINK("https://portal.dnb.de/opac.htm?method=simpleSearch&amp;cqlMode=true&amp;query=idn%3D994216866", "Portal")</f>
        <v/>
      </c>
      <c r="G327" t="inlineStr">
        <is>
          <t>Aal</t>
        </is>
      </c>
      <c r="H327" t="inlineStr">
        <is>
          <t>L-1534-154742171</t>
        </is>
      </c>
      <c r="I327" t="inlineStr">
        <is>
          <t>994216866</t>
        </is>
      </c>
      <c r="J327" t="inlineStr">
        <is>
          <t>III 45, 1</t>
        </is>
      </c>
      <c r="K327" t="inlineStr">
        <is>
          <t>III 45, 1</t>
        </is>
      </c>
      <c r="L327" t="inlineStr">
        <is>
          <t>III 45, 1</t>
        </is>
      </c>
      <c r="M327" t="inlineStr"/>
      <c r="N327" t="inlineStr">
        <is>
          <t>Inscriptiones sacrosanctae vetustatis non illae quidem Romanae, sed totius fere orbis summo studio ac maximis impensis terra marique conquisitae felic</t>
        </is>
      </c>
      <c r="O327" t="inlineStr">
        <is>
          <t xml:space="preserve"> : </t>
        </is>
      </c>
      <c r="P327" t="inlineStr">
        <is>
          <t>X</t>
        </is>
      </c>
      <c r="Q327" t="inlineStr"/>
      <c r="R327" t="inlineStr">
        <is>
          <t>Papier- oder Pappeinband, Schließen, erhabene Buchbeschläge</t>
        </is>
      </c>
      <c r="S327" t="inlineStr">
        <is>
          <t>bis 35 cm</t>
        </is>
      </c>
      <c r="T327" t="inlineStr">
        <is>
          <t>180°</t>
        </is>
      </c>
      <c r="U327" t="inlineStr">
        <is>
          <t>hohler Rücken</t>
        </is>
      </c>
      <c r="V327" t="inlineStr"/>
      <c r="W327" t="inlineStr">
        <is>
          <t>Buchschuh</t>
        </is>
      </c>
      <c r="X327" t="inlineStr">
        <is>
          <t>Nein</t>
        </is>
      </c>
      <c r="Y327" t="n">
        <v>1</v>
      </c>
      <c r="Z327" t="inlineStr"/>
      <c r="AA327" t="inlineStr"/>
      <c r="AB327" t="inlineStr"/>
      <c r="AC327" t="inlineStr"/>
      <c r="AD327" t="inlineStr"/>
      <c r="AE327" t="inlineStr"/>
      <c r="AF327" t="inlineStr"/>
      <c r="AG327" t="inlineStr"/>
      <c r="AH327" t="inlineStr"/>
      <c r="AI327" t="inlineStr">
        <is>
          <t>Pg</t>
        </is>
      </c>
      <c r="AJ327" t="inlineStr"/>
      <c r="AK327" t="inlineStr">
        <is>
          <t>x</t>
        </is>
      </c>
      <c r="AL327" t="inlineStr"/>
      <c r="AM327" t="inlineStr">
        <is>
          <t>h</t>
        </is>
      </c>
      <c r="AN327" t="inlineStr"/>
      <c r="AO327" t="inlineStr"/>
      <c r="AP327" t="inlineStr"/>
      <c r="AQ327" t="inlineStr"/>
      <c r="AR327" t="inlineStr"/>
      <c r="AS327" t="inlineStr">
        <is>
          <t>Pa</t>
        </is>
      </c>
      <c r="AT327" t="inlineStr"/>
      <c r="AU327" t="inlineStr"/>
      <c r="AV327" t="inlineStr"/>
      <c r="AW327" t="inlineStr"/>
      <c r="AX327" t="inlineStr"/>
      <c r="AY327" t="inlineStr"/>
      <c r="AZ327" t="inlineStr"/>
      <c r="BA327" t="inlineStr"/>
      <c r="BB327" t="inlineStr"/>
      <c r="BC327" t="inlineStr"/>
      <c r="BD327" t="inlineStr"/>
      <c r="BE327" t="inlineStr"/>
      <c r="BF327" t="inlineStr"/>
      <c r="BG327" t="n">
        <v>110</v>
      </c>
      <c r="BH327" t="inlineStr"/>
      <c r="BI327" t="inlineStr"/>
      <c r="BJ327" t="inlineStr"/>
      <c r="BK327" t="inlineStr"/>
      <c r="BL327" t="inlineStr"/>
      <c r="BM327" t="inlineStr">
        <is>
          <t>n</t>
        </is>
      </c>
      <c r="BN327" t="n">
        <v>0</v>
      </c>
      <c r="BO327" t="inlineStr"/>
      <c r="BP327" t="inlineStr"/>
      <c r="BQ327" t="inlineStr"/>
      <c r="BR327" t="inlineStr">
        <is>
          <t>x</t>
        </is>
      </c>
      <c r="BS327" t="inlineStr"/>
      <c r="BT327" t="inlineStr"/>
      <c r="BU327" t="inlineStr"/>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c r="DB327" t="inlineStr"/>
      <c r="DC327" t="inlineStr"/>
      <c r="DD327" t="inlineStr"/>
      <c r="DE327" t="inlineStr"/>
      <c r="DF327" t="inlineStr"/>
      <c r="DG327" t="inlineStr"/>
    </row>
    <row r="328">
      <c r="A328" t="inlineStr">
        <is>
          <t>III</t>
        </is>
      </c>
      <c r="B328" t="b">
        <v>1</v>
      </c>
      <c r="C328" t="inlineStr">
        <is>
          <t>x</t>
        </is>
      </c>
      <c r="D328" t="inlineStr"/>
      <c r="E328" t="n">
        <v>378</v>
      </c>
      <c r="F328">
        <f>HYPERLINK("https://portal.dnb.de/opac.htm?method=simpleSearch&amp;cqlMode=true&amp;query=idn%3D994216866", "Portal")</f>
        <v/>
      </c>
      <c r="G328" t="inlineStr">
        <is>
          <t>Aal</t>
        </is>
      </c>
      <c r="H328" t="inlineStr">
        <is>
          <t>L-1534-15474218X</t>
        </is>
      </c>
      <c r="I328" t="inlineStr">
        <is>
          <t>994216866</t>
        </is>
      </c>
      <c r="J328" t="inlineStr">
        <is>
          <t>III 45, 1 a</t>
        </is>
      </c>
      <c r="K328" t="inlineStr">
        <is>
          <t>III 45, 1 a</t>
        </is>
      </c>
      <c r="L328" t="inlineStr">
        <is>
          <t>III 45, 1 a</t>
        </is>
      </c>
      <c r="M328" t="inlineStr"/>
      <c r="N328" t="inlineStr">
        <is>
          <t>Inscriptiones sacrosanctae vetustatis non illae quidem Romanae, sed totius fere orbis summo studio ac maximis impensis terra marique conquisitae felic</t>
        </is>
      </c>
      <c r="O328" t="inlineStr">
        <is>
          <t xml:space="preserve"> : </t>
        </is>
      </c>
      <c r="P328" t="inlineStr"/>
      <c r="Q328" t="inlineStr"/>
      <c r="R328" t="inlineStr">
        <is>
          <t>Halbledereinband, Schließen, erhabene Buchbeschläge</t>
        </is>
      </c>
      <c r="S328" t="inlineStr">
        <is>
          <t>bis 35 cm</t>
        </is>
      </c>
      <c r="T328" t="inlineStr">
        <is>
          <t>80° bis 110°, einseitig digitalisierbar?</t>
        </is>
      </c>
      <c r="U328" t="inlineStr"/>
      <c r="V328" t="inlineStr"/>
      <c r="W328" t="inlineStr">
        <is>
          <t>Buchschuh</t>
        </is>
      </c>
      <c r="X328" t="inlineStr">
        <is>
          <t>Nein</t>
        </is>
      </c>
      <c r="Y328" t="n">
        <v>2</v>
      </c>
      <c r="Z328" t="inlineStr"/>
      <c r="AA328" t="inlineStr"/>
      <c r="AB328" t="inlineStr"/>
      <c r="AC328" t="inlineStr"/>
      <c r="AD328" t="inlineStr"/>
      <c r="AE328" t="inlineStr"/>
      <c r="AF328" t="inlineStr"/>
      <c r="AG328" t="inlineStr"/>
      <c r="AH328" t="inlineStr"/>
      <c r="AI328" t="inlineStr">
        <is>
          <t>HD</t>
        </is>
      </c>
      <c r="AJ328" t="inlineStr"/>
      <c r="AK328" t="inlineStr"/>
      <c r="AL328" t="inlineStr"/>
      <c r="AM328" t="inlineStr">
        <is>
          <t>f</t>
        </is>
      </c>
      <c r="AN328" t="inlineStr"/>
      <c r="AO328" t="inlineStr"/>
      <c r="AP328" t="inlineStr"/>
      <c r="AQ328" t="inlineStr"/>
      <c r="AR328" t="inlineStr"/>
      <c r="AS328" t="inlineStr">
        <is>
          <t>Pa</t>
        </is>
      </c>
      <c r="AT328" t="inlineStr"/>
      <c r="AU328" t="inlineStr"/>
      <c r="AV328" t="inlineStr"/>
      <c r="AW328" t="inlineStr"/>
      <c r="AX328" t="inlineStr"/>
      <c r="AY328" t="inlineStr"/>
      <c r="AZ328" t="inlineStr"/>
      <c r="BA328" t="inlineStr"/>
      <c r="BB328" t="inlineStr"/>
      <c r="BC328" t="inlineStr"/>
      <c r="BD328" t="inlineStr"/>
      <c r="BE328" t="inlineStr"/>
      <c r="BF328" t="inlineStr"/>
      <c r="BG328" t="n">
        <v>60</v>
      </c>
      <c r="BH328" t="inlineStr"/>
      <c r="BI328" t="inlineStr"/>
      <c r="BJ328" t="inlineStr"/>
      <c r="BK328" t="inlineStr"/>
      <c r="BL328" t="inlineStr"/>
      <c r="BM328" t="inlineStr">
        <is>
          <t>ja vor</t>
        </is>
      </c>
      <c r="BN328" t="n">
        <v>2</v>
      </c>
      <c r="BO328" t="inlineStr"/>
      <c r="BP328" t="inlineStr"/>
      <c r="BQ328" t="inlineStr"/>
      <c r="BR328" t="inlineStr">
        <is>
          <t>x</t>
        </is>
      </c>
      <c r="BS328" t="inlineStr"/>
      <c r="BT328" t="inlineStr"/>
      <c r="BU328" t="inlineStr"/>
      <c r="BV328" t="inlineStr"/>
      <c r="BW328" t="inlineStr"/>
      <c r="BX328" t="inlineStr"/>
      <c r="BY328" t="inlineStr"/>
      <c r="BZ328" t="inlineStr">
        <is>
          <t>x</t>
        </is>
      </c>
      <c r="CA328" t="inlineStr"/>
      <c r="CB328" t="inlineStr">
        <is>
          <t>x</t>
        </is>
      </c>
      <c r="CC328" t="inlineStr"/>
      <c r="CD328" t="inlineStr">
        <is>
          <t>v</t>
        </is>
      </c>
      <c r="CE328" t="inlineStr"/>
      <c r="CF328" t="inlineStr"/>
      <c r="CG328" t="inlineStr"/>
      <c r="CH328" t="inlineStr"/>
      <c r="CI328" t="inlineStr"/>
      <c r="CJ328" t="inlineStr"/>
      <c r="CK328" t="inlineStr"/>
      <c r="CL328" t="inlineStr">
        <is>
          <t>o</t>
        </is>
      </c>
      <c r="CM328" t="n">
        <v>2</v>
      </c>
      <c r="CN328" t="inlineStr">
        <is>
          <t>Leder am Rücken fixieren und überfangen, Gelenk mit JP unterlegen, Kapital "anhäkeln"</t>
        </is>
      </c>
      <c r="CO328" t="inlineStr"/>
      <c r="CP328" t="inlineStr"/>
      <c r="CQ328" t="inlineStr"/>
      <c r="CR328" t="inlineStr"/>
      <c r="CS328" t="inlineStr"/>
      <c r="CT328" t="inlineStr"/>
      <c r="CU328" t="inlineStr"/>
      <c r="CV328" t="inlineStr"/>
      <c r="CW328" t="inlineStr"/>
      <c r="CX328" t="inlineStr"/>
      <c r="CY328" t="inlineStr"/>
      <c r="CZ328" t="inlineStr"/>
      <c r="DA328" t="inlineStr"/>
      <c r="DB328" t="inlineStr"/>
      <c r="DC328" t="inlineStr"/>
      <c r="DD328" t="inlineStr"/>
      <c r="DE328" t="inlineStr"/>
      <c r="DF328" t="inlineStr"/>
      <c r="DG328" t="inlineStr"/>
    </row>
    <row r="329">
      <c r="A329" t="inlineStr">
        <is>
          <t>III</t>
        </is>
      </c>
      <c r="B329" t="b">
        <v>1</v>
      </c>
      <c r="C329" t="inlineStr"/>
      <c r="D329" t="inlineStr"/>
      <c r="E329" t="n">
        <v>379</v>
      </c>
      <c r="F329">
        <f>HYPERLINK("https://portal.dnb.de/opac.htm?method=simpleSearch&amp;cqlMode=true&amp;query=idn%3D994123973", "Portal")</f>
        <v/>
      </c>
      <c r="G329" t="inlineStr">
        <is>
          <t>Aal</t>
        </is>
      </c>
      <c r="H329" t="inlineStr">
        <is>
          <t>L-1534-154532711</t>
        </is>
      </c>
      <c r="I329" t="inlineStr">
        <is>
          <t>994123973</t>
        </is>
      </c>
      <c r="J329" t="inlineStr">
        <is>
          <t>III 45, 1 b</t>
        </is>
      </c>
      <c r="K329" t="inlineStr">
        <is>
          <t>III 45, 1 b</t>
        </is>
      </c>
      <c r="L329" t="inlineStr">
        <is>
          <t>III 45, 1 b</t>
        </is>
      </c>
      <c r="M329" t="inlineStr"/>
      <c r="N329" t="inlineStr">
        <is>
          <t xml:space="preserve">Inscriptiones sacrosanctae vetustatis non illae quidem Romanae, sed totius fere orbis summo studio av maximis impensis terra marique conquisitae... : </t>
        </is>
      </c>
      <c r="O329" t="inlineStr">
        <is>
          <t xml:space="preserve"> : </t>
        </is>
      </c>
      <c r="P329" t="inlineStr"/>
      <c r="Q329" t="inlineStr"/>
      <c r="R329" t="inlineStr">
        <is>
          <t>Halbpergamentband</t>
        </is>
      </c>
      <c r="S329" t="inlineStr">
        <is>
          <t>bis 35 cm</t>
        </is>
      </c>
      <c r="T329" t="inlineStr">
        <is>
          <t>80° bis 110°, einseitig digitalisierbar?</t>
        </is>
      </c>
      <c r="U329" t="inlineStr">
        <is>
          <t>hohler Rücken</t>
        </is>
      </c>
      <c r="V329" t="inlineStr"/>
      <c r="W329" t="inlineStr"/>
      <c r="X329" t="inlineStr"/>
      <c r="Y329" t="n">
        <v>0</v>
      </c>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c r="BH329" t="inlineStr"/>
      <c r="BI329" t="inlineStr"/>
      <c r="BJ329" t="inlineStr"/>
      <c r="BK329" t="inlineStr"/>
      <c r="BL329" t="inlineStr"/>
      <c r="BM329" t="inlineStr"/>
      <c r="BN329" t="n">
        <v>0</v>
      </c>
      <c r="BO329" t="inlineStr"/>
      <c r="BP329" t="inlineStr"/>
      <c r="BQ329" t="inlineStr"/>
      <c r="BR329" t="inlineStr"/>
      <c r="BS329" t="inlineStr"/>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c r="DA329" t="inlineStr"/>
      <c r="DB329" t="inlineStr"/>
      <c r="DC329" t="inlineStr"/>
      <c r="DD329" t="inlineStr"/>
      <c r="DE329" t="inlineStr"/>
      <c r="DF329" t="inlineStr"/>
      <c r="DG329" t="inlineStr"/>
    </row>
    <row r="330">
      <c r="A330" t="inlineStr">
        <is>
          <t>III</t>
        </is>
      </c>
      <c r="B330" t="b">
        <v>1</v>
      </c>
      <c r="C330" t="inlineStr"/>
      <c r="D330" t="inlineStr"/>
      <c r="E330" t="inlineStr"/>
      <c r="F330">
        <f>HYPERLINK("https://portal.dnb.de/opac.htm?method=simpleSearch&amp;cqlMode=true&amp;query=idn%3D1137896515", "Portal")</f>
        <v/>
      </c>
      <c r="G330" t="inlineStr">
        <is>
          <t>Qd</t>
        </is>
      </c>
      <c r="H330" t="inlineStr">
        <is>
          <t>L-9999-414175093</t>
        </is>
      </c>
      <c r="I330" t="inlineStr">
        <is>
          <t>1137896515</t>
        </is>
      </c>
      <c r="J330" t="inlineStr">
        <is>
          <t>III 45, 2</t>
        </is>
      </c>
      <c r="K330" t="inlineStr">
        <is>
          <t>III 45, 2</t>
        </is>
      </c>
      <c r="L330" t="inlineStr">
        <is>
          <t>III 45, 2</t>
        </is>
      </c>
      <c r="M330" t="inlineStr"/>
      <c r="N330" t="inlineStr">
        <is>
          <t xml:space="preserve">Sammelband mit "Füllmaterial" : </t>
        </is>
      </c>
      <c r="O330" t="inlineStr">
        <is>
          <t xml:space="preserve"> : </t>
        </is>
      </c>
      <c r="P330" t="inlineStr">
        <is>
          <t>X</t>
        </is>
      </c>
      <c r="Q330" t="inlineStr"/>
      <c r="R330" t="inlineStr">
        <is>
          <t>Ledereinband, Schließen, erhabene Buchbeschläge</t>
        </is>
      </c>
      <c r="S330" t="inlineStr">
        <is>
          <t>bis 25 cm</t>
        </is>
      </c>
      <c r="T330" t="inlineStr">
        <is>
          <t>80° bis 110°, einseitig digitalisierbar?</t>
        </is>
      </c>
      <c r="U330" t="inlineStr">
        <is>
          <t>hohler Rücken</t>
        </is>
      </c>
      <c r="V330" t="inlineStr"/>
      <c r="W330" t="inlineStr">
        <is>
          <t>Buchschuh</t>
        </is>
      </c>
      <c r="X330" t="inlineStr">
        <is>
          <t>Nein</t>
        </is>
      </c>
      <c r="Y330" t="n">
        <v>1</v>
      </c>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inlineStr"/>
      <c r="BI330" t="inlineStr"/>
      <c r="BJ330" t="inlineStr"/>
      <c r="BK330" t="inlineStr"/>
      <c r="BL330" t="inlineStr"/>
      <c r="BM330" t="inlineStr"/>
      <c r="BN330" t="n">
        <v>0</v>
      </c>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c r="DB330" t="inlineStr"/>
      <c r="DC330" t="inlineStr"/>
      <c r="DD330" t="inlineStr"/>
      <c r="DE330" t="inlineStr"/>
      <c r="DF330" t="inlineStr"/>
      <c r="DG330" t="inlineStr"/>
    </row>
    <row r="331">
      <c r="A331" t="inlineStr">
        <is>
          <t>III</t>
        </is>
      </c>
      <c r="B331" t="b">
        <v>1</v>
      </c>
      <c r="C331" t="inlineStr"/>
      <c r="D331" t="inlineStr"/>
      <c r="E331" t="n">
        <v>377</v>
      </c>
      <c r="F331">
        <f>HYPERLINK("https://portal.dnb.de/opac.htm?method=simpleSearch&amp;cqlMode=true&amp;query=idn%3D1001488202", "Portal")</f>
        <v/>
      </c>
      <c r="G331" t="inlineStr">
        <is>
          <t>Aal</t>
        </is>
      </c>
      <c r="H331" t="inlineStr">
        <is>
          <t>L-1551-17498541X</t>
        </is>
      </c>
      <c r="I331" t="inlineStr">
        <is>
          <t>1001488202</t>
        </is>
      </c>
      <c r="J331" t="inlineStr">
        <is>
          <t>III 45, 3</t>
        </is>
      </c>
      <c r="K331" t="inlineStr">
        <is>
          <t>III 45, 3</t>
        </is>
      </c>
      <c r="L331" t="inlineStr">
        <is>
          <t>III 45, 3</t>
        </is>
      </c>
      <c r="M331" t="inlineStr"/>
      <c r="N331" t="inlineStr">
        <is>
          <t>Ob der abgestorben|| Seelen so bey Christo sein aigentlich ein|| ander erkennen, darneben auch noch vnser der|| hie lebenden gedencken, warnemen, vnnd</t>
        </is>
      </c>
      <c r="O331" t="inlineStr">
        <is>
          <t xml:space="preserve"> : </t>
        </is>
      </c>
      <c r="P331" t="inlineStr"/>
      <c r="Q331" t="inlineStr"/>
      <c r="R331" t="inlineStr">
        <is>
          <t>Pergamentband</t>
        </is>
      </c>
      <c r="S331" t="inlineStr">
        <is>
          <t>bis 25 cm</t>
        </is>
      </c>
      <c r="T331" t="inlineStr">
        <is>
          <t>180°</t>
        </is>
      </c>
      <c r="U331" t="inlineStr">
        <is>
          <t>hohler Rücken</t>
        </is>
      </c>
      <c r="V331" t="inlineStr"/>
      <c r="W331" t="inlineStr">
        <is>
          <t>Schuber</t>
        </is>
      </c>
      <c r="X331" t="inlineStr">
        <is>
          <t>Nein</t>
        </is>
      </c>
      <c r="Y331" t="n">
        <v>1</v>
      </c>
      <c r="Z331" t="inlineStr"/>
      <c r="AA331" t="inlineStr"/>
      <c r="AB331" t="inlineStr"/>
      <c r="AC331" t="inlineStr"/>
      <c r="AD331" t="inlineStr"/>
      <c r="AE331" t="inlineStr"/>
      <c r="AF331" t="inlineStr"/>
      <c r="AG331" t="inlineStr"/>
      <c r="AH331" t="inlineStr"/>
      <c r="AI331" t="inlineStr"/>
      <c r="AJ331" t="inlineStr"/>
      <c r="AK331" t="inlineStr"/>
      <c r="AL331" t="inlineStr"/>
      <c r="AM331" t="inlineStr"/>
      <c r="AN331" t="inlineStr"/>
      <c r="AO331" t="inlineStr"/>
      <c r="AP331" t="inlineStr"/>
      <c r="AQ331" t="inlineStr"/>
      <c r="AR331" t="inlineStr"/>
      <c r="AS331" t="inlineStr"/>
      <c r="AT331" t="inlineStr"/>
      <c r="AU331" t="inlineStr"/>
      <c r="AV331" t="inlineStr"/>
      <c r="AW331" t="inlineStr"/>
      <c r="AX331" t="inlineStr"/>
      <c r="AY331" t="inlineStr"/>
      <c r="AZ331" t="inlineStr"/>
      <c r="BA331" t="inlineStr"/>
      <c r="BB331" t="inlineStr"/>
      <c r="BC331" t="inlineStr"/>
      <c r="BD331" t="inlineStr"/>
      <c r="BE331" t="inlineStr"/>
      <c r="BF331" t="inlineStr"/>
      <c r="BG331" t="inlineStr"/>
      <c r="BH331" t="inlineStr"/>
      <c r="BI331" t="inlineStr"/>
      <c r="BJ331" t="inlineStr"/>
      <c r="BK331" t="inlineStr"/>
      <c r="BL331" t="inlineStr"/>
      <c r="BM331" t="inlineStr"/>
      <c r="BN331" t="n">
        <v>0</v>
      </c>
      <c r="BO331" t="inlineStr"/>
      <c r="BP331" t="inlineStr"/>
      <c r="BQ331" t="inlineStr"/>
      <c r="BR331" t="inlineStr"/>
      <c r="BS331" t="inlineStr"/>
      <c r="BT331" t="inlineStr"/>
      <c r="BU331" t="inlineStr"/>
      <c r="BV331" t="inlineStr"/>
      <c r="BW331" t="inlineStr"/>
      <c r="BX331" t="inlineStr"/>
      <c r="BY331" t="inlineStr"/>
      <c r="BZ331" t="inlineStr"/>
      <c r="CA331" t="inlineStr"/>
      <c r="CB331" t="inlineStr"/>
      <c r="CC331" t="inlineStr"/>
      <c r="CD331" t="inlineStr"/>
      <c r="CE331" t="inlineStr"/>
      <c r="CF331" t="inlineStr"/>
      <c r="CG331" t="inlineStr"/>
      <c r="CH331" t="inlineStr"/>
      <c r="CI331" t="inlineStr"/>
      <c r="CJ331" t="inlineStr"/>
      <c r="CK331" t="inlineStr"/>
      <c r="CL331" t="inlineStr"/>
      <c r="CM331" t="inlineStr"/>
      <c r="CN331" t="inlineStr"/>
      <c r="CO331" t="inlineStr"/>
      <c r="CP331" t="inlineStr"/>
      <c r="CQ331" t="inlineStr"/>
      <c r="CR331" t="inlineStr"/>
      <c r="CS331" t="inlineStr"/>
      <c r="CT331" t="inlineStr"/>
      <c r="CU331" t="inlineStr"/>
      <c r="CV331" t="inlineStr"/>
      <c r="CW331" t="inlineStr"/>
      <c r="CX331" t="inlineStr"/>
      <c r="CY331" t="inlineStr"/>
      <c r="CZ331" t="inlineStr"/>
      <c r="DA331" t="inlineStr"/>
      <c r="DB331" t="inlineStr"/>
      <c r="DC331" t="inlineStr"/>
      <c r="DD331" t="inlineStr"/>
      <c r="DE331" t="inlineStr"/>
      <c r="DF331" t="inlineStr"/>
      <c r="DG331" t="inlineStr"/>
    </row>
    <row r="332">
      <c r="A332" t="inlineStr">
        <is>
          <t>III</t>
        </is>
      </c>
      <c r="B332" t="b">
        <v>1</v>
      </c>
      <c r="C332" t="inlineStr"/>
      <c r="D332" t="inlineStr"/>
      <c r="E332" t="n">
        <v>381</v>
      </c>
      <c r="F332">
        <f>HYPERLINK("https://portal.dnb.de/opac.htm?method=simpleSearch&amp;cqlMode=true&amp;query=idn%3D995542139", "Portal")</f>
        <v/>
      </c>
      <c r="G332" t="inlineStr">
        <is>
          <t>Aal</t>
        </is>
      </c>
      <c r="H332" t="inlineStr">
        <is>
          <t>L-1542-159720354</t>
        </is>
      </c>
      <c r="I332" t="inlineStr">
        <is>
          <t>995542139</t>
        </is>
      </c>
      <c r="J332" t="inlineStr">
        <is>
          <t>III 46, 1</t>
        </is>
      </c>
      <c r="K332" t="inlineStr">
        <is>
          <t>III 46, 1</t>
        </is>
      </c>
      <c r="L332" t="inlineStr">
        <is>
          <t>III 46, 1</t>
        </is>
      </c>
      <c r="M332" t="inlineStr"/>
      <c r="N332" t="inlineStr">
        <is>
          <t xml:space="preserve">Pērūš ham-millōṯ ʿal däräḵ hap-pĭaṭ l-d. sīmānīm sēfer b-rēšīṯ : </t>
        </is>
      </c>
      <c r="O332" t="inlineStr">
        <is>
          <t xml:space="preserve"> : </t>
        </is>
      </c>
      <c r="P332" t="inlineStr">
        <is>
          <t>X</t>
        </is>
      </c>
      <c r="Q332" t="inlineStr"/>
      <c r="R332" t="inlineStr">
        <is>
          <t>Halbpergamentband</t>
        </is>
      </c>
      <c r="S332" t="inlineStr"/>
      <c r="T332" t="inlineStr">
        <is>
          <t>80° bis 110°, einseitig digitalisierbar?</t>
        </is>
      </c>
      <c r="U332" t="inlineStr">
        <is>
          <t>hohler Rücken</t>
        </is>
      </c>
      <c r="V332" t="inlineStr"/>
      <c r="W332" t="inlineStr"/>
      <c r="X332" t="inlineStr"/>
      <c r="Y332" t="n">
        <v>0</v>
      </c>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inlineStr"/>
      <c r="BI332" t="inlineStr"/>
      <c r="BJ332" t="inlineStr"/>
      <c r="BK332" t="inlineStr"/>
      <c r="BL332" t="inlineStr"/>
      <c r="BM332" t="inlineStr"/>
      <c r="BN332" t="n">
        <v>0</v>
      </c>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c r="DB332" t="inlineStr"/>
      <c r="DC332" t="inlineStr"/>
      <c r="DD332" t="inlineStr"/>
      <c r="DE332" t="inlineStr"/>
      <c r="DF332" t="inlineStr"/>
      <c r="DG332" t="inlineStr"/>
    </row>
    <row r="333">
      <c r="A333" t="inlineStr">
        <is>
          <t>III</t>
        </is>
      </c>
      <c r="B333" t="b">
        <v>1</v>
      </c>
      <c r="C333" t="inlineStr"/>
      <c r="D333" t="inlineStr"/>
      <c r="E333" t="n">
        <v>1203</v>
      </c>
      <c r="F333">
        <f>HYPERLINK("https://portal.dnb.de/opac.htm?method=simpleSearch&amp;cqlMode=true&amp;query=idn%3D997855436", "Portal")</f>
        <v/>
      </c>
      <c r="G333" t="inlineStr">
        <is>
          <t>Aal</t>
        </is>
      </c>
      <c r="H333" t="inlineStr">
        <is>
          <t>L-1523-165116986</t>
        </is>
      </c>
      <c r="I333" t="inlineStr">
        <is>
          <t>997855436</t>
        </is>
      </c>
      <c r="J333" t="inlineStr">
        <is>
          <t>III 47 D, 1</t>
        </is>
      </c>
      <c r="K333" t="inlineStr">
        <is>
          <t>III 47 D, 1</t>
        </is>
      </c>
      <c r="L333" t="inlineStr">
        <is>
          <t>III 47 D, 1</t>
        </is>
      </c>
      <c r="M333" t="inlineStr"/>
      <c r="N333" t="inlineStr">
        <is>
          <t>Ein @practica auß der heyligen|| Bibel auff vil zukünfftig jar, Selig seind die, die jr|| warnemen, vnd dar nach richten : die zeit|| ist hie, das man</t>
        </is>
      </c>
      <c r="O333" t="inlineStr">
        <is>
          <t xml:space="preserve"> : </t>
        </is>
      </c>
      <c r="P333" t="inlineStr"/>
      <c r="Q333" t="inlineStr"/>
      <c r="R333" t="inlineStr">
        <is>
          <t>Halbledereinband</t>
        </is>
      </c>
      <c r="S333" t="inlineStr">
        <is>
          <t>bis 25 cm</t>
        </is>
      </c>
      <c r="T333" t="inlineStr">
        <is>
          <t>180°</t>
        </is>
      </c>
      <c r="U333" t="inlineStr"/>
      <c r="V333" t="inlineStr"/>
      <c r="W333" t="inlineStr"/>
      <c r="X333" t="inlineStr"/>
      <c r="Y333" t="n">
        <v>0</v>
      </c>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inlineStr"/>
      <c r="BI333" t="inlineStr"/>
      <c r="BJ333" t="inlineStr"/>
      <c r="BK333" t="inlineStr"/>
      <c r="BL333" t="inlineStr"/>
      <c r="BM333" t="inlineStr"/>
      <c r="BN333" t="n">
        <v>0</v>
      </c>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c r="DB333" t="inlineStr"/>
      <c r="DC333" t="inlineStr"/>
      <c r="DD333" t="inlineStr"/>
      <c r="DE333" t="inlineStr"/>
      <c r="DF333" t="inlineStr"/>
      <c r="DG333" t="inlineStr"/>
    </row>
    <row r="334">
      <c r="A334" t="inlineStr">
        <is>
          <t>III</t>
        </is>
      </c>
      <c r="B334" t="b">
        <v>1</v>
      </c>
      <c r="C334" t="inlineStr"/>
      <c r="D334" t="inlineStr"/>
      <c r="E334" t="n">
        <v>382</v>
      </c>
      <c r="F334">
        <f>HYPERLINK("https://portal.dnb.de/opac.htm?method=simpleSearch&amp;cqlMode=true&amp;query=idn%3D1066666245", "Portal")</f>
        <v/>
      </c>
      <c r="G334" t="inlineStr">
        <is>
          <t>Aaf</t>
        </is>
      </c>
      <c r="H334" t="inlineStr">
        <is>
          <t>L-1548-315054778</t>
        </is>
      </c>
      <c r="I334" t="inlineStr">
        <is>
          <t>1066666245</t>
        </is>
      </c>
      <c r="J334" t="inlineStr">
        <is>
          <t>III 47, 1</t>
        </is>
      </c>
      <c r="K334" t="inlineStr">
        <is>
          <t>III 47, 1</t>
        </is>
      </c>
      <c r="L334" t="inlineStr">
        <is>
          <t>III 47, 1</t>
        </is>
      </c>
      <c r="M334" t="inlineStr"/>
      <c r="N334" t="inlineStr">
        <is>
          <t>Der XLVI Psalm.|| Allen frummen Christen# so ietz|| in dieser geferlichen zeit/ vmb Gottes|| Worts willen/ entweder in not vnd gfahr|| sind/ ...|| aus</t>
        </is>
      </c>
      <c r="O334" t="inlineStr">
        <is>
          <t xml:space="preserve"> : </t>
        </is>
      </c>
      <c r="P334" t="inlineStr">
        <is>
          <t>X</t>
        </is>
      </c>
      <c r="Q334" t="inlineStr"/>
      <c r="R334" t="inlineStr">
        <is>
          <t>Gewebeeinband, Schließen, erhabene Buchbeschläge</t>
        </is>
      </c>
      <c r="S334" t="inlineStr">
        <is>
          <t>bis 25 cm</t>
        </is>
      </c>
      <c r="T334" t="inlineStr">
        <is>
          <t>80° bis 110°, einseitig digitalisierbar?</t>
        </is>
      </c>
      <c r="U334" t="inlineStr">
        <is>
          <t>hohler Rücken</t>
        </is>
      </c>
      <c r="V334" t="inlineStr"/>
      <c r="W334" t="inlineStr">
        <is>
          <t>Buchschuh</t>
        </is>
      </c>
      <c r="X334" t="inlineStr">
        <is>
          <t>Nein</t>
        </is>
      </c>
      <c r="Y334" t="n">
        <v>1</v>
      </c>
      <c r="Z334" t="inlineStr"/>
      <c r="AA334" t="inlineStr"/>
      <c r="AB334" t="inlineStr"/>
      <c r="AC334" t="inlineStr"/>
      <c r="AD334" t="inlineStr"/>
      <c r="AE334" t="inlineStr"/>
      <c r="AF334" t="inlineStr"/>
      <c r="AG334" t="inlineStr"/>
      <c r="AH334" t="inlineStr"/>
      <c r="AI334" t="inlineStr"/>
      <c r="AJ334" t="inlineStr"/>
      <c r="AK334" t="inlineStr"/>
      <c r="AL334" t="inlineStr"/>
      <c r="AM334" t="inlineStr"/>
      <c r="AN334" t="inlineStr"/>
      <c r="AO334" t="inlineStr"/>
      <c r="AP334" t="inlineStr"/>
      <c r="AQ334" t="inlineStr"/>
      <c r="AR334" t="inlineStr"/>
      <c r="AS334" t="inlineStr"/>
      <c r="AT334" t="inlineStr"/>
      <c r="AU334" t="inlineStr"/>
      <c r="AV334" t="inlineStr"/>
      <c r="AW334" t="inlineStr"/>
      <c r="AX334" t="inlineStr"/>
      <c r="AY334" t="inlineStr"/>
      <c r="AZ334" t="inlineStr"/>
      <c r="BA334" t="inlineStr"/>
      <c r="BB334" t="inlineStr"/>
      <c r="BC334" t="inlineStr"/>
      <c r="BD334" t="inlineStr"/>
      <c r="BE334" t="inlineStr"/>
      <c r="BF334" t="inlineStr"/>
      <c r="BG334" t="inlineStr"/>
      <c r="BH334" t="inlineStr"/>
      <c r="BI334" t="inlineStr"/>
      <c r="BJ334" t="inlineStr"/>
      <c r="BK334" t="inlineStr"/>
      <c r="BL334" t="inlineStr"/>
      <c r="BM334" t="inlineStr"/>
      <c r="BN334" t="n">
        <v>0</v>
      </c>
      <c r="BO334" t="inlineStr"/>
      <c r="BP334" t="inlineStr"/>
      <c r="BQ334" t="inlineStr"/>
      <c r="BR334" t="inlineStr"/>
      <c r="BS334" t="inlineStr"/>
      <c r="BT334" t="inlineStr"/>
      <c r="BU334" t="inlineStr"/>
      <c r="BV334" t="inlineStr"/>
      <c r="BW334" t="inlineStr"/>
      <c r="BX334" t="inlineStr"/>
      <c r="BY334" t="inlineStr"/>
      <c r="BZ334" t="inlineStr"/>
      <c r="CA334" t="inlineStr"/>
      <c r="CB334" t="inlineStr"/>
      <c r="CC334" t="inlineStr"/>
      <c r="CD334" t="inlineStr"/>
      <c r="CE334" t="inlineStr"/>
      <c r="CF334" t="inlineStr"/>
      <c r="CG334" t="inlineStr"/>
      <c r="CH334" t="inlineStr"/>
      <c r="CI334" t="inlineStr"/>
      <c r="CJ334" t="inlineStr"/>
      <c r="CK334" t="inlineStr"/>
      <c r="CL334" t="inlineStr"/>
      <c r="CM334" t="inlineStr"/>
      <c r="CN334" t="inlineStr"/>
      <c r="CO334" t="inlineStr"/>
      <c r="CP334" t="inlineStr"/>
      <c r="CQ334" t="inlineStr"/>
      <c r="CR334" t="inlineStr"/>
      <c r="CS334" t="inlineStr"/>
      <c r="CT334" t="inlineStr"/>
      <c r="CU334" t="inlineStr"/>
      <c r="CV334" t="inlineStr"/>
      <c r="CW334" t="inlineStr"/>
      <c r="CX334" t="inlineStr"/>
      <c r="CY334" t="inlineStr"/>
      <c r="CZ334" t="inlineStr"/>
      <c r="DA334" t="inlineStr"/>
      <c r="DB334" t="inlineStr"/>
      <c r="DC334" t="inlineStr"/>
      <c r="DD334" t="inlineStr"/>
      <c r="DE334" t="inlineStr"/>
      <c r="DF334" t="inlineStr"/>
      <c r="DG334" t="inlineStr"/>
    </row>
    <row r="335">
      <c r="A335" t="inlineStr">
        <is>
          <t>III</t>
        </is>
      </c>
      <c r="B335" t="b">
        <v>1</v>
      </c>
      <c r="C335" t="inlineStr">
        <is>
          <t>x</t>
        </is>
      </c>
      <c r="D335" t="inlineStr"/>
      <c r="E335" t="n">
        <v>383</v>
      </c>
      <c r="F335">
        <f>HYPERLINK("https://portal.dnb.de/opac.htm?method=simpleSearch&amp;cqlMode=true&amp;query=idn%3D1066862958", "Portal")</f>
        <v/>
      </c>
      <c r="G335" t="inlineStr">
        <is>
          <t>Aaf</t>
        </is>
      </c>
      <c r="H335" t="inlineStr">
        <is>
          <t>L-1552-315321458</t>
        </is>
      </c>
      <c r="I335" t="inlineStr">
        <is>
          <t>1066862958</t>
        </is>
      </c>
      <c r="J335" t="inlineStr">
        <is>
          <t>III 47, 2</t>
        </is>
      </c>
      <c r="K335" t="inlineStr">
        <is>
          <t>III 47, 2</t>
        </is>
      </c>
      <c r="L335" t="inlineStr">
        <is>
          <t>III 47, 2</t>
        </is>
      </c>
      <c r="M335" t="inlineStr"/>
      <c r="N335" t="inlineStr">
        <is>
          <t>CHRONOLOGIA|| HOC EST|| OMNIVM TEMPORVM|| ET ANNORVM AB INITIO MVNDI, VSQVE AD|| hunc præsentem a nato Christo annum M.D.LII.|| computatio.|| ...|| AV</t>
        </is>
      </c>
      <c r="O335" t="inlineStr">
        <is>
          <t xml:space="preserve"> : </t>
        </is>
      </c>
      <c r="P335" t="inlineStr">
        <is>
          <t>X</t>
        </is>
      </c>
      <c r="Q335" t="inlineStr"/>
      <c r="R335" t="inlineStr">
        <is>
          <t>Halbledereinband, Schließen, erhabene Buchbeschläge</t>
        </is>
      </c>
      <c r="S335" t="inlineStr">
        <is>
          <t>bis 42 cm</t>
        </is>
      </c>
      <c r="T335" t="inlineStr">
        <is>
          <t>nur sehr geringer Öffnungswinkel</t>
        </is>
      </c>
      <c r="U335" t="inlineStr">
        <is>
          <t>Schrift bis in den Falz, welliger Buchblock, stark brüchiges Einbandmaterial</t>
        </is>
      </c>
      <c r="V335" t="inlineStr"/>
      <c r="W335" t="inlineStr">
        <is>
          <t>Buchschuh</t>
        </is>
      </c>
      <c r="X335" t="inlineStr">
        <is>
          <t>Nein</t>
        </is>
      </c>
      <c r="Y335" t="n">
        <v>3</v>
      </c>
      <c r="Z335" t="inlineStr"/>
      <c r="AA335" t="inlineStr"/>
      <c r="AB335" t="inlineStr"/>
      <c r="AC335" t="inlineStr"/>
      <c r="AD335" t="inlineStr"/>
      <c r="AE335" t="inlineStr"/>
      <c r="AF335" t="inlineStr"/>
      <c r="AG335" t="inlineStr"/>
      <c r="AH335" t="inlineStr"/>
      <c r="AI335" t="inlineStr">
        <is>
          <t>HL</t>
        </is>
      </c>
      <c r="AJ335" t="inlineStr"/>
      <c r="AK335" t="inlineStr">
        <is>
          <t>x</t>
        </is>
      </c>
      <c r="AL335" t="inlineStr"/>
      <c r="AM335" t="inlineStr">
        <is>
          <t>f/V</t>
        </is>
      </c>
      <c r="AN335" t="inlineStr"/>
      <c r="AO335" t="inlineStr">
        <is>
          <t>x</t>
        </is>
      </c>
      <c r="AP335" t="inlineStr"/>
      <c r="AQ335" t="inlineStr"/>
      <c r="AR335" t="inlineStr"/>
      <c r="AS335" t="inlineStr">
        <is>
          <t>Pa</t>
        </is>
      </c>
      <c r="AT335" t="inlineStr"/>
      <c r="AU335" t="inlineStr"/>
      <c r="AV335" t="inlineStr"/>
      <c r="AW335" t="inlineStr">
        <is>
          <t>x</t>
        </is>
      </c>
      <c r="AX335" t="inlineStr">
        <is>
          <t>x</t>
        </is>
      </c>
      <c r="AY335" t="inlineStr"/>
      <c r="AZ335" t="inlineStr"/>
      <c r="BA335" t="inlineStr"/>
      <c r="BB335" t="inlineStr"/>
      <c r="BC335" t="inlineStr"/>
      <c r="BD335" t="inlineStr"/>
      <c r="BE335" t="n">
        <v>6</v>
      </c>
      <c r="BF335" t="inlineStr"/>
      <c r="BG335" t="n">
        <v>45</v>
      </c>
      <c r="BH335" t="inlineStr"/>
      <c r="BI335" t="inlineStr"/>
      <c r="BJ335" t="inlineStr"/>
      <c r="BK335" t="inlineStr"/>
      <c r="BL335" t="inlineStr"/>
      <c r="BM335" t="inlineStr">
        <is>
          <t>ja vor und nach</t>
        </is>
      </c>
      <c r="BN335" t="n">
        <v>8.5</v>
      </c>
      <c r="BO335" t="inlineStr"/>
      <c r="BP335" t="inlineStr"/>
      <c r="BQ335" t="inlineStr"/>
      <c r="BR335" t="inlineStr">
        <is>
          <t>x</t>
        </is>
      </c>
      <c r="BS335" t="inlineStr"/>
      <c r="BT335" t="inlineStr"/>
      <c r="BU335" t="inlineStr"/>
      <c r="BV335" t="inlineStr">
        <is>
          <t>Digi-Grenzfall --&gt; Bundsteg muss an probieren</t>
        </is>
      </c>
      <c r="BW335" t="inlineStr"/>
      <c r="BX335" t="inlineStr"/>
      <c r="BY335" t="inlineStr">
        <is>
          <t>Umschlag (Leder pudert)</t>
        </is>
      </c>
      <c r="BZ335" t="inlineStr"/>
      <c r="CA335" t="inlineStr">
        <is>
          <t>x</t>
        </is>
      </c>
      <c r="CB335" t="inlineStr">
        <is>
          <t>x</t>
        </is>
      </c>
      <c r="CC335" t="inlineStr"/>
      <c r="CD335" t="inlineStr">
        <is>
          <t>v/h</t>
        </is>
      </c>
      <c r="CE335" t="n">
        <v>1</v>
      </c>
      <c r="CF335" t="inlineStr"/>
      <c r="CG335" t="inlineStr"/>
      <c r="CH335" t="inlineStr"/>
      <c r="CI335" t="inlineStr"/>
      <c r="CJ335" t="inlineStr"/>
      <c r="CK335" t="inlineStr"/>
      <c r="CL335" t="inlineStr"/>
      <c r="CM335" t="n">
        <v>8.5</v>
      </c>
      <c r="CN335" t="inlineStr">
        <is>
          <t>vor Digit. erstmal nur Umschlag und Notsicherung fragilen Leders am Rücken, danach dann Rest. der Gelenke</t>
        </is>
      </c>
      <c r="CO335" t="inlineStr"/>
      <c r="CP335" t="inlineStr"/>
      <c r="CQ335" t="inlineStr"/>
      <c r="CR335" t="inlineStr"/>
      <c r="CS335" t="inlineStr"/>
      <c r="CT335" t="inlineStr"/>
      <c r="CU335" t="inlineStr"/>
      <c r="CV335" t="inlineStr"/>
      <c r="CW335" t="inlineStr"/>
      <c r="CX335" t="inlineStr"/>
      <c r="CY335" t="inlineStr"/>
      <c r="CZ335" t="inlineStr"/>
      <c r="DA335" t="inlineStr"/>
      <c r="DB335" t="inlineStr"/>
      <c r="DC335" t="inlineStr"/>
      <c r="DD335" t="inlineStr"/>
      <c r="DE335" t="inlineStr"/>
      <c r="DF335" t="inlineStr"/>
      <c r="DG335" t="inlineStr"/>
    </row>
    <row r="336">
      <c r="A336" t="inlineStr">
        <is>
          <t>III</t>
        </is>
      </c>
      <c r="B336" t="b">
        <v>1</v>
      </c>
      <c r="C336" t="inlineStr"/>
      <c r="D336" t="inlineStr"/>
      <c r="E336" t="n">
        <v>384</v>
      </c>
      <c r="F336">
        <f>HYPERLINK("https://portal.dnb.de/opac.htm?method=simpleSearch&amp;cqlMode=true&amp;query=idn%3D1066847886", "Portal")</f>
        <v/>
      </c>
      <c r="G336" t="inlineStr">
        <is>
          <t>Aaf</t>
        </is>
      </c>
      <c r="H336" t="inlineStr">
        <is>
          <t>L-1554-315307048</t>
        </is>
      </c>
      <c r="I336" t="inlineStr">
        <is>
          <t>1066847886</t>
        </is>
      </c>
      <c r="J336" t="inlineStr">
        <is>
          <t>III 47, 3</t>
        </is>
      </c>
      <c r="K336" t="inlineStr">
        <is>
          <t>III 47, 3</t>
        </is>
      </c>
      <c r="L336" t="inlineStr">
        <is>
          <t>III 47, 3</t>
        </is>
      </c>
      <c r="M336" t="inlineStr"/>
      <c r="N336" t="inlineStr">
        <is>
          <t>Der Ehrnwirdigeñ/|| Hoch vnnd Wolgelehrten Herren/|| Johannis Brentij vnd anderer jm zuge=||ordenten Theologen vonn der Recht=||fertigung des Menschen</t>
        </is>
      </c>
      <c r="O336" t="inlineStr">
        <is>
          <t xml:space="preserve"> : </t>
        </is>
      </c>
      <c r="P336" t="inlineStr">
        <is>
          <t>X</t>
        </is>
      </c>
      <c r="Q336" t="inlineStr"/>
      <c r="R336" t="inlineStr">
        <is>
          <t>Ledereinband</t>
        </is>
      </c>
      <c r="S336" t="inlineStr">
        <is>
          <t>bis 25 cm</t>
        </is>
      </c>
      <c r="T336" t="inlineStr">
        <is>
          <t>80° bis 110°, einseitig digitalisierbar?</t>
        </is>
      </c>
      <c r="U336" t="inlineStr"/>
      <c r="V336" t="inlineStr"/>
      <c r="W336" t="inlineStr"/>
      <c r="X336" t="inlineStr"/>
      <c r="Y336" t="n">
        <v>0</v>
      </c>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inlineStr"/>
      <c r="BI336" t="inlineStr"/>
      <c r="BJ336" t="inlineStr"/>
      <c r="BK336" t="inlineStr"/>
      <c r="BL336" t="inlineStr"/>
      <c r="BM336" t="inlineStr"/>
      <c r="BN336" t="n">
        <v>0</v>
      </c>
      <c r="BO336" t="inlineStr"/>
      <c r="BP336" t="inlineStr"/>
      <c r="BQ336" t="inlineStr"/>
      <c r="BR336" t="inlineStr"/>
      <c r="BS336" t="inlineStr"/>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c r="DB336" t="inlineStr"/>
      <c r="DC336" t="inlineStr"/>
      <c r="DD336" t="inlineStr"/>
      <c r="DE336" t="inlineStr"/>
      <c r="DF336" t="inlineStr"/>
      <c r="DG336" t="inlineStr"/>
    </row>
    <row r="337">
      <c r="A337" t="inlineStr">
        <is>
          <t>III</t>
        </is>
      </c>
      <c r="B337" t="b">
        <v>1</v>
      </c>
      <c r="C337" t="inlineStr">
        <is>
          <t>x</t>
        </is>
      </c>
      <c r="D337" t="inlineStr"/>
      <c r="E337" t="n">
        <v>385</v>
      </c>
      <c r="F337">
        <f>HYPERLINK("https://portal.dnb.de/opac.htm?method=simpleSearch&amp;cqlMode=true&amp;query=idn%3D993902642", "Portal")</f>
        <v/>
      </c>
      <c r="G337" t="inlineStr">
        <is>
          <t>Aal</t>
        </is>
      </c>
      <c r="H337" t="inlineStr">
        <is>
          <t>L-1555-153966025</t>
        </is>
      </c>
      <c r="I337" t="inlineStr">
        <is>
          <t>993902642</t>
        </is>
      </c>
      <c r="J337" t="inlineStr">
        <is>
          <t>III 47, 4</t>
        </is>
      </c>
      <c r="K337" t="inlineStr">
        <is>
          <t>III 47, 4</t>
        </is>
      </c>
      <c r="L337" t="inlineStr">
        <is>
          <t>III 47, 4</t>
        </is>
      </c>
      <c r="M337" t="inlineStr"/>
      <c r="N337" t="inlineStr">
        <is>
          <t xml:space="preserve">Des @Durchleuchtig=|sten Hochgebornen Fürsten vnnd : </t>
        </is>
      </c>
      <c r="O337" t="inlineStr">
        <is>
          <t xml:space="preserve"> : </t>
        </is>
      </c>
      <c r="P337" t="inlineStr"/>
      <c r="Q337" t="inlineStr"/>
      <c r="R337" t="inlineStr">
        <is>
          <t>Papier- oder Pappeinband</t>
        </is>
      </c>
      <c r="S337" t="inlineStr">
        <is>
          <t>bis 25 cm</t>
        </is>
      </c>
      <c r="T337" t="inlineStr">
        <is>
          <t>180°</t>
        </is>
      </c>
      <c r="U337" t="inlineStr">
        <is>
          <t>stark brüchiges Einbandmaterial</t>
        </is>
      </c>
      <c r="V337" t="inlineStr"/>
      <c r="W337" t="inlineStr"/>
      <c r="X337" t="inlineStr"/>
      <c r="Y337" t="n">
        <v>2</v>
      </c>
      <c r="Z337" t="inlineStr"/>
      <c r="AA337" t="inlineStr"/>
      <c r="AB337" t="inlineStr"/>
      <c r="AC337" t="inlineStr"/>
      <c r="AD337" t="inlineStr"/>
      <c r="AE337" t="inlineStr"/>
      <c r="AF337" t="inlineStr"/>
      <c r="AG337" t="inlineStr"/>
      <c r="AH337" t="inlineStr"/>
      <c r="AI337" t="inlineStr">
        <is>
          <t>HPg</t>
        </is>
      </c>
      <c r="AJ337" t="inlineStr"/>
      <c r="AK337" t="inlineStr"/>
      <c r="AL337" t="inlineStr"/>
      <c r="AM337" t="inlineStr">
        <is>
          <t>f</t>
        </is>
      </c>
      <c r="AN337" t="inlineStr"/>
      <c r="AO337" t="inlineStr"/>
      <c r="AP337" t="inlineStr"/>
      <c r="AQ337" t="inlineStr"/>
      <c r="AR337" t="inlineStr"/>
      <c r="AS337" t="inlineStr">
        <is>
          <t>Pa</t>
        </is>
      </c>
      <c r="AT337" t="inlineStr"/>
      <c r="AU337" t="inlineStr"/>
      <c r="AV337" t="inlineStr"/>
      <c r="AW337" t="inlineStr"/>
      <c r="AX337" t="inlineStr"/>
      <c r="AY337" t="inlineStr"/>
      <c r="AZ337" t="inlineStr"/>
      <c r="BA337" t="inlineStr"/>
      <c r="BB337" t="inlineStr"/>
      <c r="BC337" t="inlineStr"/>
      <c r="BD337" t="inlineStr"/>
      <c r="BE337" t="inlineStr"/>
      <c r="BF337" t="inlineStr"/>
      <c r="BG337" t="n">
        <v>110</v>
      </c>
      <c r="BH337" t="inlineStr"/>
      <c r="BI337" t="inlineStr"/>
      <c r="BJ337" t="inlineStr"/>
      <c r="BK337" t="inlineStr"/>
      <c r="BL337" t="inlineStr">
        <is>
          <t>x</t>
        </is>
      </c>
      <c r="BM337" t="inlineStr">
        <is>
          <t>ja vor</t>
        </is>
      </c>
      <c r="BN337" t="n">
        <v>0.5</v>
      </c>
      <c r="BO337" t="inlineStr"/>
      <c r="BP337" t="inlineStr"/>
      <c r="BQ337" t="inlineStr"/>
      <c r="BR337" t="inlineStr"/>
      <c r="BS337" t="inlineStr"/>
      <c r="BT337" t="inlineStr"/>
      <c r="BU337" t="inlineStr"/>
      <c r="BV337" t="inlineStr"/>
      <c r="BW337" t="inlineStr"/>
      <c r="BX337" t="inlineStr"/>
      <c r="BY337" t="inlineStr"/>
      <c r="BZ337" t="inlineStr">
        <is>
          <t>x</t>
        </is>
      </c>
      <c r="CA337" t="inlineStr"/>
      <c r="CB337" t="inlineStr">
        <is>
          <t>x</t>
        </is>
      </c>
      <c r="CC337" t="inlineStr"/>
      <c r="CD337" t="inlineStr"/>
      <c r="CE337" t="inlineStr"/>
      <c r="CF337" t="inlineStr"/>
      <c r="CG337" t="inlineStr"/>
      <c r="CH337" t="inlineStr"/>
      <c r="CI337" t="inlineStr"/>
      <c r="CJ337" t="inlineStr"/>
      <c r="CK337" t="inlineStr"/>
      <c r="CL337" t="inlineStr"/>
      <c r="CM337" t="n">
        <v>0.5</v>
      </c>
      <c r="CN337" t="inlineStr">
        <is>
          <t>Pg. am Rücken fixieren, Rücken mit Streifen aus JP überfangen</t>
        </is>
      </c>
      <c r="CO337" t="inlineStr"/>
      <c r="CP337" t="inlineStr"/>
      <c r="CQ337" t="inlineStr"/>
      <c r="CR337" t="inlineStr"/>
      <c r="CS337" t="inlineStr"/>
      <c r="CT337" t="inlineStr"/>
      <c r="CU337" t="inlineStr"/>
      <c r="CV337" t="inlineStr"/>
      <c r="CW337" t="inlineStr"/>
      <c r="CX337" t="inlineStr"/>
      <c r="CY337" t="inlineStr"/>
      <c r="CZ337" t="inlineStr"/>
      <c r="DA337" t="inlineStr"/>
      <c r="DB337" t="inlineStr"/>
      <c r="DC337" t="inlineStr"/>
      <c r="DD337" t="inlineStr"/>
      <c r="DE337" t="inlineStr"/>
      <c r="DF337" t="inlineStr"/>
      <c r="DG337" t="inlineStr"/>
    </row>
    <row r="338">
      <c r="A338" t="inlineStr">
        <is>
          <t>III</t>
        </is>
      </c>
      <c r="B338" t="b">
        <v>1</v>
      </c>
      <c r="C338" t="inlineStr"/>
      <c r="D338" t="inlineStr"/>
      <c r="E338" t="n">
        <v>386</v>
      </c>
      <c r="F338">
        <f>HYPERLINK("https://portal.dnb.de/opac.htm?method=simpleSearch&amp;cqlMode=true&amp;query=idn%3D1066962677", "Portal")</f>
        <v/>
      </c>
      <c r="G338" t="inlineStr">
        <is>
          <t>Aaf</t>
        </is>
      </c>
      <c r="H338" t="inlineStr">
        <is>
          <t>L-1515-315493011</t>
        </is>
      </c>
      <c r="I338" t="inlineStr">
        <is>
          <t>1066962677</t>
        </is>
      </c>
      <c r="J338" t="inlineStr">
        <is>
          <t>III 48, 1</t>
        </is>
      </c>
      <c r="K338" t="inlineStr">
        <is>
          <t>III 48, 1</t>
        </is>
      </c>
      <c r="L338" t="inlineStr">
        <is>
          <t>III 48, 1</t>
        </is>
      </c>
      <c r="M338" t="inlineStr"/>
      <c r="N338" t="inlineStr">
        <is>
          <t xml:space="preserve">Die @war nachuol/||gung Cristi vnsers|| herren vñ von ver||schmehung #/||d welt.|| : </t>
        </is>
      </c>
      <c r="O338" t="inlineStr">
        <is>
          <t xml:space="preserve"> : </t>
        </is>
      </c>
      <c r="P338" t="inlineStr">
        <is>
          <t>X</t>
        </is>
      </c>
      <c r="Q338" t="inlineStr"/>
      <c r="R338" t="inlineStr">
        <is>
          <t>Halbledereinband</t>
        </is>
      </c>
      <c r="S338" t="inlineStr">
        <is>
          <t>bis 25 cm</t>
        </is>
      </c>
      <c r="T338" t="inlineStr">
        <is>
          <t>80° bis 110°, einseitig digitalisierbar?</t>
        </is>
      </c>
      <c r="U338" t="inlineStr">
        <is>
          <t>hohler Rücken, stark brüchiges Einbandmaterial</t>
        </is>
      </c>
      <c r="V338" t="inlineStr"/>
      <c r="W338" t="inlineStr"/>
      <c r="X338" t="inlineStr"/>
      <c r="Y338" t="n">
        <v>3</v>
      </c>
      <c r="Z338" t="inlineStr"/>
      <c r="AA338" t="inlineStr"/>
      <c r="AB338" t="inlineStr"/>
      <c r="AC338" t="inlineStr"/>
      <c r="AD338" t="inlineStr"/>
      <c r="AE338" t="inlineStr"/>
      <c r="AF338" t="inlineStr"/>
      <c r="AG338" t="inlineStr"/>
      <c r="AH338" t="inlineStr"/>
      <c r="AI338" t="inlineStr"/>
      <c r="AJ338" t="inlineStr"/>
      <c r="AK338" t="inlineStr"/>
      <c r="AL338" t="inlineStr"/>
      <c r="AM338" t="inlineStr"/>
      <c r="AN338" t="inlineStr"/>
      <c r="AO338" t="inlineStr"/>
      <c r="AP338" t="inlineStr"/>
      <c r="AQ338" t="inlineStr"/>
      <c r="AR338" t="inlineStr"/>
      <c r="AS338" t="inlineStr"/>
      <c r="AT338" t="inlineStr"/>
      <c r="AU338" t="inlineStr"/>
      <c r="AV338" t="inlineStr"/>
      <c r="AW338" t="inlineStr"/>
      <c r="AX338" t="inlineStr"/>
      <c r="AY338" t="inlineStr"/>
      <c r="AZ338" t="inlineStr"/>
      <c r="BA338" t="inlineStr"/>
      <c r="BB338" t="inlineStr"/>
      <c r="BC338" t="inlineStr"/>
      <c r="BD338" t="inlineStr"/>
      <c r="BE338" t="inlineStr"/>
      <c r="BF338" t="inlineStr"/>
      <c r="BG338" t="inlineStr"/>
      <c r="BH338" t="inlineStr"/>
      <c r="BI338" t="inlineStr"/>
      <c r="BJ338" t="inlineStr"/>
      <c r="BK338" t="inlineStr"/>
      <c r="BL338" t="inlineStr"/>
      <c r="BM338" t="inlineStr"/>
      <c r="BN338" t="n">
        <v>0</v>
      </c>
      <c r="BO338" t="inlineStr"/>
      <c r="BP338" t="inlineStr"/>
      <c r="BQ338" t="inlineStr"/>
      <c r="BR338" t="inlineStr"/>
      <c r="BS338" t="inlineStr"/>
      <c r="BT338" t="inlineStr"/>
      <c r="BU338" t="inlineStr"/>
      <c r="BV338" t="inlineStr"/>
      <c r="BW338" t="inlineStr"/>
      <c r="BX338" t="inlineStr"/>
      <c r="BY338" t="inlineStr"/>
      <c r="BZ338" t="inlineStr"/>
      <c r="CA338" t="inlineStr"/>
      <c r="CB338" t="inlineStr"/>
      <c r="CC338" t="inlineStr"/>
      <c r="CD338" t="inlineStr"/>
      <c r="CE338" t="inlineStr"/>
      <c r="CF338" t="inlineStr"/>
      <c r="CG338" t="inlineStr"/>
      <c r="CH338" t="inlineStr"/>
      <c r="CI338" t="inlineStr"/>
      <c r="CJ338" t="inlineStr"/>
      <c r="CK338" t="inlineStr"/>
      <c r="CL338" t="inlineStr"/>
      <c r="CM338" t="inlineStr"/>
      <c r="CN338" t="inlineStr"/>
      <c r="CO338" t="inlineStr"/>
      <c r="CP338" t="inlineStr"/>
      <c r="CQ338" t="inlineStr"/>
      <c r="CR338" t="inlineStr"/>
      <c r="CS338" t="inlineStr"/>
      <c r="CT338" t="inlineStr"/>
      <c r="CU338" t="inlineStr"/>
      <c r="CV338" t="inlineStr"/>
      <c r="CW338" t="inlineStr"/>
      <c r="CX338" t="inlineStr"/>
      <c r="CY338" t="inlineStr"/>
      <c r="CZ338" t="inlineStr"/>
      <c r="DA338" t="inlineStr"/>
      <c r="DB338" t="inlineStr"/>
      <c r="DC338" t="inlineStr"/>
      <c r="DD338" t="inlineStr"/>
      <c r="DE338" t="inlineStr"/>
      <c r="DF338" t="inlineStr"/>
      <c r="DG338" t="inlineStr"/>
    </row>
    <row r="339">
      <c r="A339" t="inlineStr">
        <is>
          <t>III</t>
        </is>
      </c>
      <c r="B339" t="b">
        <v>1</v>
      </c>
      <c r="C339" t="inlineStr"/>
      <c r="D339" t="inlineStr"/>
      <c r="E339" t="n">
        <v>387</v>
      </c>
      <c r="F339">
        <f>HYPERLINK("https://portal.dnb.de/opac.htm?method=simpleSearch&amp;cqlMode=true&amp;query=idn%3D1066959595", "Portal")</f>
        <v/>
      </c>
      <c r="G339" t="inlineStr">
        <is>
          <t>Aaf</t>
        </is>
      </c>
      <c r="H339" t="inlineStr">
        <is>
          <t>L-1517-315490128</t>
        </is>
      </c>
      <c r="I339" t="inlineStr">
        <is>
          <t>1066959595</t>
        </is>
      </c>
      <c r="J339" t="inlineStr">
        <is>
          <t>III 48, 2</t>
        </is>
      </c>
      <c r="K339" t="inlineStr">
        <is>
          <t>III 48, 2</t>
        </is>
      </c>
      <c r="L339" t="inlineStr">
        <is>
          <t>III 48, 2</t>
        </is>
      </c>
      <c r="M339" t="inlineStr"/>
      <c r="N339" t="inlineStr">
        <is>
          <t xml:space="preserve">Die @Sib?|| Cürs zu Teütsch|| auff ainen yetli||ch? tag d? wo=||chen ain/ mit|| vil andern|| sch#[oe]n? ge||betten/|| : </t>
        </is>
      </c>
      <c r="O339" t="inlineStr">
        <is>
          <t xml:space="preserve"> : </t>
        </is>
      </c>
      <c r="P339" t="inlineStr">
        <is>
          <t>X</t>
        </is>
      </c>
      <c r="Q339" t="inlineStr"/>
      <c r="R339" t="inlineStr">
        <is>
          <t>Ledereinband, Schließen, erhabene Buchbeschläge</t>
        </is>
      </c>
      <c r="S339" t="inlineStr">
        <is>
          <t>bis 25 cm</t>
        </is>
      </c>
      <c r="T339" t="inlineStr">
        <is>
          <t>80° bis 110°, einseitig digitalisierbar?</t>
        </is>
      </c>
      <c r="U339" t="inlineStr">
        <is>
          <t>hohler Rücken</t>
        </is>
      </c>
      <c r="V339" t="inlineStr"/>
      <c r="W339" t="inlineStr">
        <is>
          <t>Buchschuh</t>
        </is>
      </c>
      <c r="X339" t="inlineStr">
        <is>
          <t>Nein</t>
        </is>
      </c>
      <c r="Y339" t="n">
        <v>1</v>
      </c>
      <c r="Z339" t="inlineStr"/>
      <c r="AA339" t="inlineStr"/>
      <c r="AB339" t="inlineStr"/>
      <c r="AC339" t="inlineStr"/>
      <c r="AD339" t="inlineStr"/>
      <c r="AE339" t="inlineStr"/>
      <c r="AF339" t="inlineStr"/>
      <c r="AG339" t="inlineStr"/>
      <c r="AH339" t="inlineStr"/>
      <c r="AI339" t="inlineStr"/>
      <c r="AJ339" t="inlineStr"/>
      <c r="AK339" t="inlineStr"/>
      <c r="AL339" t="inlineStr"/>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c r="BA339" t="inlineStr"/>
      <c r="BB339" t="inlineStr"/>
      <c r="BC339" t="inlineStr"/>
      <c r="BD339" t="inlineStr"/>
      <c r="BE339" t="inlineStr"/>
      <c r="BF339" t="inlineStr"/>
      <c r="BG339" t="inlineStr"/>
      <c r="BH339" t="inlineStr"/>
      <c r="BI339" t="inlineStr"/>
      <c r="BJ339" t="inlineStr"/>
      <c r="BK339" t="inlineStr"/>
      <c r="BL339" t="inlineStr"/>
      <c r="BM339" t="inlineStr"/>
      <c r="BN339" t="n">
        <v>0</v>
      </c>
      <c r="BO339" t="inlineStr"/>
      <c r="BP339" t="inlineStr"/>
      <c r="BQ339" t="inlineStr"/>
      <c r="BR339" t="inlineStr"/>
      <c r="BS339" t="inlineStr"/>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c r="CV339" t="inlineStr"/>
      <c r="CW339" t="inlineStr"/>
      <c r="CX339" t="inlineStr"/>
      <c r="CY339" t="inlineStr"/>
      <c r="CZ339" t="inlineStr"/>
      <c r="DA339" t="inlineStr"/>
      <c r="DB339" t="inlineStr"/>
      <c r="DC339" t="inlineStr"/>
      <c r="DD339" t="inlineStr"/>
      <c r="DE339" t="inlineStr"/>
      <c r="DF339" t="inlineStr"/>
      <c r="DG339" t="inlineStr"/>
    </row>
    <row r="340">
      <c r="A340" t="inlineStr">
        <is>
          <t>III</t>
        </is>
      </c>
      <c r="B340" t="b">
        <v>1</v>
      </c>
      <c r="C340" t="inlineStr">
        <is>
          <t>x</t>
        </is>
      </c>
      <c r="D340" t="inlineStr"/>
      <c r="E340" t="n">
        <v>388</v>
      </c>
      <c r="F340">
        <f>HYPERLINK("https://portal.dnb.de/opac.htm?method=simpleSearch&amp;cqlMode=true&amp;query=idn%3D1066859639", "Portal")</f>
        <v/>
      </c>
      <c r="G340" t="inlineStr">
        <is>
          <t>Aaf</t>
        </is>
      </c>
      <c r="H340" t="inlineStr">
        <is>
          <t>L-1522-315318384</t>
        </is>
      </c>
      <c r="I340" t="inlineStr">
        <is>
          <t>1066859639</t>
        </is>
      </c>
      <c r="J340" t="inlineStr">
        <is>
          <t>III 49, 1</t>
        </is>
      </c>
      <c r="K340" t="inlineStr">
        <is>
          <t>III 49, 1</t>
        </is>
      </c>
      <c r="L340" t="inlineStr">
        <is>
          <t>III 49, 1</t>
        </is>
      </c>
      <c r="M340" t="inlineStr"/>
      <c r="N340" t="inlineStr">
        <is>
          <t>Textus veteris artis scilicet isagogarum; Porphirii predicamentorum Aristotelis simul cum duobus libris Perihermenias eiusdem emendate impressum ad ex</t>
        </is>
      </c>
      <c r="O340" t="inlineStr">
        <is>
          <t xml:space="preserve"> : </t>
        </is>
      </c>
      <c r="P340" t="inlineStr">
        <is>
          <t>X</t>
        </is>
      </c>
      <c r="Q340" t="inlineStr"/>
      <c r="R340" t="inlineStr">
        <is>
          <t>Papier- oder Pappeinband</t>
        </is>
      </c>
      <c r="S340" t="inlineStr">
        <is>
          <t>bis 25 cm</t>
        </is>
      </c>
      <c r="T340" t="inlineStr">
        <is>
          <t>180°</t>
        </is>
      </c>
      <c r="U340" t="inlineStr">
        <is>
          <t>stark brüchiges Einbandmaterial</t>
        </is>
      </c>
      <c r="V340" t="inlineStr"/>
      <c r="W340" t="inlineStr"/>
      <c r="X340" t="inlineStr"/>
      <c r="Y340" t="n">
        <v>2</v>
      </c>
      <c r="Z340" t="inlineStr"/>
      <c r="AA340" t="inlineStr"/>
      <c r="AB340" t="inlineStr"/>
      <c r="AC340" t="inlineStr"/>
      <c r="AD340" t="inlineStr"/>
      <c r="AE340" t="inlineStr"/>
      <c r="AF340" t="inlineStr"/>
      <c r="AG340" t="inlineStr"/>
      <c r="AH340" t="inlineStr"/>
      <c r="AI340" t="inlineStr">
        <is>
          <t>HPg</t>
        </is>
      </c>
      <c r="AJ340" t="inlineStr"/>
      <c r="AK340" t="inlineStr"/>
      <c r="AL340" t="inlineStr"/>
      <c r="AM340" t="inlineStr">
        <is>
          <t>h/E</t>
        </is>
      </c>
      <c r="AN340" t="inlineStr"/>
      <c r="AO340" t="inlineStr"/>
      <c r="AP340" t="inlineStr"/>
      <c r="AQ340" t="inlineStr"/>
      <c r="AR340" t="inlineStr"/>
      <c r="AS340" t="inlineStr">
        <is>
          <t>Pa</t>
        </is>
      </c>
      <c r="AT340" t="inlineStr"/>
      <c r="AU340" t="inlineStr"/>
      <c r="AV340" t="inlineStr"/>
      <c r="AW340" t="inlineStr"/>
      <c r="AX340" t="inlineStr"/>
      <c r="AY340" t="inlineStr"/>
      <c r="AZ340" t="inlineStr"/>
      <c r="BA340" t="inlineStr"/>
      <c r="BB340" t="inlineStr"/>
      <c r="BC340" t="inlineStr"/>
      <c r="BD340" t="inlineStr"/>
      <c r="BE340" t="inlineStr"/>
      <c r="BF340" t="inlineStr"/>
      <c r="BG340" t="n">
        <v>110</v>
      </c>
      <c r="BH340" t="inlineStr"/>
      <c r="BI340" t="inlineStr"/>
      <c r="BJ340" t="inlineStr"/>
      <c r="BK340" t="inlineStr"/>
      <c r="BL340" t="inlineStr"/>
      <c r="BM340" t="inlineStr">
        <is>
          <t>ja vor</t>
        </is>
      </c>
      <c r="BN340" t="n">
        <v>0.5</v>
      </c>
      <c r="BO340" t="inlineStr"/>
      <c r="BP340" t="inlineStr"/>
      <c r="BQ340" t="inlineStr"/>
      <c r="BR340" t="inlineStr"/>
      <c r="BS340" t="inlineStr"/>
      <c r="BT340" t="inlineStr"/>
      <c r="BU340" t="inlineStr"/>
      <c r="BV340" t="inlineStr"/>
      <c r="BW340" t="inlineStr"/>
      <c r="BX340" t="inlineStr"/>
      <c r="BY340" t="inlineStr"/>
      <c r="BZ340" t="inlineStr">
        <is>
          <t>x</t>
        </is>
      </c>
      <c r="CA340" t="inlineStr"/>
      <c r="CB340" t="inlineStr">
        <is>
          <t>x</t>
        </is>
      </c>
      <c r="CC340" t="inlineStr"/>
      <c r="CD340" t="inlineStr"/>
      <c r="CE340" t="inlineStr"/>
      <c r="CF340" t="inlineStr"/>
      <c r="CG340" t="inlineStr"/>
      <c r="CH340" t="inlineStr"/>
      <c r="CI340" t="inlineStr"/>
      <c r="CJ340" t="inlineStr"/>
      <c r="CK340" t="inlineStr"/>
      <c r="CL340" t="inlineStr"/>
      <c r="CM340" t="n">
        <v>0.5</v>
      </c>
      <c r="CN340" t="inlineStr">
        <is>
          <t>Pg. am Rücken fixieren, mit JP überfangen</t>
        </is>
      </c>
      <c r="CO340" t="inlineStr"/>
      <c r="CP340" t="inlineStr"/>
      <c r="CQ340" t="inlineStr"/>
      <c r="CR340" t="inlineStr"/>
      <c r="CS340" t="inlineStr"/>
      <c r="CT340" t="inlineStr"/>
      <c r="CU340" t="inlineStr"/>
      <c r="CV340" t="inlineStr"/>
      <c r="CW340" t="inlineStr"/>
      <c r="CX340" t="inlineStr"/>
      <c r="CY340" t="inlineStr"/>
      <c r="CZ340" t="inlineStr"/>
      <c r="DA340" t="inlineStr"/>
      <c r="DB340" t="inlineStr"/>
      <c r="DC340" t="inlineStr"/>
      <c r="DD340" t="inlineStr"/>
      <c r="DE340" t="inlineStr"/>
      <c r="DF340" t="inlineStr"/>
      <c r="DG340" t="inlineStr"/>
    </row>
    <row r="341">
      <c r="A341" t="inlineStr">
        <is>
          <t>III</t>
        </is>
      </c>
      <c r="B341" t="b">
        <v>1</v>
      </c>
      <c r="C341" t="inlineStr"/>
      <c r="D341" t="inlineStr"/>
      <c r="E341" t="n">
        <v>389</v>
      </c>
      <c r="F341">
        <f>HYPERLINK("https://portal.dnb.de/opac.htm?method=simpleSearch&amp;cqlMode=true&amp;query=idn%3D1066963894", "Portal")</f>
        <v/>
      </c>
      <c r="G341" t="inlineStr">
        <is>
          <t>Aaf</t>
        </is>
      </c>
      <c r="H341" t="inlineStr">
        <is>
          <t>L-1501-315494093</t>
        </is>
      </c>
      <c r="I341" t="inlineStr">
        <is>
          <t>1066963894</t>
        </is>
      </c>
      <c r="J341" t="inlineStr">
        <is>
          <t>III 50, 1</t>
        </is>
      </c>
      <c r="K341" t="inlineStr">
        <is>
          <t>III 50, 1</t>
        </is>
      </c>
      <c r="L341" t="inlineStr">
        <is>
          <t>III 50, 1</t>
        </is>
      </c>
      <c r="M341" t="inlineStr"/>
      <c r="N341" t="inlineStr">
        <is>
          <t>Jn dem jar des hails Cristi des herren fünff=||zehenhundert vnd darnach in dem ersten jare|| ward die Cronick vnd der fürstlich stamm der|| durchleüch</t>
        </is>
      </c>
      <c r="O341" t="inlineStr">
        <is>
          <t xml:space="preserve"> : </t>
        </is>
      </c>
      <c r="P341" t="inlineStr">
        <is>
          <t>X</t>
        </is>
      </c>
      <c r="Q341" t="inlineStr"/>
      <c r="R341" t="inlineStr">
        <is>
          <t>Halbledereinband</t>
        </is>
      </c>
      <c r="S341" t="inlineStr">
        <is>
          <t>bis 25 cm</t>
        </is>
      </c>
      <c r="T341" t="inlineStr">
        <is>
          <t>180°</t>
        </is>
      </c>
      <c r="U341" t="inlineStr"/>
      <c r="V341" t="inlineStr"/>
      <c r="W341" t="inlineStr"/>
      <c r="X341" t="inlineStr"/>
      <c r="Y341" t="n">
        <v>1</v>
      </c>
      <c r="Z341" t="inlineStr"/>
      <c r="AA341" t="inlineStr"/>
      <c r="AB341" t="inlineStr"/>
      <c r="AC341" t="inlineStr"/>
      <c r="AD341" t="inlineStr"/>
      <c r="AE341" t="inlineStr"/>
      <c r="AF341" t="inlineStr"/>
      <c r="AG341" t="inlineStr"/>
      <c r="AH341" t="inlineStr"/>
      <c r="AI341" t="inlineStr">
        <is>
          <t>HL</t>
        </is>
      </c>
      <c r="AJ341" t="inlineStr"/>
      <c r="AK341" t="inlineStr"/>
      <c r="AL341" t="inlineStr"/>
      <c r="AM341" t="inlineStr">
        <is>
          <t>f</t>
        </is>
      </c>
      <c r="AN341" t="inlineStr"/>
      <c r="AO341" t="inlineStr"/>
      <c r="AP341" t="inlineStr"/>
      <c r="AQ341" t="inlineStr"/>
      <c r="AR341" t="inlineStr"/>
      <c r="AS341" t="inlineStr">
        <is>
          <t>Pa</t>
        </is>
      </c>
      <c r="AT341" t="inlineStr"/>
      <c r="AU341" t="inlineStr"/>
      <c r="AV341" t="inlineStr"/>
      <c r="AW341" t="inlineStr"/>
      <c r="AX341" t="inlineStr"/>
      <c r="AY341" t="inlineStr"/>
      <c r="AZ341" t="inlineStr"/>
      <c r="BA341" t="inlineStr"/>
      <c r="BB341" t="inlineStr"/>
      <c r="BC341" t="inlineStr"/>
      <c r="BD341" t="inlineStr"/>
      <c r="BE341" t="inlineStr"/>
      <c r="BF341" t="inlineStr"/>
      <c r="BG341" t="n">
        <v>110</v>
      </c>
      <c r="BH341" t="inlineStr"/>
      <c r="BI341" t="inlineStr"/>
      <c r="BJ341" t="inlineStr"/>
      <c r="BK341" t="inlineStr"/>
      <c r="BL341" t="inlineStr"/>
      <c r="BM341" t="inlineStr">
        <is>
          <t>n</t>
        </is>
      </c>
      <c r="BN341" t="n">
        <v>0</v>
      </c>
      <c r="BO341" t="inlineStr"/>
      <c r="BP341" t="inlineStr"/>
      <c r="BQ341" t="inlineStr"/>
      <c r="BR341" t="inlineStr"/>
      <c r="BS341" t="inlineStr"/>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inlineStr"/>
      <c r="DA341" t="inlineStr"/>
      <c r="DB341" t="inlineStr"/>
      <c r="DC341" t="inlineStr"/>
      <c r="DD341" t="inlineStr"/>
      <c r="DE341" t="inlineStr"/>
      <c r="DF341" t="inlineStr"/>
      <c r="DG341" t="inlineStr"/>
    </row>
    <row r="342">
      <c r="A342" t="inlineStr">
        <is>
          <t>III</t>
        </is>
      </c>
      <c r="B342" t="b">
        <v>1</v>
      </c>
      <c r="C342" t="inlineStr"/>
      <c r="D342" t="inlineStr"/>
      <c r="E342" t="n">
        <v>390</v>
      </c>
      <c r="F342">
        <f>HYPERLINK("https://portal.dnb.de/opac.htm?method=simpleSearch&amp;cqlMode=true&amp;query=idn%3D1066964432", "Portal")</f>
        <v/>
      </c>
      <c r="G342" t="inlineStr">
        <is>
          <t>Aaf</t>
        </is>
      </c>
      <c r="H342" t="inlineStr">
        <is>
          <t>L-1515-315494662</t>
        </is>
      </c>
      <c r="I342" t="inlineStr">
        <is>
          <t>1066964432</t>
        </is>
      </c>
      <c r="J342" t="inlineStr">
        <is>
          <t>III 50, 2</t>
        </is>
      </c>
      <c r="K342" t="inlineStr">
        <is>
          <t>III 50, 2</t>
        </is>
      </c>
      <c r="L342" t="inlineStr">
        <is>
          <t>III 50, 2</t>
        </is>
      </c>
      <c r="M342" t="inlineStr"/>
      <c r="N342" t="inlineStr">
        <is>
          <t>Des @hochberom||pten Latinischen histori schrei=||bers Salustij: zwo schon histo=||rien: Nemlich? von des Catilin?|| vnd auch des Jugurthen krie=||gen</t>
        </is>
      </c>
      <c r="O342" t="inlineStr">
        <is>
          <t xml:space="preserve"> : </t>
        </is>
      </c>
      <c r="P342" t="inlineStr">
        <is>
          <t>X</t>
        </is>
      </c>
      <c r="Q342" t="inlineStr"/>
      <c r="R342" t="inlineStr">
        <is>
          <t>Ledereinband, Schließen, erhabene Buchbeschläge</t>
        </is>
      </c>
      <c r="S342" t="inlineStr">
        <is>
          <t>bis 35 cm</t>
        </is>
      </c>
      <c r="T342" t="inlineStr">
        <is>
          <t>180°</t>
        </is>
      </c>
      <c r="U342" t="inlineStr">
        <is>
          <t>hohler Rücken, welliger Buchblock</t>
        </is>
      </c>
      <c r="V342" t="inlineStr"/>
      <c r="W342" t="inlineStr">
        <is>
          <t>Buchschuh</t>
        </is>
      </c>
      <c r="X342" t="inlineStr">
        <is>
          <t>Nein</t>
        </is>
      </c>
      <c r="Y342" t="n">
        <v>1</v>
      </c>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inlineStr"/>
      <c r="BI342" t="inlineStr"/>
      <c r="BJ342" t="inlineStr"/>
      <c r="BK342" t="inlineStr"/>
      <c r="BL342" t="inlineStr"/>
      <c r="BM342" t="inlineStr"/>
      <c r="BN342" t="n">
        <v>0</v>
      </c>
      <c r="BO342" t="inlineStr"/>
      <c r="BP342" t="inlineStr"/>
      <c r="BQ342" t="inlineStr"/>
      <c r="BR342" t="inlineStr"/>
      <c r="BS342" t="inlineStr"/>
      <c r="BT342" t="inlineStr"/>
      <c r="BU342" t="inlineStr"/>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c r="DA342" t="inlineStr"/>
      <c r="DB342" t="inlineStr"/>
      <c r="DC342" t="inlineStr"/>
      <c r="DD342" t="inlineStr"/>
      <c r="DE342" t="inlineStr"/>
      <c r="DF342" t="inlineStr"/>
      <c r="DG342" t="inlineStr"/>
    </row>
    <row r="343">
      <c r="A343" t="inlineStr">
        <is>
          <t>III</t>
        </is>
      </c>
      <c r="B343" t="b">
        <v>1</v>
      </c>
      <c r="C343" t="inlineStr"/>
      <c r="D343" t="inlineStr"/>
      <c r="E343" t="n">
        <v>391</v>
      </c>
      <c r="F343">
        <f>HYPERLINK("https://portal.dnb.de/opac.htm?method=simpleSearch&amp;cqlMode=true&amp;query=idn%3D1066956960", "Portal")</f>
        <v/>
      </c>
      <c r="G343" t="inlineStr">
        <is>
          <t>Aaf</t>
        </is>
      </c>
      <c r="H343" t="inlineStr">
        <is>
          <t>L-1516-315487577</t>
        </is>
      </c>
      <c r="I343" t="inlineStr">
        <is>
          <t>1066956960</t>
        </is>
      </c>
      <c r="J343" t="inlineStr">
        <is>
          <t>III 50, 3</t>
        </is>
      </c>
      <c r="K343" t="inlineStr">
        <is>
          <t>III 50, 3</t>
        </is>
      </c>
      <c r="L343" t="inlineStr">
        <is>
          <t>III 50, 3</t>
        </is>
      </c>
      <c r="M343" t="inlineStr"/>
      <c r="N343" t="inlineStr">
        <is>
          <t>Von Klaffern.|| Hernachvolg?|| Zway puechlein das ain Lu=||cianus: vnd das ander Pog=||gius beschriben haben hal=||tend in inen. das man den verklaffe</t>
        </is>
      </c>
      <c r="O343" t="inlineStr">
        <is>
          <t xml:space="preserve"> : </t>
        </is>
      </c>
      <c r="P343" t="inlineStr">
        <is>
          <t>X</t>
        </is>
      </c>
      <c r="Q343" t="inlineStr"/>
      <c r="R343" t="inlineStr">
        <is>
          <t>Halbledereinband, Schließen, erhabene Buchbeschläge</t>
        </is>
      </c>
      <c r="S343" t="inlineStr">
        <is>
          <t>bis 35 cm</t>
        </is>
      </c>
      <c r="T343" t="inlineStr">
        <is>
          <t>180°</t>
        </is>
      </c>
      <c r="U343" t="inlineStr">
        <is>
          <t>hohler Rücken</t>
        </is>
      </c>
      <c r="V343" t="inlineStr"/>
      <c r="W343" t="inlineStr">
        <is>
          <t>Buchschuh</t>
        </is>
      </c>
      <c r="X343" t="inlineStr">
        <is>
          <t>Nein</t>
        </is>
      </c>
      <c r="Y343" t="n">
        <v>1</v>
      </c>
      <c r="Z343" t="inlineStr"/>
      <c r="AA343" t="inlineStr"/>
      <c r="AB343" t="inlineStr"/>
      <c r="AC343" t="inlineStr"/>
      <c r="AD343" t="inlineStr"/>
      <c r="AE343" t="inlineStr"/>
      <c r="AF343" t="inlineStr"/>
      <c r="AG343" t="inlineStr"/>
      <c r="AH343" t="inlineStr"/>
      <c r="AI343" t="inlineStr"/>
      <c r="AJ343" t="inlineStr"/>
      <c r="AK343" t="inlineStr"/>
      <c r="AL343" t="inlineStr"/>
      <c r="AM343" t="inlineStr"/>
      <c r="AN343" t="inlineStr"/>
      <c r="AO343" t="inlineStr"/>
      <c r="AP343" t="inlineStr"/>
      <c r="AQ343" t="inlineStr"/>
      <c r="AR343" t="inlineStr"/>
      <c r="AS343" t="inlineStr"/>
      <c r="AT343" t="inlineStr"/>
      <c r="AU343" t="inlineStr"/>
      <c r="AV343" t="inlineStr"/>
      <c r="AW343" t="inlineStr"/>
      <c r="AX343" t="inlineStr"/>
      <c r="AY343" t="inlineStr"/>
      <c r="AZ343" t="inlineStr"/>
      <c r="BA343" t="inlineStr"/>
      <c r="BB343" t="inlineStr"/>
      <c r="BC343" t="inlineStr"/>
      <c r="BD343" t="inlineStr"/>
      <c r="BE343" t="inlineStr"/>
      <c r="BF343" t="inlineStr"/>
      <c r="BG343" t="inlineStr"/>
      <c r="BH343" t="inlineStr"/>
      <c r="BI343" t="inlineStr"/>
      <c r="BJ343" t="inlineStr"/>
      <c r="BK343" t="inlineStr"/>
      <c r="BL343" t="inlineStr"/>
      <c r="BM343" t="inlineStr"/>
      <c r="BN343" t="n">
        <v>0</v>
      </c>
      <c r="BO343" t="inlineStr"/>
      <c r="BP343" t="inlineStr"/>
      <c r="BQ343" t="inlineStr"/>
      <c r="BR343" t="inlineStr"/>
      <c r="BS343" t="inlineStr"/>
      <c r="BT343" t="inlineStr"/>
      <c r="BU343" t="inlineStr"/>
      <c r="BV343" t="inlineStr"/>
      <c r="BW343" t="inlineStr"/>
      <c r="BX343" t="inlineStr"/>
      <c r="BY343" t="inlineStr"/>
      <c r="BZ343" t="inlineStr"/>
      <c r="CA343" t="inlineStr"/>
      <c r="CB343" t="inlineStr"/>
      <c r="CC343" t="inlineStr"/>
      <c r="CD343" t="inlineStr"/>
      <c r="CE343" t="inlineStr"/>
      <c r="CF343" t="inlineStr"/>
      <c r="CG343" t="inlineStr"/>
      <c r="CH343" t="inlineStr"/>
      <c r="CI343" t="inlineStr"/>
      <c r="CJ343" t="inlineStr"/>
      <c r="CK343" t="inlineStr"/>
      <c r="CL343" t="inlineStr"/>
      <c r="CM343" t="inlineStr"/>
      <c r="CN343" t="inlineStr"/>
      <c r="CO343" t="inlineStr"/>
      <c r="CP343" t="inlineStr"/>
      <c r="CQ343" t="inlineStr"/>
      <c r="CR343" t="inlineStr"/>
      <c r="CS343" t="inlineStr"/>
      <c r="CT343" t="inlineStr"/>
      <c r="CU343" t="inlineStr"/>
      <c r="CV343" t="inlineStr"/>
      <c r="CW343" t="inlineStr"/>
      <c r="CX343" t="inlineStr"/>
      <c r="CY343" t="inlineStr"/>
      <c r="CZ343" t="inlineStr"/>
      <c r="DA343" t="inlineStr"/>
      <c r="DB343" t="inlineStr"/>
      <c r="DC343" t="inlineStr"/>
      <c r="DD343" t="inlineStr"/>
      <c r="DE343" t="inlineStr"/>
      <c r="DF343" t="inlineStr"/>
      <c r="DG343" t="inlineStr"/>
    </row>
    <row r="344">
      <c r="A344" t="inlineStr">
        <is>
          <t>III</t>
        </is>
      </c>
      <c r="B344" t="b">
        <v>1</v>
      </c>
      <c r="C344" t="inlineStr"/>
      <c r="D344" t="inlineStr"/>
      <c r="E344" t="n">
        <v>392</v>
      </c>
      <c r="F344">
        <f>HYPERLINK("https://portal.dnb.de/opac.htm?method=simpleSearch&amp;cqlMode=true&amp;query=idn%3D1066870888", "Portal")</f>
        <v/>
      </c>
      <c r="G344" t="inlineStr">
        <is>
          <t>Aaf</t>
        </is>
      </c>
      <c r="H344" t="inlineStr">
        <is>
          <t>L-1526-315328762</t>
        </is>
      </c>
      <c r="I344" t="inlineStr">
        <is>
          <t>1066870888</t>
        </is>
      </c>
      <c r="J344" t="inlineStr">
        <is>
          <t>III 50, 4</t>
        </is>
      </c>
      <c r="K344" t="inlineStr">
        <is>
          <t>III 50, 4</t>
        </is>
      </c>
      <c r="L344" t="inlineStr">
        <is>
          <t>III 50, 4</t>
        </is>
      </c>
      <c r="M344" t="inlineStr"/>
      <c r="N344" t="inlineStr">
        <is>
          <t xml:space="preserve">Enchiridion|| LOCORVM COMMVNIVM|| ADVERSVS LVTTE=||RANOS. IOHANNE|| ECKIO AVTORE.|| : </t>
        </is>
      </c>
      <c r="O344" t="inlineStr">
        <is>
          <t xml:space="preserve"> : </t>
        </is>
      </c>
      <c r="P344" t="inlineStr">
        <is>
          <t>X</t>
        </is>
      </c>
      <c r="Q344" t="inlineStr"/>
      <c r="R344" t="inlineStr">
        <is>
          <t>Halbledereinband, Schließen, erhabene Buchbeschläge</t>
        </is>
      </c>
      <c r="S344" t="inlineStr">
        <is>
          <t>bis 25 cm</t>
        </is>
      </c>
      <c r="T344" t="inlineStr">
        <is>
          <t>180°</t>
        </is>
      </c>
      <c r="U344" t="inlineStr">
        <is>
          <t>hohler Rücken</t>
        </is>
      </c>
      <c r="V344" t="inlineStr"/>
      <c r="W344" t="inlineStr">
        <is>
          <t>Buchschuh</t>
        </is>
      </c>
      <c r="X344" t="inlineStr">
        <is>
          <t>Nein</t>
        </is>
      </c>
      <c r="Y344" t="n">
        <v>1</v>
      </c>
      <c r="Z344" t="inlineStr"/>
      <c r="AA344" t="inlineStr"/>
      <c r="AB344" t="inlineStr"/>
      <c r="AC344" t="inlineStr"/>
      <c r="AD344" t="inlineStr"/>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c r="BB344" t="inlineStr"/>
      <c r="BC344" t="inlineStr"/>
      <c r="BD344" t="inlineStr"/>
      <c r="BE344" t="inlineStr"/>
      <c r="BF344" t="inlineStr"/>
      <c r="BG344" t="inlineStr"/>
      <c r="BH344" t="inlineStr"/>
      <c r="BI344" t="inlineStr"/>
      <c r="BJ344" t="inlineStr"/>
      <c r="BK344" t="inlineStr"/>
      <c r="BL344" t="inlineStr"/>
      <c r="BM344" t="inlineStr"/>
      <c r="BN344" t="n">
        <v>0</v>
      </c>
      <c r="BO344" t="inlineStr"/>
      <c r="BP344" t="inlineStr"/>
      <c r="BQ344" t="inlineStr"/>
      <c r="BR344" t="inlineStr"/>
      <c r="BS344" t="inlineStr"/>
      <c r="BT344" t="inlineStr"/>
      <c r="BU344" t="inlineStr"/>
      <c r="BV344" t="inlineStr"/>
      <c r="BW344" t="inlineStr"/>
      <c r="BX344" t="inlineStr"/>
      <c r="BY344" t="inlineStr"/>
      <c r="BZ344" t="inlineStr"/>
      <c r="CA344" t="inlineStr"/>
      <c r="CB344" t="inlineStr"/>
      <c r="CC344" t="inlineStr"/>
      <c r="CD344" t="inlineStr"/>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c r="CV344" t="inlineStr"/>
      <c r="CW344" t="inlineStr"/>
      <c r="CX344" t="inlineStr"/>
      <c r="CY344" t="inlineStr"/>
      <c r="CZ344" t="inlineStr"/>
      <c r="DA344" t="inlineStr"/>
      <c r="DB344" t="inlineStr"/>
      <c r="DC344" t="inlineStr"/>
      <c r="DD344" t="inlineStr"/>
      <c r="DE344" t="inlineStr"/>
      <c r="DF344" t="inlineStr"/>
      <c r="DG344" t="inlineStr"/>
    </row>
    <row r="345">
      <c r="A345" t="inlineStr">
        <is>
          <t>III</t>
        </is>
      </c>
      <c r="B345" t="b">
        <v>1</v>
      </c>
      <c r="C345" t="inlineStr"/>
      <c r="D345" t="inlineStr"/>
      <c r="E345" t="n">
        <v>393</v>
      </c>
      <c r="F345">
        <f>HYPERLINK("https://portal.dnb.de/opac.htm?method=simpleSearch&amp;cqlMode=true&amp;query=idn%3D1066956871", "Portal")</f>
        <v/>
      </c>
      <c r="G345" t="inlineStr">
        <is>
          <t>Aaf</t>
        </is>
      </c>
      <c r="H345" t="inlineStr">
        <is>
          <t>L-1502-31548747X</t>
        </is>
      </c>
      <c r="I345" t="inlineStr">
        <is>
          <t>1066956871</t>
        </is>
      </c>
      <c r="J345" t="inlineStr">
        <is>
          <t>III 51, 1</t>
        </is>
      </c>
      <c r="K345" t="inlineStr">
        <is>
          <t>III 51, 1</t>
        </is>
      </c>
      <c r="L345" t="inlineStr">
        <is>
          <t>III 51, 1</t>
        </is>
      </c>
      <c r="M345" t="inlineStr"/>
      <c r="N345" t="inlineStr">
        <is>
          <t xml:space="preserve">Liber Satyraru Junij Juue||nalis poete lepidissimi ac in-||ter om?s satyricos vtilissimi.|| ...|| : </t>
        </is>
      </c>
      <c r="O345" t="inlineStr">
        <is>
          <t xml:space="preserve"> : </t>
        </is>
      </c>
      <c r="P345" t="inlineStr">
        <is>
          <t>X</t>
        </is>
      </c>
      <c r="Q345" t="inlineStr"/>
      <c r="R345" t="inlineStr">
        <is>
          <t>Halbledereinband, Schließen, erhabene Buchbeschläge</t>
        </is>
      </c>
      <c r="S345" t="inlineStr">
        <is>
          <t>bis 35 cm</t>
        </is>
      </c>
      <c r="T345" t="inlineStr">
        <is>
          <t>180°</t>
        </is>
      </c>
      <c r="U345" t="inlineStr">
        <is>
          <t>fester Rücken mit Schmuckprägung, Schrift bis in den Falz, stark brüchiges Einbandmaterial</t>
        </is>
      </c>
      <c r="V345" t="inlineStr"/>
      <c r="W345" t="inlineStr">
        <is>
          <t>Kassette</t>
        </is>
      </c>
      <c r="X345" t="inlineStr">
        <is>
          <t>Nein</t>
        </is>
      </c>
      <c r="Y345" t="n">
        <v>3</v>
      </c>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inlineStr"/>
      <c r="BI345" t="inlineStr"/>
      <c r="BJ345" t="inlineStr"/>
      <c r="BK345" t="inlineStr"/>
      <c r="BL345" t="inlineStr"/>
      <c r="BM345" t="inlineStr"/>
      <c r="BN345" t="n">
        <v>0</v>
      </c>
      <c r="BO345" t="inlineStr"/>
      <c r="BP345" t="inlineStr"/>
      <c r="BQ345" t="inlineStr"/>
      <c r="BR345" t="inlineStr"/>
      <c r="BS345" t="inlineStr"/>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c r="DB345" t="inlineStr"/>
      <c r="DC345" t="inlineStr"/>
      <c r="DD345" t="inlineStr"/>
      <c r="DE345" t="inlineStr"/>
      <c r="DF345" t="inlineStr"/>
      <c r="DG345" t="inlineStr"/>
    </row>
    <row r="346">
      <c r="A346" t="inlineStr">
        <is>
          <t>III</t>
        </is>
      </c>
      <c r="B346" t="b">
        <v>1</v>
      </c>
      <c r="C346" t="inlineStr"/>
      <c r="D346" t="inlineStr"/>
      <c r="E346" t="inlineStr"/>
      <c r="F346">
        <f>HYPERLINK("https://portal.dnb.de/opac.htm?method=simpleSearch&amp;cqlMode=true&amp;query=idn%3D1144984440", "Portal")</f>
        <v/>
      </c>
      <c r="G346" t="inlineStr">
        <is>
          <t>Qd</t>
        </is>
      </c>
      <c r="H346" t="inlineStr">
        <is>
          <t>L-1510-785177809</t>
        </is>
      </c>
      <c r="I346" t="inlineStr">
        <is>
          <t>1144984440</t>
        </is>
      </c>
      <c r="J346" t="inlineStr">
        <is>
          <t>III 51, 1 a</t>
        </is>
      </c>
      <c r="K346" t="inlineStr">
        <is>
          <t>III 51, 1 a</t>
        </is>
      </c>
      <c r="L346" t="inlineStr">
        <is>
          <t>III 51, 1 a</t>
        </is>
      </c>
      <c r="M346" t="inlineStr"/>
      <c r="N346" t="inlineStr">
        <is>
          <t xml:space="preserve">Sammelband mit zwei Werken von Johannes von Paltz : </t>
        </is>
      </c>
      <c r="O346" t="inlineStr">
        <is>
          <t xml:space="preserve"> : </t>
        </is>
      </c>
      <c r="P346" t="inlineStr"/>
      <c r="Q346" t="inlineStr"/>
      <c r="R346" t="inlineStr">
        <is>
          <t>Halbledereinband, Schließen, erhabene Buchbeschläge</t>
        </is>
      </c>
      <c r="S346" t="inlineStr">
        <is>
          <t>bis 25 cm</t>
        </is>
      </c>
      <c r="T346" t="inlineStr">
        <is>
          <t>80° bis 110°, einseitig digitalisierbar?</t>
        </is>
      </c>
      <c r="U346" t="inlineStr"/>
      <c r="V346" t="inlineStr"/>
      <c r="W346" t="inlineStr">
        <is>
          <t>Kassette</t>
        </is>
      </c>
      <c r="X346" t="inlineStr">
        <is>
          <t>Nein</t>
        </is>
      </c>
      <c r="Y346" t="n">
        <v>2</v>
      </c>
      <c r="Z346" t="inlineStr"/>
      <c r="AA346" t="inlineStr"/>
      <c r="AB346" t="inlineStr"/>
      <c r="AC346" t="inlineStr"/>
      <c r="AD346" t="inlineStr"/>
      <c r="AE346" t="inlineStr"/>
      <c r="AF346" t="inlineStr"/>
      <c r="AG346" t="inlineStr"/>
      <c r="AH346" t="inlineStr"/>
      <c r="AI346" t="inlineStr">
        <is>
          <t>HD</t>
        </is>
      </c>
      <c r="AJ346" t="inlineStr"/>
      <c r="AK346" t="inlineStr"/>
      <c r="AL346" t="inlineStr"/>
      <c r="AM346" t="inlineStr">
        <is>
          <t>f</t>
        </is>
      </c>
      <c r="AN346" t="inlineStr"/>
      <c r="AO346" t="inlineStr"/>
      <c r="AP346" t="inlineStr"/>
      <c r="AQ346" t="inlineStr"/>
      <c r="AR346" t="inlineStr"/>
      <c r="AS346" t="inlineStr">
        <is>
          <t>Pa</t>
        </is>
      </c>
      <c r="AT346" t="inlineStr"/>
      <c r="AU346" t="inlineStr"/>
      <c r="AV346" t="inlineStr"/>
      <c r="AW346" t="inlineStr"/>
      <c r="AX346" t="inlineStr"/>
      <c r="AY346" t="inlineStr"/>
      <c r="AZ346" t="inlineStr"/>
      <c r="BA346" t="inlineStr"/>
      <c r="BB346" t="inlineStr"/>
      <c r="BC346" t="inlineStr"/>
      <c r="BD346" t="inlineStr"/>
      <c r="BE346" t="inlineStr"/>
      <c r="BF346" t="inlineStr"/>
      <c r="BG346" t="n">
        <v>60</v>
      </c>
      <c r="BH346" t="inlineStr"/>
      <c r="BI346" t="inlineStr"/>
      <c r="BJ346" t="inlineStr"/>
      <c r="BK346" t="inlineStr"/>
      <c r="BL346" t="inlineStr"/>
      <c r="BM346" t="inlineStr">
        <is>
          <t>n</t>
        </is>
      </c>
      <c r="BN346" t="n">
        <v>0</v>
      </c>
      <c r="BO346" t="inlineStr"/>
      <c r="BP346" t="inlineStr"/>
      <c r="BQ346" t="inlineStr"/>
      <c r="BR346" t="inlineStr"/>
      <c r="BS346" t="inlineStr"/>
      <c r="BT346" t="inlineStr"/>
      <c r="BU346" t="inlineStr"/>
      <c r="BV346" t="inlineStr">
        <is>
          <t>Schaden an Ecke stabil</t>
        </is>
      </c>
      <c r="BW346" t="inlineStr"/>
      <c r="BX346" t="inlineStr"/>
      <c r="BY346" t="inlineStr"/>
      <c r="BZ346" t="inlineStr"/>
      <c r="CA346" t="inlineStr"/>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c r="CV346" t="inlineStr"/>
      <c r="CW346" t="inlineStr"/>
      <c r="CX346" t="inlineStr"/>
      <c r="CY346" t="inlineStr"/>
      <c r="CZ346" t="inlineStr"/>
      <c r="DA346" t="inlineStr"/>
      <c r="DB346" t="inlineStr"/>
      <c r="DC346" t="inlineStr"/>
      <c r="DD346" t="inlineStr"/>
      <c r="DE346" t="inlineStr"/>
      <c r="DF346" t="inlineStr"/>
      <c r="DG346" t="inlineStr"/>
    </row>
    <row r="347">
      <c r="A347" t="inlineStr">
        <is>
          <t>III</t>
        </is>
      </c>
      <c r="B347" t="b">
        <v>1</v>
      </c>
      <c r="C347" t="inlineStr"/>
      <c r="D347" t="inlineStr"/>
      <c r="E347" t="n">
        <v>427</v>
      </c>
      <c r="F347">
        <f>HYPERLINK("https://portal.dnb.de/opac.htm?method=simpleSearch&amp;cqlMode=true&amp;query=idn%3D1066673942", "Portal")</f>
        <v/>
      </c>
      <c r="G347" t="inlineStr">
        <is>
          <t>Aaf</t>
        </is>
      </c>
      <c r="H347" t="inlineStr">
        <is>
          <t>L-1519-315062428</t>
        </is>
      </c>
      <c r="I347" t="inlineStr">
        <is>
          <t>1066673942</t>
        </is>
      </c>
      <c r="J347" t="inlineStr">
        <is>
          <t>III 51, 1 b</t>
        </is>
      </c>
      <c r="K347" t="inlineStr">
        <is>
          <t>III 51, 1 b</t>
        </is>
      </c>
      <c r="L347" t="inlineStr">
        <is>
          <t>III 51, 1 b</t>
        </is>
      </c>
      <c r="M347" t="inlineStr"/>
      <c r="N347" t="inlineStr">
        <is>
          <t>Solutiones ac|| responsa wit. Doc=||torum in publica disputatiõe Lip=||sica cõtra fulmĩa Eckiana|| parũ p[ro]futura tumorq[ue]|| aduẽtus et hũilitas||</t>
        </is>
      </c>
      <c r="O347" t="inlineStr">
        <is>
          <t xml:space="preserve"> : </t>
        </is>
      </c>
      <c r="P347" t="inlineStr"/>
      <c r="Q347" t="inlineStr"/>
      <c r="R347" t="inlineStr">
        <is>
          <t>Ungebunden</t>
        </is>
      </c>
      <c r="S347" t="inlineStr">
        <is>
          <t>bis 25 cm</t>
        </is>
      </c>
      <c r="T347" t="inlineStr">
        <is>
          <t>180°</t>
        </is>
      </c>
      <c r="U347" t="inlineStr"/>
      <c r="V347" t="inlineStr"/>
      <c r="W347" t="inlineStr">
        <is>
          <t>Mappe</t>
        </is>
      </c>
      <c r="X347" t="inlineStr">
        <is>
          <t>Nein</t>
        </is>
      </c>
      <c r="Y347" t="n">
        <v>1</v>
      </c>
      <c r="Z347" t="inlineStr"/>
      <c r="AA347" t="inlineStr"/>
      <c r="AB347" t="inlineStr"/>
      <c r="AC347" t="inlineStr"/>
      <c r="AD347" t="inlineStr"/>
      <c r="AE347" t="inlineStr"/>
      <c r="AF347" t="inlineStr"/>
      <c r="AG347" t="inlineStr"/>
      <c r="AH347" t="inlineStr"/>
      <c r="AI347" t="inlineStr"/>
      <c r="AJ347" t="inlineStr"/>
      <c r="AK347" t="inlineStr"/>
      <c r="AL347" t="inlineStr"/>
      <c r="AM347" t="inlineStr"/>
      <c r="AN347" t="inlineStr"/>
      <c r="AO347" t="inlineStr"/>
      <c r="AP347" t="inlineStr"/>
      <c r="AQ347" t="inlineStr"/>
      <c r="AR347" t="inlineStr"/>
      <c r="AS347" t="inlineStr"/>
      <c r="AT347" t="inlineStr"/>
      <c r="AU347" t="inlineStr"/>
      <c r="AV347" t="inlineStr"/>
      <c r="AW347" t="inlineStr"/>
      <c r="AX347" t="inlineStr"/>
      <c r="AY347" t="inlineStr"/>
      <c r="AZ347" t="inlineStr"/>
      <c r="BA347" t="inlineStr"/>
      <c r="BB347" t="inlineStr"/>
      <c r="BC347" t="inlineStr"/>
      <c r="BD347" t="inlineStr"/>
      <c r="BE347" t="inlineStr"/>
      <c r="BF347" t="inlineStr"/>
      <c r="BG347" t="inlineStr"/>
      <c r="BH347" t="inlineStr"/>
      <c r="BI347" t="inlineStr"/>
      <c r="BJ347" t="inlineStr"/>
      <c r="BK347" t="inlineStr"/>
      <c r="BL347" t="inlineStr"/>
      <c r="BM347" t="inlineStr"/>
      <c r="BN347" t="n">
        <v>0</v>
      </c>
      <c r="BO347" t="inlineStr"/>
      <c r="BP347" t="inlineStr"/>
      <c r="BQ347" t="inlineStr"/>
      <c r="BR347" t="inlineStr"/>
      <c r="BS347" t="inlineStr"/>
      <c r="BT347" t="inlineStr"/>
      <c r="BU347" t="inlineStr"/>
      <c r="BV347" t="inlineStr"/>
      <c r="BW347" t="inlineStr"/>
      <c r="BX347" t="inlineStr"/>
      <c r="BY347" t="inlineStr"/>
      <c r="BZ347" t="inlineStr"/>
      <c r="CA347" t="inlineStr"/>
      <c r="CB347" t="inlineStr"/>
      <c r="CC347" t="inlineStr"/>
      <c r="CD347" t="inlineStr"/>
      <c r="CE347" t="inlineStr"/>
      <c r="CF347" t="inlineStr"/>
      <c r="CG347" t="inlineStr"/>
      <c r="CH347" t="inlineStr"/>
      <c r="CI347" t="inlineStr"/>
      <c r="CJ347" t="inlineStr"/>
      <c r="CK347" t="inlineStr"/>
      <c r="CL347" t="inlineStr"/>
      <c r="CM347" t="inlineStr"/>
      <c r="CN347" t="inlineStr"/>
      <c r="CO347" t="inlineStr"/>
      <c r="CP347" t="inlineStr"/>
      <c r="CQ347" t="inlineStr"/>
      <c r="CR347" t="inlineStr"/>
      <c r="CS347" t="inlineStr"/>
      <c r="CT347" t="inlineStr"/>
      <c r="CU347" t="inlineStr"/>
      <c r="CV347" t="inlineStr"/>
      <c r="CW347" t="inlineStr"/>
      <c r="CX347" t="inlineStr"/>
      <c r="CY347" t="inlineStr"/>
      <c r="CZ347" t="inlineStr"/>
      <c r="DA347" t="inlineStr"/>
      <c r="DB347" t="inlineStr"/>
      <c r="DC347" t="inlineStr"/>
      <c r="DD347" t="inlineStr"/>
      <c r="DE347" t="inlineStr"/>
      <c r="DF347" t="inlineStr"/>
      <c r="DG347" t="inlineStr"/>
    </row>
    <row r="348">
      <c r="A348" t="inlineStr">
        <is>
          <t>III</t>
        </is>
      </c>
      <c r="B348" t="b">
        <v>1</v>
      </c>
      <c r="C348" t="inlineStr"/>
      <c r="D348" t="inlineStr"/>
      <c r="E348" t="n">
        <v>394</v>
      </c>
      <c r="F348">
        <f>HYPERLINK("https://portal.dnb.de/opac.htm?method=simpleSearch&amp;cqlMode=true&amp;query=idn%3D1066964017", "Portal")</f>
        <v/>
      </c>
      <c r="G348" t="inlineStr">
        <is>
          <t>Aaf</t>
        </is>
      </c>
      <c r="H348" t="inlineStr">
        <is>
          <t>L-1506-315494220</t>
        </is>
      </c>
      <c r="I348" t="inlineStr">
        <is>
          <t>1066964017</t>
        </is>
      </c>
      <c r="J348" t="inlineStr">
        <is>
          <t>III 51, 2</t>
        </is>
      </c>
      <c r="K348" t="inlineStr">
        <is>
          <t>III 51, 2</t>
        </is>
      </c>
      <c r="L348" t="inlineStr">
        <is>
          <t>III 51, 2</t>
        </is>
      </c>
      <c r="M348" t="inlineStr"/>
      <c r="N348" t="inlineStr">
        <is>
          <t xml:space="preserve">Passio domini no||stri ihesu christi.||(Tractatus beati Bernhar||di de planctu beate Marie|| virginis.||) : </t>
        </is>
      </c>
      <c r="O348" t="inlineStr">
        <is>
          <t xml:space="preserve"> : </t>
        </is>
      </c>
      <c r="P348" t="inlineStr">
        <is>
          <t>X</t>
        </is>
      </c>
      <c r="Q348" t="inlineStr"/>
      <c r="R348" t="inlineStr">
        <is>
          <t>Papier- oder Pappeinband</t>
        </is>
      </c>
      <c r="S348" t="inlineStr">
        <is>
          <t>bis 25 cm</t>
        </is>
      </c>
      <c r="T348" t="inlineStr">
        <is>
          <t>180°</t>
        </is>
      </c>
      <c r="U348" t="inlineStr"/>
      <c r="V348" t="inlineStr"/>
      <c r="W348" t="inlineStr">
        <is>
          <t>Mappe</t>
        </is>
      </c>
      <c r="X348" t="inlineStr">
        <is>
          <t>Nein</t>
        </is>
      </c>
      <c r="Y348" t="n">
        <v>3</v>
      </c>
      <c r="Z348" t="inlineStr"/>
      <c r="AA348" t="inlineStr">
        <is>
          <t>Einband und Buchblock separat</t>
        </is>
      </c>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inlineStr"/>
      <c r="BI348" t="inlineStr"/>
      <c r="BJ348" t="inlineStr"/>
      <c r="BK348" t="inlineStr"/>
      <c r="BL348" t="inlineStr"/>
      <c r="BM348" t="inlineStr"/>
      <c r="BN348" t="n">
        <v>0</v>
      </c>
      <c r="BO348" t="inlineStr"/>
      <c r="BP348" t="inlineStr"/>
      <c r="BQ348" t="inlineStr"/>
      <c r="BR348" t="inlineStr"/>
      <c r="BS348" t="inlineStr"/>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c r="CV348" t="inlineStr"/>
      <c r="CW348" t="inlineStr"/>
      <c r="CX348" t="inlineStr"/>
      <c r="CY348" t="inlineStr"/>
      <c r="CZ348" t="inlineStr"/>
      <c r="DA348" t="inlineStr"/>
      <c r="DB348" t="inlineStr"/>
      <c r="DC348" t="inlineStr"/>
      <c r="DD348" t="inlineStr"/>
      <c r="DE348" t="inlineStr"/>
      <c r="DF348" t="inlineStr"/>
      <c r="DG348" t="inlineStr"/>
    </row>
    <row r="349">
      <c r="A349" t="inlineStr">
        <is>
          <t>III</t>
        </is>
      </c>
      <c r="B349" t="b">
        <v>1</v>
      </c>
      <c r="C349" t="inlineStr"/>
      <c r="D349" t="inlineStr"/>
      <c r="E349" t="inlineStr"/>
      <c r="F349">
        <f>HYPERLINK("https://portal.dnb.de/opac.htm?method=simpleSearch&amp;cqlMode=true&amp;query=idn%3D1268645311", "Portal")</f>
        <v/>
      </c>
      <c r="G349" t="inlineStr">
        <is>
          <t>Aa</t>
        </is>
      </c>
      <c r="H349" t="inlineStr">
        <is>
          <t>L-9999-833741152</t>
        </is>
      </c>
      <c r="I349" t="inlineStr">
        <is>
          <t>1268645311</t>
        </is>
      </c>
      <c r="J349" t="inlineStr">
        <is>
          <t>III 51, 3 - Fragm.</t>
        </is>
      </c>
      <c r="K349" t="inlineStr">
        <is>
          <t>III 51, 3 - Fragm.</t>
        </is>
      </c>
      <c r="L349" t="inlineStr">
        <is>
          <t>III 51, 3 - Fragm.</t>
        </is>
      </c>
      <c r="M349" t="inlineStr"/>
      <c r="N349" t="inlineStr">
        <is>
          <t xml:space="preserve">PSAL||terium Dauidis|| cũ Hymnis.|| : </t>
        </is>
      </c>
      <c r="O349" t="inlineStr">
        <is>
          <t xml:space="preserve"> : </t>
        </is>
      </c>
      <c r="P349" t="inlineStr">
        <is>
          <t>X</t>
        </is>
      </c>
      <c r="Q349" t="inlineStr"/>
      <c r="R349" t="inlineStr">
        <is>
          <t>Halbledereinband</t>
        </is>
      </c>
      <c r="S349" t="inlineStr">
        <is>
          <t>bis 42 cm</t>
        </is>
      </c>
      <c r="T349" t="inlineStr">
        <is>
          <t>180°</t>
        </is>
      </c>
      <c r="U349" t="inlineStr">
        <is>
          <t>hohler Rücken</t>
        </is>
      </c>
      <c r="V349" t="inlineStr"/>
      <c r="W349" t="inlineStr"/>
      <c r="X349" t="inlineStr">
        <is>
          <t>Signaturfahne austauschen</t>
        </is>
      </c>
      <c r="Y349" t="n">
        <v>2</v>
      </c>
      <c r="Z349" t="inlineStr"/>
      <c r="AA349" t="inlineStr"/>
      <c r="AB349" t="inlineStr"/>
      <c r="AC349" t="inlineStr"/>
      <c r="AD349" t="inlineStr"/>
      <c r="AE349" t="inlineStr"/>
      <c r="AF349" t="inlineStr"/>
      <c r="AG349" t="inlineStr"/>
      <c r="AH349" t="inlineStr"/>
      <c r="AI349" t="inlineStr">
        <is>
          <t>HL</t>
        </is>
      </c>
      <c r="AJ349" t="inlineStr"/>
      <c r="AK349" t="inlineStr">
        <is>
          <t>x</t>
        </is>
      </c>
      <c r="AL349" t="inlineStr"/>
      <c r="AM349" t="inlineStr">
        <is>
          <t>h/E</t>
        </is>
      </c>
      <c r="AN349" t="inlineStr"/>
      <c r="AO349" t="inlineStr"/>
      <c r="AP349" t="inlineStr"/>
      <c r="AQ349" t="inlineStr"/>
      <c r="AR349" t="inlineStr"/>
      <c r="AS349" t="inlineStr">
        <is>
          <t>Pg</t>
        </is>
      </c>
      <c r="AT349" t="inlineStr">
        <is>
          <t>x</t>
        </is>
      </c>
      <c r="AU349" t="inlineStr"/>
      <c r="AV349" t="inlineStr"/>
      <c r="AW349" t="inlineStr"/>
      <c r="AX349" t="inlineStr"/>
      <c r="AY349" t="inlineStr"/>
      <c r="AZ349" t="inlineStr"/>
      <c r="BA349" t="inlineStr"/>
      <c r="BB349" t="inlineStr"/>
      <c r="BC349" t="inlineStr">
        <is>
          <t>B</t>
        </is>
      </c>
      <c r="BD349" t="inlineStr">
        <is>
          <t>x</t>
        </is>
      </c>
      <c r="BE349" t="inlineStr"/>
      <c r="BF349" t="inlineStr"/>
      <c r="BG349" t="n">
        <v>110</v>
      </c>
      <c r="BH349" t="inlineStr"/>
      <c r="BI349" t="inlineStr"/>
      <c r="BJ349" t="inlineStr"/>
      <c r="BK349" t="inlineStr"/>
      <c r="BL349" t="inlineStr"/>
      <c r="BM349" t="inlineStr">
        <is>
          <t>n</t>
        </is>
      </c>
      <c r="BN349" t="n">
        <v>0</v>
      </c>
      <c r="BO349" t="inlineStr"/>
      <c r="BP349" t="inlineStr"/>
      <c r="BQ349" t="inlineStr"/>
      <c r="BR349" t="inlineStr">
        <is>
          <t>x</t>
        </is>
      </c>
      <c r="BS349" t="inlineStr"/>
      <c r="BT349" t="inlineStr"/>
      <c r="BU349" t="inlineStr"/>
      <c r="BV349" t="inlineStr">
        <is>
          <t>Schaden ist stabil genug, Rücken hat bereits Teilhülse bekommen</t>
        </is>
      </c>
      <c r="BW349" t="inlineStr">
        <is>
          <t>x 110</t>
        </is>
      </c>
      <c r="BX349" t="inlineStr"/>
      <c r="BY349" t="inlineStr"/>
      <c r="BZ349" t="inlineStr"/>
      <c r="CA349" t="inlineStr"/>
      <c r="CB349" t="inlineStr"/>
      <c r="CC349" t="inlineStr"/>
      <c r="CD349" t="inlineStr"/>
      <c r="CE349" t="inlineStr"/>
      <c r="CF349" t="inlineStr"/>
      <c r="CG349" t="inlineStr"/>
      <c r="CH349" t="inlineStr"/>
      <c r="CI349" t="inlineStr"/>
      <c r="CJ349" t="inlineStr"/>
      <c r="CK349" t="inlineStr"/>
      <c r="CL349" t="inlineStr"/>
      <c r="CM349" t="inlineStr"/>
      <c r="CN349" t="inlineStr"/>
      <c r="CO349" t="inlineStr"/>
      <c r="CP349" t="inlineStr"/>
      <c r="CQ349" t="inlineStr"/>
      <c r="CR349" t="inlineStr"/>
      <c r="CS349" t="inlineStr"/>
      <c r="CT349" t="inlineStr"/>
      <c r="CU349" t="inlineStr"/>
      <c r="CV349" t="inlineStr"/>
      <c r="CW349" t="inlineStr"/>
      <c r="CX349" t="inlineStr"/>
      <c r="CY349" t="inlineStr"/>
      <c r="CZ349" t="inlineStr"/>
      <c r="DA349" t="inlineStr"/>
      <c r="DB349" t="inlineStr"/>
      <c r="DC349" t="inlineStr"/>
      <c r="DD349" t="inlineStr"/>
      <c r="DE349" t="inlineStr"/>
      <c r="DF349" t="inlineStr"/>
      <c r="DG349" t="inlineStr"/>
    </row>
    <row r="350">
      <c r="A350" t="inlineStr">
        <is>
          <t>III</t>
        </is>
      </c>
      <c r="B350" t="b">
        <v>1</v>
      </c>
      <c r="C350" t="inlineStr"/>
      <c r="D350" t="inlineStr"/>
      <c r="E350" t="n">
        <v>395</v>
      </c>
      <c r="F350">
        <f>HYPERLINK("https://portal.dnb.de/opac.htm?method=simpleSearch&amp;cqlMode=true&amp;query=idn%3D1066963398", "Portal")</f>
        <v/>
      </c>
      <c r="G350" t="inlineStr">
        <is>
          <t>Aaf</t>
        </is>
      </c>
      <c r="H350" t="inlineStr">
        <is>
          <t>L-1518-31549364X</t>
        </is>
      </c>
      <c r="I350" t="inlineStr">
        <is>
          <t>1066963398</t>
        </is>
      </c>
      <c r="J350" t="inlineStr">
        <is>
          <t>III 51, 4</t>
        </is>
      </c>
      <c r="K350" t="inlineStr">
        <is>
          <t>III 51, 4</t>
        </is>
      </c>
      <c r="L350" t="inlineStr">
        <is>
          <t>III 51, 4</t>
        </is>
      </c>
      <c r="M350" t="inlineStr"/>
      <c r="N350" t="inlineStr">
        <is>
          <t xml:space="preserve">PSalterium dauidis cu Hymnis : </t>
        </is>
      </c>
      <c r="O350" t="inlineStr">
        <is>
          <t xml:space="preserve"> : </t>
        </is>
      </c>
      <c r="P350" t="inlineStr"/>
      <c r="Q350" t="inlineStr"/>
      <c r="R350" t="inlineStr">
        <is>
          <t>Halbledereinband, Ungebunden, Schließen, erhabene Buchbeschläge</t>
        </is>
      </c>
      <c r="S350" t="inlineStr">
        <is>
          <t>bis 25 cm</t>
        </is>
      </c>
      <c r="T350" t="inlineStr">
        <is>
          <t>180°</t>
        </is>
      </c>
      <c r="U350" t="inlineStr"/>
      <c r="V350" t="inlineStr"/>
      <c r="W350" t="inlineStr">
        <is>
          <t>Kassette</t>
        </is>
      </c>
      <c r="X350" t="inlineStr">
        <is>
          <t>Nein</t>
        </is>
      </c>
      <c r="Y350" t="n">
        <v>3</v>
      </c>
      <c r="Z350" t="inlineStr"/>
      <c r="AA350" t="inlineStr">
        <is>
          <t>Einband und Lagen separat</t>
        </is>
      </c>
      <c r="AB350" t="inlineStr"/>
      <c r="AC350" t="inlineStr"/>
      <c r="AD350" t="inlineStr"/>
      <c r="AE350" t="inlineStr"/>
      <c r="AF350" t="inlineStr"/>
      <c r="AG350" t="inlineStr"/>
      <c r="AH350" t="inlineStr"/>
      <c r="AI350" t="inlineStr">
        <is>
          <t>oE</t>
        </is>
      </c>
      <c r="AJ350" t="inlineStr">
        <is>
          <t xml:space="preserve">
Buchblock liegt in einzelnen Lagen vor</t>
        </is>
      </c>
      <c r="AK350" t="inlineStr"/>
      <c r="AL350" t="inlineStr">
        <is>
          <t>x</t>
        </is>
      </c>
      <c r="AM350" t="inlineStr"/>
      <c r="AN350" t="inlineStr"/>
      <c r="AO350" t="inlineStr"/>
      <c r="AP350" t="inlineStr"/>
      <c r="AQ350" t="inlineStr"/>
      <c r="AR350" t="inlineStr"/>
      <c r="AS350" t="inlineStr">
        <is>
          <t>Pa</t>
        </is>
      </c>
      <c r="AT350" t="inlineStr"/>
      <c r="AU350" t="inlineStr"/>
      <c r="AV350" t="inlineStr"/>
      <c r="AW350" t="inlineStr"/>
      <c r="AX350" t="inlineStr"/>
      <c r="AY350" t="inlineStr"/>
      <c r="AZ350" t="inlineStr"/>
      <c r="BA350" t="inlineStr"/>
      <c r="BB350" t="inlineStr"/>
      <c r="BC350" t="inlineStr">
        <is>
          <t>R</t>
        </is>
      </c>
      <c r="BD350" t="inlineStr">
        <is>
          <t>x</t>
        </is>
      </c>
      <c r="BE350" t="inlineStr"/>
      <c r="BF350" t="inlineStr"/>
      <c r="BG350" t="n">
        <v>180</v>
      </c>
      <c r="BH350" t="inlineStr"/>
      <c r="BI350" t="inlineStr"/>
      <c r="BJ350" t="inlineStr"/>
      <c r="BK350" t="inlineStr"/>
      <c r="BL350" t="inlineStr"/>
      <c r="BM350" t="inlineStr">
        <is>
          <t>n</t>
        </is>
      </c>
      <c r="BN350" t="n">
        <v>0</v>
      </c>
      <c r="BO350" t="inlineStr"/>
      <c r="BP350" t="inlineStr">
        <is>
          <t>Wellpappe</t>
        </is>
      </c>
      <c r="BQ350" t="inlineStr"/>
      <c r="BR350" t="inlineStr"/>
      <c r="BS350" t="inlineStr"/>
      <c r="BT350" t="inlineStr"/>
      <c r="BU350" t="inlineStr"/>
      <c r="BV350" t="inlineStr">
        <is>
          <t>Einband und Fragmente liegen der Kassette bei</t>
        </is>
      </c>
      <c r="BW350" t="inlineStr"/>
      <c r="BX350" t="inlineStr"/>
      <c r="BY350" t="inlineStr"/>
      <c r="BZ350" t="inlineStr"/>
      <c r="CA350" t="inlineStr"/>
      <c r="CB350" t="inlineStr"/>
      <c r="CC350" t="inlineStr"/>
      <c r="CD350" t="inlineStr"/>
      <c r="CE350" t="inlineStr"/>
      <c r="CF350" t="inlineStr"/>
      <c r="CG350" t="inlineStr"/>
      <c r="CH350" t="inlineStr"/>
      <c r="CI350" t="inlineStr"/>
      <c r="CJ350" t="inlineStr"/>
      <c r="CK350" t="inlineStr"/>
      <c r="CL350" t="inlineStr"/>
      <c r="CM350" t="inlineStr"/>
      <c r="CN350" t="inlineStr"/>
      <c r="CO350" t="inlineStr"/>
      <c r="CP350" t="inlineStr"/>
      <c r="CQ350" t="inlineStr"/>
      <c r="CR350" t="inlineStr"/>
      <c r="CS350" t="inlineStr"/>
      <c r="CT350" t="inlineStr"/>
      <c r="CU350" t="inlineStr"/>
      <c r="CV350" t="inlineStr"/>
      <c r="CW350" t="inlineStr"/>
      <c r="CX350" t="inlineStr"/>
      <c r="CY350" t="inlineStr"/>
      <c r="CZ350" t="inlineStr"/>
      <c r="DA350" t="inlineStr"/>
      <c r="DB350" t="inlineStr"/>
      <c r="DC350" t="inlineStr"/>
      <c r="DD350" t="inlineStr"/>
      <c r="DE350" t="inlineStr"/>
      <c r="DF350" t="inlineStr"/>
      <c r="DG350" t="inlineStr"/>
    </row>
    <row r="351">
      <c r="A351" t="inlineStr">
        <is>
          <t>III</t>
        </is>
      </c>
      <c r="B351" t="b">
        <v>1</v>
      </c>
      <c r="C351" t="inlineStr"/>
      <c r="D351" t="inlineStr"/>
      <c r="E351" t="n">
        <v>456</v>
      </c>
      <c r="F351">
        <f>HYPERLINK("https://portal.dnb.de/opac.htm?method=simpleSearch&amp;cqlMode=true&amp;query=idn%3D1066760713", "Portal")</f>
        <v/>
      </c>
      <c r="G351" t="inlineStr">
        <is>
          <t>Aaf</t>
        </is>
      </c>
      <c r="H351" t="inlineStr">
        <is>
          <t>L-1519-315183322</t>
        </is>
      </c>
      <c r="I351" t="inlineStr">
        <is>
          <t>1066760713</t>
        </is>
      </c>
      <c r="J351" t="inlineStr">
        <is>
          <t>III 51, 4 a</t>
        </is>
      </c>
      <c r="K351" t="inlineStr">
        <is>
          <t>III 51, 4 a</t>
        </is>
      </c>
      <c r="L351" t="inlineStr">
        <is>
          <t>III 51, 4 a</t>
        </is>
      </c>
      <c r="M351" t="inlineStr"/>
      <c r="N351" t="inlineStr">
        <is>
          <t xml:space="preserve">Sermo de Pe=||nitentia P. Martini Lu=||ther Augustiniani|| Vuittenbergēsis.|| : </t>
        </is>
      </c>
      <c r="O351" t="inlineStr">
        <is>
          <t xml:space="preserve"> : </t>
        </is>
      </c>
      <c r="P351" t="inlineStr"/>
      <c r="Q351" t="inlineStr"/>
      <c r="R351" t="inlineStr">
        <is>
          <t>Papier- oder Pappeinband</t>
        </is>
      </c>
      <c r="S351" t="inlineStr">
        <is>
          <t>bis 25 cm</t>
        </is>
      </c>
      <c r="T351" t="inlineStr">
        <is>
          <t>180°</t>
        </is>
      </c>
      <c r="U351" t="inlineStr">
        <is>
          <t>fester Rücken mit Schmuckprägung</t>
        </is>
      </c>
      <c r="V351" t="inlineStr"/>
      <c r="W351" t="inlineStr">
        <is>
          <t xml:space="preserve">Papierumschlag </t>
        </is>
      </c>
      <c r="X351" t="inlineStr">
        <is>
          <t>Ja</t>
        </is>
      </c>
      <c r="Y351" t="n">
        <v>0</v>
      </c>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inlineStr"/>
      <c r="BI351" t="inlineStr"/>
      <c r="BJ351" t="inlineStr"/>
      <c r="BK351" t="inlineStr"/>
      <c r="BL351" t="inlineStr"/>
      <c r="BM351" t="inlineStr"/>
      <c r="BN351" t="n">
        <v>0</v>
      </c>
      <c r="BO351" t="inlineStr"/>
      <c r="BP351" t="inlineStr"/>
      <c r="BQ351" t="inlineStr"/>
      <c r="BR351" t="inlineStr"/>
      <c r="BS351" t="inlineStr"/>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c r="DB351" t="inlineStr"/>
      <c r="DC351" t="inlineStr"/>
      <c r="DD351" t="inlineStr"/>
      <c r="DE351" t="inlineStr"/>
      <c r="DF351" t="inlineStr"/>
      <c r="DG351" t="inlineStr"/>
    </row>
    <row r="352">
      <c r="A352" t="inlineStr">
        <is>
          <t>III</t>
        </is>
      </c>
      <c r="B352" t="b">
        <v>1</v>
      </c>
      <c r="C352" t="inlineStr"/>
      <c r="D352" t="inlineStr"/>
      <c r="E352" t="n">
        <v>397</v>
      </c>
      <c r="F352">
        <f>HYPERLINK("https://portal.dnb.de/opac.htm?method=simpleSearch&amp;cqlMode=true&amp;query=idn%3D106696422X", "Portal")</f>
        <v/>
      </c>
      <c r="G352" t="inlineStr">
        <is>
          <t>Aaf</t>
        </is>
      </c>
      <c r="H352" t="inlineStr">
        <is>
          <t>L-1501-31549445X</t>
        </is>
      </c>
      <c r="I352" t="inlineStr">
        <is>
          <t>106696422X</t>
        </is>
      </c>
      <c r="J352" t="inlineStr">
        <is>
          <t>III 51, 6</t>
        </is>
      </c>
      <c r="K352" t="inlineStr">
        <is>
          <t>III 51, 6</t>
        </is>
      </c>
      <c r="L352" t="inlineStr">
        <is>
          <t>III 51, 6</t>
        </is>
      </c>
      <c r="M352" t="inlineStr"/>
      <c r="N352" t="inlineStr">
        <is>
          <t xml:space="preserve">De laudibus sanc||ctissime matris Anne tractat|| perquam vtilis domi Johãnis|| tritemij abbatis spanhemensis|| ordinis diui patris benedicti.|| : </t>
        </is>
      </c>
      <c r="O352" t="inlineStr">
        <is>
          <t xml:space="preserve"> : </t>
        </is>
      </c>
      <c r="P352" t="inlineStr"/>
      <c r="Q352" t="inlineStr"/>
      <c r="R352" t="inlineStr"/>
      <c r="S352" t="inlineStr"/>
      <c r="T352" t="inlineStr"/>
      <c r="U352" t="inlineStr"/>
      <c r="V352" t="inlineStr"/>
      <c r="W352" t="inlineStr"/>
      <c r="X352" t="inlineStr"/>
      <c r="Y352" t="inlineStr"/>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inlineStr"/>
      <c r="BI352" t="inlineStr"/>
      <c r="BJ352" t="inlineStr"/>
      <c r="BK352" t="inlineStr"/>
      <c r="BL352" t="inlineStr"/>
      <c r="BM352" t="inlineStr"/>
      <c r="BN352" t="n">
        <v>0</v>
      </c>
      <c r="BO352" t="inlineStr"/>
      <c r="BP352" t="inlineStr"/>
      <c r="BQ352" t="inlineStr"/>
      <c r="BR352" t="inlineStr"/>
      <c r="BS352" t="inlineStr"/>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c r="DA352" t="inlineStr"/>
      <c r="DB352" t="inlineStr"/>
      <c r="DC352" t="inlineStr"/>
      <c r="DD352" t="inlineStr"/>
      <c r="DE352" t="inlineStr"/>
      <c r="DF352" t="inlineStr"/>
      <c r="DG352" t="inlineStr"/>
    </row>
    <row r="353">
      <c r="A353" t="inlineStr">
        <is>
          <t>III</t>
        </is>
      </c>
      <c r="B353" t="b">
        <v>0</v>
      </c>
      <c r="C353" t="inlineStr"/>
      <c r="D353" t="inlineStr"/>
      <c r="E353" t="n">
        <v>398</v>
      </c>
      <c r="F353">
        <f>HYPERLINK("https://portal.dnb.de/opac.htm?method=simpleSearch&amp;cqlMode=true&amp;query=idn%3D997383259", "Portal")</f>
        <v/>
      </c>
      <c r="G353" t="inlineStr"/>
      <c r="H353" t="inlineStr">
        <is>
          <t>L-1517-163740925</t>
        </is>
      </c>
      <c r="I353" t="inlineStr">
        <is>
          <t>997383259</t>
        </is>
      </c>
      <c r="J353" t="inlineStr"/>
      <c r="K353" t="inlineStr"/>
      <c r="L353" t="inlineStr">
        <is>
          <t>III 51, 7</t>
        </is>
      </c>
      <c r="M353" t="inlineStr"/>
      <c r="N353" t="inlineStr"/>
      <c r="O353" t="inlineStr"/>
      <c r="P353" t="inlineStr"/>
      <c r="Q353" t="inlineStr"/>
      <c r="R353" t="inlineStr">
        <is>
          <t>Halbledereinband</t>
        </is>
      </c>
      <c r="S353" t="inlineStr">
        <is>
          <t>bis 25 cm</t>
        </is>
      </c>
      <c r="T353" t="inlineStr">
        <is>
          <t>180°</t>
        </is>
      </c>
      <c r="U353" t="inlineStr">
        <is>
          <t>hohler Rücken</t>
        </is>
      </c>
      <c r="V353" t="inlineStr"/>
      <c r="W353" t="inlineStr"/>
      <c r="X353" t="inlineStr">
        <is>
          <t>Signaturfahne austauschen</t>
        </is>
      </c>
      <c r="Y353" t="n">
        <v>0</v>
      </c>
      <c r="Z353" t="inlineStr"/>
      <c r="AA353" t="inlineStr"/>
      <c r="AB353" t="inlineStr"/>
      <c r="AC353" t="inlineStr"/>
      <c r="AD353" t="inlineStr"/>
      <c r="AE353" t="inlineStr"/>
      <c r="AF353" t="inlineStr"/>
      <c r="AG353" t="inlineStr"/>
      <c r="AH353" t="inlineStr"/>
      <c r="AI353" t="inlineStr">
        <is>
          <t>HL</t>
        </is>
      </c>
      <c r="AJ353" t="inlineStr"/>
      <c r="AK353" t="inlineStr"/>
      <c r="AL353" t="inlineStr"/>
      <c r="AM353" t="inlineStr">
        <is>
          <t>h/E</t>
        </is>
      </c>
      <c r="AN353" t="inlineStr"/>
      <c r="AO353" t="inlineStr"/>
      <c r="AP353" t="inlineStr"/>
      <c r="AQ353" t="inlineStr"/>
      <c r="AR353" t="inlineStr"/>
      <c r="AS353" t="inlineStr">
        <is>
          <t>Pa</t>
        </is>
      </c>
      <c r="AT353" t="inlineStr"/>
      <c r="AU353" t="inlineStr"/>
      <c r="AV353" t="inlineStr"/>
      <c r="AW353" t="inlineStr"/>
      <c r="AX353" t="inlineStr"/>
      <c r="AY353" t="inlineStr"/>
      <c r="AZ353" t="inlineStr"/>
      <c r="BA353" t="inlineStr"/>
      <c r="BB353" t="inlineStr"/>
      <c r="BC353" t="inlineStr">
        <is>
          <t>R</t>
        </is>
      </c>
      <c r="BD353" t="inlineStr">
        <is>
          <t>x</t>
        </is>
      </c>
      <c r="BE353" t="inlineStr"/>
      <c r="BF353" t="inlineStr"/>
      <c r="BG353" t="n">
        <v>110</v>
      </c>
      <c r="BH353" t="inlineStr"/>
      <c r="BI353" t="inlineStr"/>
      <c r="BJ353" t="inlineStr"/>
      <c r="BK353" t="inlineStr"/>
      <c r="BL353" t="inlineStr"/>
      <c r="BM353" t="inlineStr">
        <is>
          <t>n</t>
        </is>
      </c>
      <c r="BN353" t="n">
        <v>0</v>
      </c>
      <c r="BO353" t="inlineStr"/>
      <c r="BP353" t="inlineStr"/>
      <c r="BQ353" t="inlineStr"/>
      <c r="BR353" t="inlineStr"/>
      <c r="BS353" t="inlineStr"/>
      <c r="BT353" t="inlineStr"/>
      <c r="BU353" t="inlineStr"/>
      <c r="BV353" t="inlineStr">
        <is>
          <t>Schaden stabil</t>
        </is>
      </c>
      <c r="BW353" t="inlineStr"/>
      <c r="BX353" t="inlineStr"/>
      <c r="BY353" t="inlineStr"/>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c r="DA353" t="inlineStr"/>
      <c r="DB353" t="inlineStr"/>
      <c r="DC353" t="inlineStr"/>
      <c r="DD353" t="inlineStr"/>
      <c r="DE353" t="inlineStr"/>
      <c r="DF353" t="inlineStr"/>
      <c r="DG353" t="inlineStr"/>
    </row>
    <row r="354">
      <c r="A354" t="inlineStr">
        <is>
          <t>III</t>
        </is>
      </c>
      <c r="B354" t="b">
        <v>1</v>
      </c>
      <c r="C354" t="inlineStr"/>
      <c r="D354" t="inlineStr"/>
      <c r="E354" t="n">
        <v>457</v>
      </c>
      <c r="F354">
        <f>HYPERLINK("https://portal.dnb.de/opac.htm?method=simpleSearch&amp;cqlMode=true&amp;query=idn%3D999408836", "Portal")</f>
        <v/>
      </c>
      <c r="G354" t="inlineStr">
        <is>
          <t>Aal</t>
        </is>
      </c>
      <c r="H354" t="inlineStr">
        <is>
          <t>L-1501-168303590</t>
        </is>
      </c>
      <c r="I354" t="inlineStr">
        <is>
          <t>999408836</t>
        </is>
      </c>
      <c r="J354" t="inlineStr">
        <is>
          <t>III 51, 8a</t>
        </is>
      </c>
      <c r="K354" t="inlineStr">
        <is>
          <t>III 51, 8a</t>
        </is>
      </c>
      <c r="L354" t="inlineStr">
        <is>
          <t>III 51, 8 a</t>
        </is>
      </c>
      <c r="M354" t="inlineStr"/>
      <c r="N354" t="inlineStr">
        <is>
          <t>Sermones contra omne[m]mu[n]di|| peruersum statu[m] : Quem deus|| gloriosus et equitas naturalis damnat</t>
        </is>
      </c>
      <c r="O354" t="inlineStr">
        <is>
          <t xml:space="preserve"> : </t>
        </is>
      </c>
      <c r="P354" t="inlineStr"/>
      <c r="Q354" t="inlineStr"/>
      <c r="R354" t="inlineStr"/>
      <c r="S354" t="inlineStr"/>
      <c r="T354" t="inlineStr"/>
      <c r="U354" t="inlineStr"/>
      <c r="V354" t="inlineStr"/>
      <c r="W354" t="inlineStr"/>
      <c r="X354" t="inlineStr"/>
      <c r="Y354" t="inlineStr"/>
      <c r="Z354" t="inlineStr"/>
      <c r="AA354" t="inlineStr"/>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inlineStr"/>
      <c r="BI354" t="inlineStr"/>
      <c r="BJ354" t="inlineStr"/>
      <c r="BK354" t="inlineStr"/>
      <c r="BL354" t="inlineStr"/>
      <c r="BM354" t="inlineStr"/>
      <c r="BN354" t="n">
        <v>0</v>
      </c>
      <c r="BO354" t="inlineStr"/>
      <c r="BP354" t="inlineStr"/>
      <c r="BQ354" t="inlineStr"/>
      <c r="BR354" t="inlineStr"/>
      <c r="BS354" t="inlineStr"/>
      <c r="BT354" t="inlineStr"/>
      <c r="BU354" t="inlineStr"/>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c r="DA354" t="inlineStr"/>
      <c r="DB354" t="inlineStr"/>
      <c r="DC354" t="inlineStr"/>
      <c r="DD354" t="inlineStr"/>
      <c r="DE354" t="inlineStr"/>
      <c r="DF354" t="inlineStr"/>
      <c r="DG354" t="inlineStr"/>
    </row>
    <row r="355">
      <c r="A355" t="inlineStr">
        <is>
          <t>III</t>
        </is>
      </c>
      <c r="B355" t="b">
        <v>1</v>
      </c>
      <c r="C355" t="inlineStr"/>
      <c r="D355" t="inlineStr"/>
      <c r="E355" t="n">
        <v>400</v>
      </c>
      <c r="F355">
        <f>HYPERLINK("https://portal.dnb.de/opac.htm?method=simpleSearch&amp;cqlMode=true&amp;query=idn%3D106696419X", "Portal")</f>
        <v/>
      </c>
      <c r="G355" t="inlineStr">
        <is>
          <t>Aaf</t>
        </is>
      </c>
      <c r="H355" t="inlineStr">
        <is>
          <t>L-1513-315494417</t>
        </is>
      </c>
      <c r="I355" t="inlineStr">
        <is>
          <t>106696419X</t>
        </is>
      </c>
      <c r="J355" t="inlineStr">
        <is>
          <t>III 51, 9</t>
        </is>
      </c>
      <c r="K355" t="inlineStr">
        <is>
          <t>III 51, 9</t>
        </is>
      </c>
      <c r="L355" t="inlineStr">
        <is>
          <t>III 51, 9</t>
        </is>
      </c>
      <c r="M355" t="inlineStr"/>
      <c r="N355" t="inlineStr">
        <is>
          <t xml:space="preserve">Egloge Man||tuani.|| ...|| : </t>
        </is>
      </c>
      <c r="O355" t="inlineStr">
        <is>
          <t xml:space="preserve"> : </t>
        </is>
      </c>
      <c r="P355" t="inlineStr"/>
      <c r="Q355" t="inlineStr"/>
      <c r="R355" t="inlineStr">
        <is>
          <t>Gewebeeinband, Schließen, erhabene Buchbeschläge</t>
        </is>
      </c>
      <c r="S355" t="inlineStr">
        <is>
          <t>bis 25 cm</t>
        </is>
      </c>
      <c r="T355" t="inlineStr">
        <is>
          <t>180°</t>
        </is>
      </c>
      <c r="U355" t="inlineStr">
        <is>
          <t>hohler Rücken</t>
        </is>
      </c>
      <c r="V355" t="inlineStr"/>
      <c r="W355" t="inlineStr">
        <is>
          <t>Buchschuh</t>
        </is>
      </c>
      <c r="X355" t="inlineStr">
        <is>
          <t>Nein</t>
        </is>
      </c>
      <c r="Y355" t="n">
        <v>0</v>
      </c>
      <c r="Z355" t="inlineStr"/>
      <c r="AA355" t="inlineStr"/>
      <c r="AB355" t="inlineStr"/>
      <c r="AC355" t="inlineStr"/>
      <c r="AD355" t="inlineStr"/>
      <c r="AE355" t="inlineStr"/>
      <c r="AF355" t="inlineStr"/>
      <c r="AG355" t="inlineStr"/>
      <c r="AH355" t="inlineStr"/>
      <c r="AI355" t="inlineStr"/>
      <c r="AJ355" t="inlineStr"/>
      <c r="AK355" t="inlineStr"/>
      <c r="AL355" t="inlineStr"/>
      <c r="AM355" t="inlineStr"/>
      <c r="AN355" t="inlineStr"/>
      <c r="AO355" t="inlineStr"/>
      <c r="AP355" t="inlineStr"/>
      <c r="AQ355" t="inlineStr"/>
      <c r="AR355" t="inlineStr"/>
      <c r="AS355" t="inlineStr"/>
      <c r="AT355" t="inlineStr"/>
      <c r="AU355" t="inlineStr"/>
      <c r="AV355" t="inlineStr"/>
      <c r="AW355" t="inlineStr"/>
      <c r="AX355" t="inlineStr"/>
      <c r="AY355" t="inlineStr"/>
      <c r="AZ355" t="inlineStr"/>
      <c r="BA355" t="inlineStr"/>
      <c r="BB355" t="inlineStr"/>
      <c r="BC355" t="inlineStr"/>
      <c r="BD355" t="inlineStr"/>
      <c r="BE355" t="inlineStr"/>
      <c r="BF355" t="inlineStr"/>
      <c r="BG355" t="inlineStr"/>
      <c r="BH355" t="inlineStr"/>
      <c r="BI355" t="inlineStr"/>
      <c r="BJ355" t="inlineStr"/>
      <c r="BK355" t="inlineStr"/>
      <c r="BL355" t="inlineStr"/>
      <c r="BM355" t="inlineStr"/>
      <c r="BN355" t="n">
        <v>0</v>
      </c>
      <c r="BO355" t="inlineStr"/>
      <c r="BP355" t="inlineStr"/>
      <c r="BQ355" t="inlineStr"/>
      <c r="BR355" t="inlineStr"/>
      <c r="BS355" t="inlineStr"/>
      <c r="BT355" t="inlineStr"/>
      <c r="BU355" t="inlineStr"/>
      <c r="BV355" t="inlineStr"/>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c r="CO355" t="inlineStr"/>
      <c r="CP355" t="inlineStr"/>
      <c r="CQ355" t="inlineStr"/>
      <c r="CR355" t="inlineStr"/>
      <c r="CS355" t="inlineStr"/>
      <c r="CT355" t="inlineStr"/>
      <c r="CU355" t="inlineStr"/>
      <c r="CV355" t="inlineStr"/>
      <c r="CW355" t="inlineStr"/>
      <c r="CX355" t="inlineStr"/>
      <c r="CY355" t="inlineStr"/>
      <c r="CZ355" t="inlineStr"/>
      <c r="DA355" t="inlineStr"/>
      <c r="DB355" t="inlineStr"/>
      <c r="DC355" t="inlineStr"/>
      <c r="DD355" t="inlineStr"/>
      <c r="DE355" t="inlineStr"/>
      <c r="DF355" t="inlineStr"/>
      <c r="DG355" t="inlineStr"/>
    </row>
    <row r="356">
      <c r="A356" t="inlineStr">
        <is>
          <t>III</t>
        </is>
      </c>
      <c r="B356" t="b">
        <v>1</v>
      </c>
      <c r="C356" t="inlineStr"/>
      <c r="D356" t="inlineStr"/>
      <c r="E356" t="n">
        <v>458</v>
      </c>
      <c r="F356">
        <f>HYPERLINK("https://portal.dnb.de/opac.htm?method=simpleSearch&amp;cqlMode=true&amp;query=idn%3D994182236", "Portal")</f>
        <v/>
      </c>
      <c r="G356" t="inlineStr">
        <is>
          <t>Aal</t>
        </is>
      </c>
      <c r="H356" t="inlineStr">
        <is>
          <t>L-1511-154678511</t>
        </is>
      </c>
      <c r="I356" t="inlineStr">
        <is>
          <t>994182236</t>
        </is>
      </c>
      <c r="J356" t="inlineStr">
        <is>
          <t>III 51, 9a</t>
        </is>
      </c>
      <c r="K356" t="inlineStr">
        <is>
          <t>III 51, 9a</t>
        </is>
      </c>
      <c r="L356" t="inlineStr">
        <is>
          <t>III 51, 9 a</t>
        </is>
      </c>
      <c r="M356" t="inlineStr"/>
      <c r="N356" t="inlineStr">
        <is>
          <t>Joannis Tuberini Erythropolita=||ni artiũ: et philosophie doctoris Carmen ad grauẽ: sanctu=||q? senatũ Lipsensem: de orgijs corpis Christi publici ass</t>
        </is>
      </c>
      <c r="O356" t="inlineStr">
        <is>
          <t xml:space="preserve"> : </t>
        </is>
      </c>
      <c r="P356" t="inlineStr"/>
      <c r="Q356" t="inlineStr"/>
      <c r="R356" t="inlineStr"/>
      <c r="S356" t="inlineStr"/>
      <c r="T356" t="inlineStr"/>
      <c r="U356" t="inlineStr"/>
      <c r="V356" t="inlineStr"/>
      <c r="W356" t="inlineStr"/>
      <c r="X356" t="inlineStr"/>
      <c r="Y356" t="inlineStr"/>
      <c r="Z356" t="inlineStr"/>
      <c r="AA356" t="inlineStr"/>
      <c r="AB356" t="inlineStr"/>
      <c r="AC356" t="inlineStr"/>
      <c r="AD356" t="inlineStr"/>
      <c r="AE356" t="inlineStr"/>
      <c r="AF356" t="inlineStr"/>
      <c r="AG356" t="inlineStr"/>
      <c r="AH356" t="inlineStr"/>
      <c r="AI356" t="inlineStr"/>
      <c r="AJ356" t="inlineStr"/>
      <c r="AK356" t="inlineStr"/>
      <c r="AL356" t="inlineStr"/>
      <c r="AM356" t="inlineStr"/>
      <c r="AN356" t="inlineStr"/>
      <c r="AO356" t="inlineStr"/>
      <c r="AP356" t="inlineStr"/>
      <c r="AQ356" t="inlineStr"/>
      <c r="AR356" t="inlineStr"/>
      <c r="AS356" t="inlineStr"/>
      <c r="AT356" t="inlineStr"/>
      <c r="AU356" t="inlineStr"/>
      <c r="AV356" t="inlineStr"/>
      <c r="AW356" t="inlineStr"/>
      <c r="AX356" t="inlineStr"/>
      <c r="AY356" t="inlineStr"/>
      <c r="AZ356" t="inlineStr"/>
      <c r="BA356" t="inlineStr"/>
      <c r="BB356" t="inlineStr"/>
      <c r="BC356" t="inlineStr"/>
      <c r="BD356" t="inlineStr"/>
      <c r="BE356" t="inlineStr"/>
      <c r="BF356" t="inlineStr"/>
      <c r="BG356" t="inlineStr"/>
      <c r="BH356" t="inlineStr"/>
      <c r="BI356" t="inlineStr"/>
      <c r="BJ356" t="inlineStr"/>
      <c r="BK356" t="inlineStr"/>
      <c r="BL356" t="inlineStr"/>
      <c r="BM356" t="inlineStr"/>
      <c r="BN356" t="n">
        <v>0</v>
      </c>
      <c r="BO356" t="inlineStr"/>
      <c r="BP356" t="inlineStr"/>
      <c r="BQ356" t="inlineStr"/>
      <c r="BR356" t="inlineStr"/>
      <c r="BS356" t="inlineStr"/>
      <c r="BT356" t="inlineStr"/>
      <c r="BU356" t="inlineStr"/>
      <c r="BV356" t="inlineStr"/>
      <c r="BW356" t="inlineStr"/>
      <c r="BX356" t="inlineStr"/>
      <c r="BY356" t="inlineStr"/>
      <c r="BZ356" t="inlineStr"/>
      <c r="CA356" t="inlineStr"/>
      <c r="CB356" t="inlineStr"/>
      <c r="CC356" t="inlineStr"/>
      <c r="CD356" t="inlineStr"/>
      <c r="CE356" t="inlineStr"/>
      <c r="CF356" t="inlineStr"/>
      <c r="CG356" t="inlineStr"/>
      <c r="CH356" t="inlineStr"/>
      <c r="CI356" t="inlineStr"/>
      <c r="CJ356" t="inlineStr"/>
      <c r="CK356" t="inlineStr"/>
      <c r="CL356" t="inlineStr"/>
      <c r="CM356" t="inlineStr"/>
      <c r="CN356" t="inlineStr"/>
      <c r="CO356" t="inlineStr"/>
      <c r="CP356" t="inlineStr"/>
      <c r="CQ356" t="inlineStr"/>
      <c r="CR356" t="inlineStr"/>
      <c r="CS356" t="inlineStr"/>
      <c r="CT356" t="inlineStr"/>
      <c r="CU356" t="inlineStr"/>
      <c r="CV356" t="inlineStr"/>
      <c r="CW356" t="inlineStr"/>
      <c r="CX356" t="inlineStr"/>
      <c r="CY356" t="inlineStr"/>
      <c r="CZ356" t="inlineStr"/>
      <c r="DA356" t="inlineStr"/>
      <c r="DB356" t="inlineStr"/>
      <c r="DC356" t="inlineStr"/>
      <c r="DD356" t="inlineStr"/>
      <c r="DE356" t="inlineStr"/>
      <c r="DF356" t="inlineStr"/>
      <c r="DG356" t="inlineStr"/>
    </row>
    <row r="357">
      <c r="A357" t="inlineStr">
        <is>
          <t>III</t>
        </is>
      </c>
      <c r="B357" t="b">
        <v>1</v>
      </c>
      <c r="C357" t="inlineStr"/>
      <c r="D357" t="inlineStr"/>
      <c r="E357" t="n">
        <v>459</v>
      </c>
      <c r="F357">
        <f>HYPERLINK("https://portal.dnb.de/opac.htm?method=simpleSearch&amp;cqlMode=true&amp;query=idn%3D999002953", "Portal")</f>
        <v/>
      </c>
      <c r="G357" t="inlineStr">
        <is>
          <t>Aal</t>
        </is>
      </c>
      <c r="H357" t="inlineStr">
        <is>
          <t>L-1509-167327569</t>
        </is>
      </c>
      <c r="I357" t="inlineStr">
        <is>
          <t>999002953</t>
        </is>
      </c>
      <c r="J357" t="inlineStr">
        <is>
          <t>III 51, 9 b</t>
        </is>
      </c>
      <c r="K357" t="inlineStr">
        <is>
          <t>III 51, 9 b</t>
        </is>
      </c>
      <c r="L357" t="inlineStr">
        <is>
          <t>III 51, 9 b</t>
        </is>
      </c>
      <c r="M357" t="inlineStr"/>
      <c r="N357" t="inlineStr">
        <is>
          <t xml:space="preserve">Tractatus Dominici Manci||ni de Passione domini. iam de|| nouo diligenter emendatus|| ...|| : </t>
        </is>
      </c>
      <c r="O357" t="inlineStr">
        <is>
          <t xml:space="preserve"> : </t>
        </is>
      </c>
      <c r="P357" t="inlineStr"/>
      <c r="Q357" t="inlineStr"/>
      <c r="R357" t="inlineStr"/>
      <c r="S357" t="inlineStr"/>
      <c r="T357" t="inlineStr"/>
      <c r="U357" t="inlineStr"/>
      <c r="V357" t="inlineStr"/>
      <c r="W357" t="inlineStr"/>
      <c r="X357" t="inlineStr"/>
      <c r="Y357" t="inlineStr"/>
      <c r="Z357" t="inlineStr"/>
      <c r="AA357" t="inlineStr"/>
      <c r="AB357" t="inlineStr"/>
      <c r="AC357" t="inlineStr"/>
      <c r="AD357" t="inlineStr"/>
      <c r="AE357" t="inlineStr"/>
      <c r="AF357" t="inlineStr"/>
      <c r="AG357" t="inlineStr"/>
      <c r="AH357" t="inlineStr"/>
      <c r="AI357" t="inlineStr"/>
      <c r="AJ357" t="inlineStr"/>
      <c r="AK357" t="inlineStr"/>
      <c r="AL357" t="inlineStr"/>
      <c r="AM357" t="inlineStr"/>
      <c r="AN357" t="inlineStr"/>
      <c r="AO357" t="inlineStr"/>
      <c r="AP357" t="inlineStr"/>
      <c r="AQ357" t="inlineStr"/>
      <c r="AR357" t="inlineStr"/>
      <c r="AS357" t="inlineStr"/>
      <c r="AT357" t="inlineStr"/>
      <c r="AU357" t="inlineStr"/>
      <c r="AV357" t="inlineStr"/>
      <c r="AW357" t="inlineStr"/>
      <c r="AX357" t="inlineStr"/>
      <c r="AY357" t="inlineStr"/>
      <c r="AZ357" t="inlineStr"/>
      <c r="BA357" t="inlineStr"/>
      <c r="BB357" t="inlineStr"/>
      <c r="BC357" t="inlineStr"/>
      <c r="BD357" t="inlineStr"/>
      <c r="BE357" t="inlineStr"/>
      <c r="BF357" t="inlineStr"/>
      <c r="BG357" t="inlineStr"/>
      <c r="BH357" t="inlineStr"/>
      <c r="BI357" t="inlineStr"/>
      <c r="BJ357" t="inlineStr"/>
      <c r="BK357" t="inlineStr"/>
      <c r="BL357" t="inlineStr"/>
      <c r="BM357" t="inlineStr"/>
      <c r="BN357" t="n">
        <v>0</v>
      </c>
      <c r="BO357" t="inlineStr"/>
      <c r="BP357" t="inlineStr"/>
      <c r="BQ357" t="inlineStr"/>
      <c r="BR357" t="inlineStr"/>
      <c r="BS357" t="inlineStr"/>
      <c r="BT357" t="inlineStr"/>
      <c r="BU357" t="inlineStr"/>
      <c r="BV357" t="inlineStr"/>
      <c r="BW357" t="inlineStr"/>
      <c r="BX357" t="inlineStr"/>
      <c r="BY357" t="inlineStr"/>
      <c r="BZ357" t="inlineStr"/>
      <c r="CA357" t="inlineStr"/>
      <c r="CB357" t="inlineStr"/>
      <c r="CC357" t="inlineStr"/>
      <c r="CD357" t="inlineStr"/>
      <c r="CE357" t="inlineStr"/>
      <c r="CF357" t="inlineStr"/>
      <c r="CG357" t="inlineStr"/>
      <c r="CH357" t="inlineStr"/>
      <c r="CI357" t="inlineStr"/>
      <c r="CJ357" t="inlineStr"/>
      <c r="CK357" t="inlineStr"/>
      <c r="CL357" t="inlineStr"/>
      <c r="CM357" t="inlineStr"/>
      <c r="CN357" t="inlineStr"/>
      <c r="CO357" t="inlineStr"/>
      <c r="CP357" t="inlineStr"/>
      <c r="CQ357" t="inlineStr"/>
      <c r="CR357" t="inlineStr"/>
      <c r="CS357" t="inlineStr"/>
      <c r="CT357" t="inlineStr"/>
      <c r="CU357" t="inlineStr"/>
      <c r="CV357" t="inlineStr"/>
      <c r="CW357" t="inlineStr"/>
      <c r="CX357" t="inlineStr"/>
      <c r="CY357" t="inlineStr"/>
      <c r="CZ357" t="inlineStr"/>
      <c r="DA357" t="inlineStr"/>
      <c r="DB357" t="inlineStr"/>
      <c r="DC357" t="inlineStr"/>
      <c r="DD357" t="inlineStr"/>
      <c r="DE357" t="inlineStr"/>
      <c r="DF357" t="inlineStr"/>
      <c r="DG357" t="inlineStr"/>
    </row>
    <row r="358">
      <c r="A358" t="inlineStr">
        <is>
          <t>III</t>
        </is>
      </c>
      <c r="B358" t="b">
        <v>1</v>
      </c>
      <c r="C358" t="inlineStr"/>
      <c r="D358" t="inlineStr"/>
      <c r="E358" t="n">
        <v>401</v>
      </c>
      <c r="F358">
        <f>HYPERLINK("https://portal.dnb.de/opac.htm?method=simpleSearch&amp;cqlMode=true&amp;query=idn%3D106696436X", "Portal")</f>
        <v/>
      </c>
      <c r="G358" t="inlineStr">
        <is>
          <t>Aaf</t>
        </is>
      </c>
      <c r="H358" t="inlineStr">
        <is>
          <t>L-1515-31549459X</t>
        </is>
      </c>
      <c r="I358" t="inlineStr">
        <is>
          <t>106696436X</t>
        </is>
      </c>
      <c r="J358" t="inlineStr">
        <is>
          <t>III 51, 10</t>
        </is>
      </c>
      <c r="K358" t="inlineStr">
        <is>
          <t>III 51, 10</t>
        </is>
      </c>
      <c r="L358" t="inlineStr">
        <is>
          <t>III 51, 10</t>
        </is>
      </c>
      <c r="M358" t="inlineStr"/>
      <c r="N358" t="inlineStr">
        <is>
          <t xml:space="preserve">Epistole Pauli.|| Beati Pauli Tarsensis/ Ap#[l]?i Jesu Christi|| gentiu Doctoris/ Epistole quatuordecim:|| nouem gentiu ecclesias :ecclesie platos et </t>
        </is>
      </c>
      <c r="O358" t="inlineStr">
        <is>
          <t xml:space="preserve"> : </t>
        </is>
      </c>
      <c r="P358" t="inlineStr">
        <is>
          <t>X</t>
        </is>
      </c>
      <c r="Q358" t="inlineStr"/>
      <c r="R358" t="inlineStr">
        <is>
          <t>Halbledereinband, Schließen, erhabene Buchbeschläge</t>
        </is>
      </c>
      <c r="S358" t="inlineStr">
        <is>
          <t>bis 35 cm</t>
        </is>
      </c>
      <c r="T358" t="inlineStr">
        <is>
          <t>180°</t>
        </is>
      </c>
      <c r="U358" t="inlineStr">
        <is>
          <t>Schrift bis in den Falz, fester Rücken mit Schmuckprägung, stark brüchiges Einbandmaterial</t>
        </is>
      </c>
      <c r="V358" t="inlineStr"/>
      <c r="W358" t="inlineStr">
        <is>
          <t>Kassette</t>
        </is>
      </c>
      <c r="X358" t="inlineStr">
        <is>
          <t>Nein</t>
        </is>
      </c>
      <c r="Y358" t="n">
        <v>3</v>
      </c>
      <c r="Z358" t="inlineStr"/>
      <c r="AA358" t="inlineStr"/>
      <c r="AB358" t="inlineStr"/>
      <c r="AC358" t="inlineStr"/>
      <c r="AD358" t="inlineStr"/>
      <c r="AE358" t="inlineStr"/>
      <c r="AF358" t="inlineStr"/>
      <c r="AG358" t="inlineStr"/>
      <c r="AH358" t="inlineStr"/>
      <c r="AI358" t="inlineStr"/>
      <c r="AJ358" t="inlineStr"/>
      <c r="AK358" t="inlineStr"/>
      <c r="AL358" t="inlineStr"/>
      <c r="AM358" t="inlineStr"/>
      <c r="AN358" t="inlineStr"/>
      <c r="AO358" t="inlineStr"/>
      <c r="AP358" t="inlineStr"/>
      <c r="AQ358" t="inlineStr"/>
      <c r="AR358" t="inlineStr"/>
      <c r="AS358" t="inlineStr"/>
      <c r="AT358" t="inlineStr"/>
      <c r="AU358" t="inlineStr"/>
      <c r="AV358" t="inlineStr"/>
      <c r="AW358" t="inlineStr"/>
      <c r="AX358" t="inlineStr"/>
      <c r="AY358" t="inlineStr"/>
      <c r="AZ358" t="inlineStr"/>
      <c r="BA358" t="inlineStr"/>
      <c r="BB358" t="inlineStr"/>
      <c r="BC358" t="inlineStr"/>
      <c r="BD358" t="inlineStr"/>
      <c r="BE358" t="inlineStr"/>
      <c r="BF358" t="inlineStr"/>
      <c r="BG358" t="inlineStr"/>
      <c r="BH358" t="inlineStr"/>
      <c r="BI358" t="inlineStr"/>
      <c r="BJ358" t="inlineStr"/>
      <c r="BK358" t="inlineStr"/>
      <c r="BL358" t="inlineStr"/>
      <c r="BM358" t="inlineStr"/>
      <c r="BN358" t="n">
        <v>0</v>
      </c>
      <c r="BO358" t="inlineStr"/>
      <c r="BP358" t="inlineStr"/>
      <c r="BQ358" t="inlineStr"/>
      <c r="BR358" t="inlineStr"/>
      <c r="BS358" t="inlineStr"/>
      <c r="BT358" t="inlineStr"/>
      <c r="BU358" t="inlineStr"/>
      <c r="BV358" t="inlineStr"/>
      <c r="BW358" t="inlineStr"/>
      <c r="BX358" t="inlineStr"/>
      <c r="BY358" t="inlineStr"/>
      <c r="BZ358" t="inlineStr"/>
      <c r="CA358" t="inlineStr"/>
      <c r="CB358" t="inlineStr"/>
      <c r="CC358" t="inlineStr"/>
      <c r="CD358" t="inlineStr"/>
      <c r="CE358" t="inlineStr"/>
      <c r="CF358" t="inlineStr"/>
      <c r="CG358" t="inlineStr"/>
      <c r="CH358" t="inlineStr"/>
      <c r="CI358" t="inlineStr"/>
      <c r="CJ358" t="inlineStr"/>
      <c r="CK358" t="inlineStr"/>
      <c r="CL358" t="inlineStr"/>
      <c r="CM358" t="inlineStr"/>
      <c r="CN358" t="inlineStr"/>
      <c r="CO358" t="inlineStr"/>
      <c r="CP358" t="inlineStr"/>
      <c r="CQ358" t="inlineStr"/>
      <c r="CR358" t="inlineStr"/>
      <c r="CS358" t="inlineStr"/>
      <c r="CT358" t="inlineStr"/>
      <c r="CU358" t="inlineStr"/>
      <c r="CV358" t="inlineStr"/>
      <c r="CW358" t="inlineStr"/>
      <c r="CX358" t="inlineStr"/>
      <c r="CY358" t="inlineStr"/>
      <c r="CZ358" t="inlineStr"/>
      <c r="DA358" t="inlineStr"/>
      <c r="DB358" t="inlineStr"/>
      <c r="DC358" t="inlineStr"/>
      <c r="DD358" t="inlineStr"/>
      <c r="DE358" t="inlineStr"/>
      <c r="DF358" t="inlineStr"/>
      <c r="DG358" t="inlineStr"/>
    </row>
    <row r="359">
      <c r="A359" t="inlineStr">
        <is>
          <t>III</t>
        </is>
      </c>
      <c r="B359" t="b">
        <v>1</v>
      </c>
      <c r="C359" t="inlineStr"/>
      <c r="D359" t="inlineStr"/>
      <c r="E359" t="n">
        <v>402</v>
      </c>
      <c r="F359">
        <f>HYPERLINK("https://portal.dnb.de/opac.htm?method=simpleSearch&amp;cqlMode=true&amp;query=idn%3D1066964246", "Portal")</f>
        <v/>
      </c>
      <c r="G359" t="inlineStr">
        <is>
          <t>Aaf</t>
        </is>
      </c>
      <c r="H359" t="inlineStr">
        <is>
          <t>L-1516-315494476</t>
        </is>
      </c>
      <c r="I359" t="inlineStr">
        <is>
          <t>1066964246</t>
        </is>
      </c>
      <c r="J359" t="inlineStr">
        <is>
          <t>III 51, 11</t>
        </is>
      </c>
      <c r="K359" t="inlineStr">
        <is>
          <t>III 51, 11</t>
        </is>
      </c>
      <c r="L359" t="inlineStr">
        <is>
          <t>III 51, 11</t>
        </is>
      </c>
      <c r="M359" t="inlineStr"/>
      <c r="N359" t="inlineStr">
        <is>
          <t>Valelogium|| Pro valete quod inscribi#[tur] : Octogin/||ta Jsocratis: Regalia: moralia: ~pcepta cõplectitur: que|| ad laudem dei/ et singular? oim vtr</t>
        </is>
      </c>
      <c r="O359" t="inlineStr">
        <is>
          <t xml:space="preserve"> : </t>
        </is>
      </c>
      <c r="P359" t="inlineStr"/>
      <c r="Q359" t="inlineStr"/>
      <c r="R359" t="inlineStr"/>
      <c r="S359" t="inlineStr">
        <is>
          <t>bis 25 cm</t>
        </is>
      </c>
      <c r="T359" t="inlineStr"/>
      <c r="U359" t="inlineStr"/>
      <c r="V359" t="inlineStr"/>
      <c r="W359" t="inlineStr"/>
      <c r="X359" t="inlineStr"/>
      <c r="Y359" t="inlineStr"/>
      <c r="Z359" t="inlineStr"/>
      <c r="AA359" t="inlineStr"/>
      <c r="AB359" t="inlineStr"/>
      <c r="AC359" t="inlineStr"/>
      <c r="AD359" t="inlineStr"/>
      <c r="AE359" t="inlineStr"/>
      <c r="AF359" t="inlineStr"/>
      <c r="AG359" t="inlineStr"/>
      <c r="AH359" t="inlineStr"/>
      <c r="AI359" t="inlineStr">
        <is>
          <t>oE</t>
        </is>
      </c>
      <c r="AJ359" t="inlineStr"/>
      <c r="AK359" t="inlineStr"/>
      <c r="AL359" t="inlineStr">
        <is>
          <t>x</t>
        </is>
      </c>
      <c r="AM359" t="inlineStr"/>
      <c r="AN359" t="inlineStr"/>
      <c r="AO359" t="inlineStr"/>
      <c r="AP359" t="inlineStr"/>
      <c r="AQ359" t="inlineStr"/>
      <c r="AR359" t="inlineStr"/>
      <c r="AS359" t="inlineStr">
        <is>
          <t>Pa</t>
        </is>
      </c>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is>
          <t>nur 110</t>
        </is>
      </c>
      <c r="BH359" t="inlineStr"/>
      <c r="BI359" t="inlineStr"/>
      <c r="BJ359" t="inlineStr"/>
      <c r="BK359" t="inlineStr"/>
      <c r="BL359" t="inlineStr"/>
      <c r="BM359" t="inlineStr">
        <is>
          <t>n</t>
        </is>
      </c>
      <c r="BN359" t="n">
        <v>0</v>
      </c>
      <c r="BO359" t="inlineStr"/>
      <c r="BP359" t="inlineStr">
        <is>
          <t>Wellpappe</t>
        </is>
      </c>
      <c r="BQ359" t="inlineStr"/>
      <c r="BR359" t="inlineStr"/>
      <c r="BS359" t="inlineStr"/>
      <c r="BT359" t="inlineStr"/>
      <c r="BU359" t="inlineStr"/>
      <c r="BV359" t="inlineStr">
        <is>
          <t>Einbandfragmente in der Kassette beiliegend</t>
        </is>
      </c>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c r="DB359" t="inlineStr"/>
      <c r="DC359" t="inlineStr"/>
      <c r="DD359" t="inlineStr"/>
      <c r="DE359" t="inlineStr"/>
      <c r="DF359" t="inlineStr"/>
      <c r="DG359" t="inlineStr"/>
    </row>
    <row r="360">
      <c r="A360" t="inlineStr">
        <is>
          <t>III</t>
        </is>
      </c>
      <c r="B360" t="b">
        <v>1</v>
      </c>
      <c r="C360" t="inlineStr"/>
      <c r="D360" t="inlineStr"/>
      <c r="E360" t="n">
        <v>428</v>
      </c>
      <c r="F360">
        <f>HYPERLINK("https://portal.dnb.de/opac.htm?method=simpleSearch&amp;cqlMode=true&amp;query=idn%3D106667051X", "Portal")</f>
        <v/>
      </c>
      <c r="G360" t="inlineStr">
        <is>
          <t>Aaf</t>
        </is>
      </c>
      <c r="H360" t="inlineStr">
        <is>
          <t>L-1519-315059117</t>
        </is>
      </c>
      <c r="I360" t="inlineStr">
        <is>
          <t>106667051X</t>
        </is>
      </c>
      <c r="J360" t="inlineStr">
        <is>
          <t>III 51, 12 a</t>
        </is>
      </c>
      <c r="K360" t="inlineStr">
        <is>
          <t>III 51, 12 a</t>
        </is>
      </c>
      <c r="L360" t="inlineStr">
        <is>
          <t>III 51, 12 a</t>
        </is>
      </c>
      <c r="M360" t="inlineStr"/>
      <c r="N360" t="inlineStr">
        <is>
          <t xml:space="preserve">Excusatio Eckij ad ea que falso sibi|| Philippus Melanchton grãma||ticus Vuittenburgeñ. super|| Theologica disputatio||ne Lipsica adscripsit|| : </t>
        </is>
      </c>
      <c r="O360" t="inlineStr">
        <is>
          <t xml:space="preserve"> : </t>
        </is>
      </c>
      <c r="P360" t="inlineStr"/>
      <c r="Q360" t="inlineStr"/>
      <c r="R360" t="inlineStr"/>
      <c r="S360" t="inlineStr">
        <is>
          <t>bis 25 cm</t>
        </is>
      </c>
      <c r="T360" t="inlineStr"/>
      <c r="U360" t="inlineStr"/>
      <c r="V360" t="inlineStr"/>
      <c r="W360" t="inlineStr"/>
      <c r="X360" t="inlineStr"/>
      <c r="Y360" t="inlineStr"/>
      <c r="Z360" t="inlineStr"/>
      <c r="AA360" t="inlineStr"/>
      <c r="AB360" t="inlineStr"/>
      <c r="AC360" t="inlineStr"/>
      <c r="AD360" t="inlineStr"/>
      <c r="AE360" t="inlineStr"/>
      <c r="AF360" t="inlineStr"/>
      <c r="AG360" t="inlineStr"/>
      <c r="AH360" t="inlineStr"/>
      <c r="AI360" t="inlineStr">
        <is>
          <t>Br</t>
        </is>
      </c>
      <c r="AJ360" t="inlineStr"/>
      <c r="AK360" t="inlineStr"/>
      <c r="AL360" t="inlineStr"/>
      <c r="AM360" t="inlineStr">
        <is>
          <t>f</t>
        </is>
      </c>
      <c r="AN360" t="inlineStr"/>
      <c r="AO360" t="inlineStr"/>
      <c r="AP360" t="inlineStr"/>
      <c r="AQ360" t="inlineStr"/>
      <c r="AR360" t="inlineStr"/>
      <c r="AS360" t="inlineStr">
        <is>
          <t>Pa</t>
        </is>
      </c>
      <c r="AT360" t="inlineStr"/>
      <c r="AU360" t="inlineStr"/>
      <c r="AV360" t="inlineStr"/>
      <c r="AW360" t="inlineStr"/>
      <c r="AX360" t="inlineStr"/>
      <c r="AY360" t="inlineStr"/>
      <c r="AZ360" t="inlineStr"/>
      <c r="BA360" t="inlineStr"/>
      <c r="BB360" t="inlineStr"/>
      <c r="BC360" t="inlineStr"/>
      <c r="BD360" t="inlineStr"/>
      <c r="BE360" t="inlineStr"/>
      <c r="BF360" t="inlineStr"/>
      <c r="BG360" t="n">
        <v>180</v>
      </c>
      <c r="BH360" t="inlineStr"/>
      <c r="BI360" t="inlineStr"/>
      <c r="BJ360" t="inlineStr"/>
      <c r="BK360" t="inlineStr"/>
      <c r="BL360" t="inlineStr"/>
      <c r="BM360" t="inlineStr">
        <is>
          <t>n</t>
        </is>
      </c>
      <c r="BN360" t="n">
        <v>0</v>
      </c>
      <c r="BO360" t="inlineStr"/>
      <c r="BP360" t="inlineStr"/>
      <c r="BQ360" t="inlineStr"/>
      <c r="BR360" t="inlineStr"/>
      <c r="BS360" t="inlineStr">
        <is>
          <t>x</t>
        </is>
      </c>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c r="DA360" t="inlineStr"/>
      <c r="DB360" t="inlineStr"/>
      <c r="DC360" t="inlineStr"/>
      <c r="DD360" t="inlineStr"/>
      <c r="DE360" t="inlineStr"/>
      <c r="DF360" t="inlineStr"/>
      <c r="DG360" t="inlineStr"/>
    </row>
    <row r="361">
      <c r="A361" t="inlineStr">
        <is>
          <t>III</t>
        </is>
      </c>
      <c r="B361" t="b">
        <v>1</v>
      </c>
      <c r="C361" t="inlineStr"/>
      <c r="D361" t="inlineStr"/>
      <c r="E361" t="n">
        <v>404</v>
      </c>
      <c r="F361">
        <f>HYPERLINK("https://portal.dnb.de/opac.htm?method=simpleSearch&amp;cqlMode=true&amp;query=idn%3D106693827X", "Portal")</f>
        <v/>
      </c>
      <c r="G361" t="inlineStr">
        <is>
          <t>Aaf</t>
        </is>
      </c>
      <c r="H361" t="inlineStr">
        <is>
          <t>L-1520-315466057</t>
        </is>
      </c>
      <c r="I361" t="inlineStr">
        <is>
          <t>106693827X</t>
        </is>
      </c>
      <c r="J361" t="inlineStr">
        <is>
          <t>III 51, 13</t>
        </is>
      </c>
      <c r="K361" t="inlineStr">
        <is>
          <t>III 51, 13</t>
        </is>
      </c>
      <c r="L361" t="inlineStr">
        <is>
          <t>III 51, 13</t>
        </is>
      </c>
      <c r="M361" t="inlineStr"/>
      <c r="N361" t="inlineStr">
        <is>
          <t xml:space="preserve">[Ein @Sermon von dem heiligen hoch=||wirdigen Sacrament der Tauffe doc||toris Martini Luther Augustiner.||] : </t>
        </is>
      </c>
      <c r="O361" t="inlineStr">
        <is>
          <t xml:space="preserve"> : </t>
        </is>
      </c>
      <c r="P361" t="inlineStr">
        <is>
          <t>X</t>
        </is>
      </c>
      <c r="Q361" t="inlineStr"/>
      <c r="R361" t="inlineStr">
        <is>
          <t>Pergamentband, Schließen, erhabene Buchbeschläge</t>
        </is>
      </c>
      <c r="S361" t="inlineStr">
        <is>
          <t>bis 25 cm</t>
        </is>
      </c>
      <c r="T361" t="inlineStr">
        <is>
          <t>180°</t>
        </is>
      </c>
      <c r="U361" t="inlineStr"/>
      <c r="V361" t="inlineStr"/>
      <c r="W361" t="inlineStr">
        <is>
          <t>Archivkarton</t>
        </is>
      </c>
      <c r="X361" t="inlineStr">
        <is>
          <t>Nein</t>
        </is>
      </c>
      <c r="Y361" t="n">
        <v>3</v>
      </c>
      <c r="Z361" t="inlineStr"/>
      <c r="AA361" t="inlineStr">
        <is>
          <t>Block und Einband zusammenfügen</t>
        </is>
      </c>
      <c r="AB361" t="inlineStr"/>
      <c r="AC361" t="inlineStr"/>
      <c r="AD361" t="inlineStr"/>
      <c r="AE361" t="inlineStr"/>
      <c r="AF361" t="inlineStr"/>
      <c r="AG361" t="inlineStr"/>
      <c r="AH361" t="inlineStr"/>
      <c r="AI361" t="inlineStr">
        <is>
          <t>oE</t>
        </is>
      </c>
      <c r="AJ361" t="inlineStr">
        <is>
          <t xml:space="preserve">
Einband liegt der Mappe bei</t>
        </is>
      </c>
      <c r="AK361" t="inlineStr"/>
      <c r="AL361" t="inlineStr">
        <is>
          <t>x</t>
        </is>
      </c>
      <c r="AM361" t="inlineStr"/>
      <c r="AN361" t="inlineStr"/>
      <c r="AO361" t="inlineStr"/>
      <c r="AP361" t="inlineStr"/>
      <c r="AQ361" t="inlineStr"/>
      <c r="AR361" t="inlineStr"/>
      <c r="AS361" t="inlineStr">
        <is>
          <t>Pa</t>
        </is>
      </c>
      <c r="AT361" t="inlineStr"/>
      <c r="AU361" t="inlineStr"/>
      <c r="AV361" t="inlineStr"/>
      <c r="AW361" t="inlineStr"/>
      <c r="AX361" t="inlineStr"/>
      <c r="AY361" t="inlineStr"/>
      <c r="AZ361" t="inlineStr"/>
      <c r="BA361" t="inlineStr"/>
      <c r="BB361" t="inlineStr"/>
      <c r="BC361" t="inlineStr"/>
      <c r="BD361" t="inlineStr"/>
      <c r="BE361" t="inlineStr"/>
      <c r="BF361" t="inlineStr"/>
      <c r="BG361" t="n">
        <v>180</v>
      </c>
      <c r="BH361" t="inlineStr"/>
      <c r="BI361" t="inlineStr"/>
      <c r="BJ361" t="inlineStr"/>
      <c r="BK361" t="inlineStr"/>
      <c r="BL361" t="inlineStr"/>
      <c r="BM361" t="inlineStr">
        <is>
          <t>n</t>
        </is>
      </c>
      <c r="BN361" t="n">
        <v>0</v>
      </c>
      <c r="BO361" t="inlineStr"/>
      <c r="BP361" t="inlineStr"/>
      <c r="BQ361" t="inlineStr"/>
      <c r="BR361" t="inlineStr"/>
      <c r="BS361" t="inlineStr">
        <is>
          <t>x</t>
        </is>
      </c>
      <c r="BT361" t="inlineStr"/>
      <c r="BU361" t="inlineStr"/>
      <c r="BV361" t="inlineStr">
        <is>
          <t>Einband liegt der Mappe bei</t>
        </is>
      </c>
      <c r="BW361" t="inlineStr"/>
      <c r="BX361" t="inlineStr"/>
      <c r="BY361" t="inlineStr"/>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c r="CZ361" t="inlineStr"/>
      <c r="DA361" t="inlineStr"/>
      <c r="DB361" t="inlineStr"/>
      <c r="DC361" t="inlineStr"/>
      <c r="DD361" t="inlineStr"/>
      <c r="DE361" t="inlineStr"/>
      <c r="DF361" t="inlineStr"/>
      <c r="DG361" t="inlineStr"/>
    </row>
    <row r="362">
      <c r="A362" t="inlineStr">
        <is>
          <t>III</t>
        </is>
      </c>
      <c r="B362" t="b">
        <v>1</v>
      </c>
      <c r="C362" t="inlineStr"/>
      <c r="D362" t="inlineStr"/>
      <c r="E362" t="n">
        <v>429</v>
      </c>
      <c r="F362">
        <f>HYPERLINK("https://portal.dnb.de/opac.htm?method=simpleSearch&amp;cqlMode=true&amp;query=idn%3D1001772008", "Portal")</f>
        <v/>
      </c>
      <c r="G362" t="inlineStr">
        <is>
          <t>Aal</t>
        </is>
      </c>
      <c r="H362" t="inlineStr">
        <is>
          <t>L-1520-175548323</t>
        </is>
      </c>
      <c r="I362" t="inlineStr">
        <is>
          <t>1001772008</t>
        </is>
      </c>
      <c r="J362" t="inlineStr">
        <is>
          <t>III 51, 13a</t>
        </is>
      </c>
      <c r="K362" t="inlineStr">
        <is>
          <t>III 51, 13a</t>
        </is>
      </c>
      <c r="L362" t="inlineStr">
        <is>
          <t>III 51, 13 a</t>
        </is>
      </c>
      <c r="M362" t="inlineStr"/>
      <c r="N362" t="inlineStr">
        <is>
          <t>Schutzrede vnd Christliche|| antwort : eins Erbarn lib ha||bers götlicher warheyt|| der heyligē geschrift|| auff|| etlicher widersprechen mit antzeygu</t>
        </is>
      </c>
      <c r="O362" t="inlineStr">
        <is>
          <t xml:space="preserve"> : </t>
        </is>
      </c>
      <c r="P362" t="inlineStr"/>
      <c r="Q362" t="inlineStr"/>
      <c r="R362" t="inlineStr"/>
      <c r="S362" t="inlineStr">
        <is>
          <t>bis 25 cm</t>
        </is>
      </c>
      <c r="T362" t="inlineStr"/>
      <c r="U362" t="inlineStr"/>
      <c r="V362" t="inlineStr"/>
      <c r="W362" t="inlineStr"/>
      <c r="X362" t="inlineStr"/>
      <c r="Y362" t="inlineStr"/>
      <c r="Z362" t="inlineStr"/>
      <c r="AA362" t="inlineStr"/>
      <c r="AB362" t="inlineStr"/>
      <c r="AC362" t="inlineStr"/>
      <c r="AD362" t="inlineStr"/>
      <c r="AE362" t="inlineStr"/>
      <c r="AF362" t="inlineStr"/>
      <c r="AG362" t="inlineStr"/>
      <c r="AH362" t="inlineStr"/>
      <c r="AI362" t="inlineStr">
        <is>
          <t>oE</t>
        </is>
      </c>
      <c r="AJ362" t="inlineStr"/>
      <c r="AK362" t="inlineStr"/>
      <c r="AL362" t="inlineStr"/>
      <c r="AM362" t="inlineStr"/>
      <c r="AN362" t="inlineStr"/>
      <c r="AO362" t="inlineStr"/>
      <c r="AP362" t="inlineStr"/>
      <c r="AQ362" t="inlineStr"/>
      <c r="AR362" t="inlineStr"/>
      <c r="AS362" t="inlineStr">
        <is>
          <t>Pa</t>
        </is>
      </c>
      <c r="AT362" t="inlineStr"/>
      <c r="AU362" t="inlineStr"/>
      <c r="AV362" t="inlineStr"/>
      <c r="AW362" t="inlineStr"/>
      <c r="AX362" t="inlineStr"/>
      <c r="AY362" t="inlineStr"/>
      <c r="AZ362" t="inlineStr"/>
      <c r="BA362" t="inlineStr"/>
      <c r="BB362" t="inlineStr"/>
      <c r="BC362" t="inlineStr"/>
      <c r="BD362" t="inlineStr"/>
      <c r="BE362" t="inlineStr"/>
      <c r="BF362" t="inlineStr"/>
      <c r="BG362" t="inlineStr">
        <is>
          <t>nur 110</t>
        </is>
      </c>
      <c r="BH362" t="inlineStr"/>
      <c r="BI362" t="inlineStr"/>
      <c r="BJ362" t="inlineStr"/>
      <c r="BK362" t="inlineStr"/>
      <c r="BL362" t="inlineStr"/>
      <c r="BM362" t="inlineStr">
        <is>
          <t>n</t>
        </is>
      </c>
      <c r="BN362" t="n">
        <v>0</v>
      </c>
      <c r="BO362" t="inlineStr"/>
      <c r="BP362" t="inlineStr"/>
      <c r="BQ362" t="inlineStr"/>
      <c r="BR362" t="inlineStr"/>
      <c r="BS362" t="inlineStr">
        <is>
          <t>x</t>
        </is>
      </c>
      <c r="BT362" t="inlineStr"/>
      <c r="BU362" t="inlineStr"/>
      <c r="BV362" t="inlineStr"/>
      <c r="BW362" t="inlineStr"/>
      <c r="BX362" t="inlineStr"/>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c r="DA362" t="inlineStr"/>
      <c r="DB362" t="inlineStr"/>
      <c r="DC362" t="inlineStr"/>
      <c r="DD362" t="inlineStr"/>
      <c r="DE362" t="inlineStr"/>
      <c r="DF362" t="inlineStr"/>
      <c r="DG362" t="inlineStr"/>
    </row>
    <row r="363">
      <c r="A363" t="inlineStr">
        <is>
          <t>III</t>
        </is>
      </c>
      <c r="B363" t="b">
        <v>1</v>
      </c>
      <c r="C363" t="inlineStr"/>
      <c r="D363" t="inlineStr"/>
      <c r="E363" t="n">
        <v>405</v>
      </c>
      <c r="F363">
        <f>HYPERLINK("https://portal.dnb.de/opac.htm?method=simpleSearch&amp;cqlMode=true&amp;query=idn%3D1066960321", "Portal")</f>
        <v/>
      </c>
      <c r="G363" t="inlineStr">
        <is>
          <t>Aaf</t>
        </is>
      </c>
      <c r="H363" t="inlineStr">
        <is>
          <t>L-1522-315490810</t>
        </is>
      </c>
      <c r="I363" t="inlineStr">
        <is>
          <t>1066960321</t>
        </is>
      </c>
      <c r="J363" t="inlineStr">
        <is>
          <t>III 51, 14</t>
        </is>
      </c>
      <c r="K363" t="inlineStr">
        <is>
          <t>III 51, 14</t>
        </is>
      </c>
      <c r="L363" t="inlineStr">
        <is>
          <t>III 51, 14</t>
        </is>
      </c>
      <c r="M363" t="inlineStr"/>
      <c r="N363" t="inlineStr">
        <is>
          <t xml:space="preserve">New ordenung der|| betthler halben/ Jn der stadt|| Nurmberg/ hoch vń|| n#[oe]tthen beschehen|| Jm. 1522.|| : </t>
        </is>
      </c>
      <c r="O363" t="inlineStr">
        <is>
          <t xml:space="preserve"> : </t>
        </is>
      </c>
      <c r="P363" t="inlineStr"/>
      <c r="Q363" t="inlineStr"/>
      <c r="R363" t="inlineStr"/>
      <c r="S363" t="inlineStr">
        <is>
          <t>bis 25 cm</t>
        </is>
      </c>
      <c r="T363" t="inlineStr"/>
      <c r="U363" t="inlineStr"/>
      <c r="V363" t="inlineStr"/>
      <c r="W363" t="inlineStr"/>
      <c r="X363" t="inlineStr"/>
      <c r="Y363" t="inlineStr"/>
      <c r="Z363" t="inlineStr"/>
      <c r="AA363" t="inlineStr"/>
      <c r="AB363" t="inlineStr"/>
      <c r="AC363" t="inlineStr"/>
      <c r="AD363" t="inlineStr"/>
      <c r="AE363" t="inlineStr"/>
      <c r="AF363" t="inlineStr"/>
      <c r="AG363" t="inlineStr"/>
      <c r="AH363" t="inlineStr"/>
      <c r="AI363" t="inlineStr">
        <is>
          <t>G</t>
        </is>
      </c>
      <c r="AJ363" t="inlineStr"/>
      <c r="AK363" t="inlineStr">
        <is>
          <t>x</t>
        </is>
      </c>
      <c r="AL363" t="inlineStr"/>
      <c r="AM363" t="inlineStr">
        <is>
          <t>h/E</t>
        </is>
      </c>
      <c r="AN363" t="inlineStr"/>
      <c r="AO363" t="inlineStr"/>
      <c r="AP363" t="inlineStr"/>
      <c r="AQ363" t="inlineStr"/>
      <c r="AR363" t="inlineStr"/>
      <c r="AS363" t="inlineStr">
        <is>
          <t>Pa</t>
        </is>
      </c>
      <c r="AT363" t="inlineStr"/>
      <c r="AU363" t="inlineStr"/>
      <c r="AV363" t="inlineStr"/>
      <c r="AW363" t="inlineStr"/>
      <c r="AX363" t="inlineStr"/>
      <c r="AY363" t="inlineStr"/>
      <c r="AZ363" t="inlineStr"/>
      <c r="BA363" t="inlineStr"/>
      <c r="BB363" t="inlineStr"/>
      <c r="BC363" t="inlineStr"/>
      <c r="BD363" t="inlineStr"/>
      <c r="BE363" t="inlineStr"/>
      <c r="BF363" t="inlineStr"/>
      <c r="BG363" t="n">
        <v>110</v>
      </c>
      <c r="BH363" t="inlineStr"/>
      <c r="BI363" t="inlineStr"/>
      <c r="BJ363" t="inlineStr"/>
      <c r="BK363" t="inlineStr"/>
      <c r="BL363" t="inlineStr"/>
      <c r="BM363" t="inlineStr">
        <is>
          <t>n</t>
        </is>
      </c>
      <c r="BN363" t="n">
        <v>0</v>
      </c>
      <c r="BO363" t="inlineStr"/>
      <c r="BP363" t="inlineStr"/>
      <c r="BQ363" t="inlineStr"/>
      <c r="BR363" t="inlineStr"/>
      <c r="BS363" t="inlineStr"/>
      <c r="BT363" t="inlineStr"/>
      <c r="BU363" t="inlineStr"/>
      <c r="BV363" t="inlineStr"/>
      <c r="BW363" t="inlineStr"/>
      <c r="BX363" t="inlineStr"/>
      <c r="BY363" t="inlineStr"/>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c r="CT363" t="inlineStr"/>
      <c r="CU363" t="inlineStr"/>
      <c r="CV363" t="inlineStr"/>
      <c r="CW363" t="inlineStr"/>
      <c r="CX363" t="inlineStr"/>
      <c r="CY363" t="inlineStr"/>
      <c r="CZ363" t="inlineStr"/>
      <c r="DA363" t="inlineStr"/>
      <c r="DB363" t="inlineStr"/>
      <c r="DC363" t="inlineStr"/>
      <c r="DD363" t="inlineStr"/>
      <c r="DE363" t="inlineStr"/>
      <c r="DF363" t="inlineStr"/>
      <c r="DG363" t="inlineStr"/>
    </row>
    <row r="364">
      <c r="A364" t="inlineStr">
        <is>
          <t>III</t>
        </is>
      </c>
      <c r="B364" t="b">
        <v>1</v>
      </c>
      <c r="C364" t="inlineStr"/>
      <c r="D364" t="inlineStr"/>
      <c r="E364" t="n">
        <v>406</v>
      </c>
      <c r="F364">
        <f>HYPERLINK("https://portal.dnb.de/opac.htm?method=simpleSearch&amp;cqlMode=true&amp;query=idn%3D1066960100", "Portal")</f>
        <v/>
      </c>
      <c r="G364" t="inlineStr">
        <is>
          <t>Aaf</t>
        </is>
      </c>
      <c r="H364" t="inlineStr">
        <is>
          <t>L-1523-315490624</t>
        </is>
      </c>
      <c r="I364" t="inlineStr">
        <is>
          <t>1066960100</t>
        </is>
      </c>
      <c r="J364" t="inlineStr">
        <is>
          <t>III 51, 15</t>
        </is>
      </c>
      <c r="K364" t="inlineStr">
        <is>
          <t>III 51, 15</t>
        </is>
      </c>
      <c r="L364" t="inlineStr">
        <is>
          <t>III 51, 15</t>
        </is>
      </c>
      <c r="M364" t="inlineStr"/>
      <c r="N364" t="inlineStr">
        <is>
          <t>Auß was gr#[ue]nd|| vnnd vrsach|| Luthers dolmatschung/ vber das|| nawe testament/dem gemein? man|| billich vorbotten worden sey.|| Mit scheynbarliche</t>
        </is>
      </c>
      <c r="O364" t="inlineStr">
        <is>
          <t xml:space="preserve"> : </t>
        </is>
      </c>
      <c r="P364" t="inlineStr"/>
      <c r="Q364" t="inlineStr"/>
      <c r="R364" t="inlineStr"/>
      <c r="S364" t="inlineStr"/>
      <c r="T364" t="inlineStr"/>
      <c r="U364" t="inlineStr"/>
      <c r="V364" t="inlineStr"/>
      <c r="W364" t="inlineStr"/>
      <c r="X364" t="inlineStr"/>
      <c r="Y364" t="inlineStr"/>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c r="BB364" t="inlineStr"/>
      <c r="BC364" t="inlineStr"/>
      <c r="BD364" t="inlineStr"/>
      <c r="BE364" t="inlineStr"/>
      <c r="BF364" t="inlineStr"/>
      <c r="BG364" t="inlineStr"/>
      <c r="BH364" t="inlineStr"/>
      <c r="BI364" t="inlineStr"/>
      <c r="BJ364" t="inlineStr"/>
      <c r="BK364" t="inlineStr"/>
      <c r="BL364" t="inlineStr"/>
      <c r="BM364" t="inlineStr"/>
      <c r="BN364" t="n">
        <v>0</v>
      </c>
      <c r="BO364" t="inlineStr"/>
      <c r="BP364" t="inlineStr"/>
      <c r="BQ364" t="inlineStr"/>
      <c r="BR364" t="inlineStr"/>
      <c r="BS364" t="inlineStr"/>
      <c r="BT364" t="inlineStr"/>
      <c r="BU364" t="inlineStr"/>
      <c r="BV364" t="inlineStr"/>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c r="DA364" t="inlineStr"/>
      <c r="DB364" t="inlineStr"/>
      <c r="DC364" t="inlineStr"/>
      <c r="DD364" t="inlineStr"/>
      <c r="DE364" t="inlineStr"/>
      <c r="DF364" t="inlineStr"/>
      <c r="DG364" t="inlineStr"/>
    </row>
    <row r="365">
      <c r="A365" t="inlineStr">
        <is>
          <t>III</t>
        </is>
      </c>
      <c r="B365" t="b">
        <v>1</v>
      </c>
      <c r="C365" t="inlineStr"/>
      <c r="D365" t="inlineStr"/>
      <c r="E365" t="n">
        <v>407</v>
      </c>
      <c r="F365">
        <f>HYPERLINK("https://portal.dnb.de/opac.htm?method=simpleSearch&amp;cqlMode=true&amp;query=idn%3D1066871515", "Portal")</f>
        <v/>
      </c>
      <c r="G365" t="inlineStr">
        <is>
          <t>Aaf</t>
        </is>
      </c>
      <c r="H365" t="inlineStr">
        <is>
          <t>L-1523-315329297</t>
        </is>
      </c>
      <c r="I365" t="inlineStr">
        <is>
          <t>1066871515</t>
        </is>
      </c>
      <c r="J365" t="inlineStr">
        <is>
          <t>III 51, 16</t>
        </is>
      </c>
      <c r="K365" t="inlineStr">
        <is>
          <t>III 51, 16</t>
        </is>
      </c>
      <c r="L365" t="inlineStr">
        <is>
          <t>III 51, 16</t>
        </is>
      </c>
      <c r="M365" t="inlineStr"/>
      <c r="N365" t="inlineStr">
        <is>
          <t xml:space="preserve">Emßers entschuldigung von wegen der Ehrwirdigen Domina der Abtissin tzu Nurmberg ... : </t>
        </is>
      </c>
      <c r="O365" t="inlineStr">
        <is>
          <t xml:space="preserve"> : </t>
        </is>
      </c>
      <c r="P365" t="inlineStr"/>
      <c r="Q365" t="inlineStr"/>
      <c r="R365" t="inlineStr"/>
      <c r="S365" t="inlineStr">
        <is>
          <t>bis 25 cm</t>
        </is>
      </c>
      <c r="T365" t="inlineStr"/>
      <c r="U365" t="inlineStr"/>
      <c r="V365" t="inlineStr"/>
      <c r="W365" t="inlineStr"/>
      <c r="X365" t="inlineStr"/>
      <c r="Y365" t="inlineStr"/>
      <c r="Z365" t="inlineStr"/>
      <c r="AA365" t="inlineStr"/>
      <c r="AB365" t="inlineStr"/>
      <c r="AC365" t="inlineStr"/>
      <c r="AD365" t="inlineStr"/>
      <c r="AE365" t="inlineStr"/>
      <c r="AF365" t="inlineStr"/>
      <c r="AG365" t="inlineStr"/>
      <c r="AH365" t="inlineStr"/>
      <c r="AI365" t="inlineStr">
        <is>
          <t>Pa</t>
        </is>
      </c>
      <c r="AJ365" t="inlineStr"/>
      <c r="AK365" t="inlineStr">
        <is>
          <t>x</t>
        </is>
      </c>
      <c r="AL365" t="inlineStr"/>
      <c r="AM365" t="inlineStr">
        <is>
          <t>h/E</t>
        </is>
      </c>
      <c r="AN365" t="inlineStr"/>
      <c r="AO365" t="inlineStr"/>
      <c r="AP365" t="inlineStr"/>
      <c r="AQ365" t="inlineStr"/>
      <c r="AR365" t="inlineStr"/>
      <c r="AS365" t="inlineStr">
        <is>
          <t>Pa</t>
        </is>
      </c>
      <c r="AT365" t="inlineStr"/>
      <c r="AU365" t="inlineStr"/>
      <c r="AV365" t="inlineStr"/>
      <c r="AW365" t="inlineStr"/>
      <c r="AX365" t="inlineStr"/>
      <c r="AY365" t="inlineStr"/>
      <c r="AZ365" t="inlineStr"/>
      <c r="BA365" t="inlineStr"/>
      <c r="BB365" t="inlineStr"/>
      <c r="BC365" t="inlineStr"/>
      <c r="BD365" t="inlineStr"/>
      <c r="BE365" t="inlineStr"/>
      <c r="BF365" t="inlineStr"/>
      <c r="BG365" t="n">
        <v>180</v>
      </c>
      <c r="BH365" t="inlineStr"/>
      <c r="BI365" t="inlineStr"/>
      <c r="BJ365" t="inlineStr"/>
      <c r="BK365" t="inlineStr"/>
      <c r="BL365" t="inlineStr"/>
      <c r="BM365" t="inlineStr">
        <is>
          <t>n</t>
        </is>
      </c>
      <c r="BN365" t="n">
        <v>0</v>
      </c>
      <c r="BO365" t="inlineStr"/>
      <c r="BP365" t="inlineStr">
        <is>
          <t>Wellpappe</t>
        </is>
      </c>
      <c r="BQ365" t="inlineStr"/>
      <c r="BR365" t="inlineStr"/>
      <c r="BS365" t="inlineStr"/>
      <c r="BT365" t="inlineStr"/>
      <c r="BU365" t="inlineStr"/>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c r="DB365" t="inlineStr"/>
      <c r="DC365" t="inlineStr"/>
      <c r="DD365" t="inlineStr"/>
      <c r="DE365" t="inlineStr"/>
      <c r="DF365" t="inlineStr"/>
      <c r="DG365" t="inlineStr"/>
    </row>
    <row r="366">
      <c r="A366" t="inlineStr">
        <is>
          <t>III</t>
        </is>
      </c>
      <c r="B366" t="b">
        <v>1</v>
      </c>
      <c r="C366" t="inlineStr"/>
      <c r="D366" t="inlineStr"/>
      <c r="E366" t="n">
        <v>430</v>
      </c>
      <c r="F366">
        <f>HYPERLINK("https://portal.dnb.de/opac.htm?method=simpleSearch&amp;cqlMode=true&amp;query=idn%3D997608625", "Portal")</f>
        <v/>
      </c>
      <c r="G366" t="inlineStr">
        <is>
          <t>Aal</t>
        </is>
      </c>
      <c r="H366" t="inlineStr">
        <is>
          <t>L-1524-164333304</t>
        </is>
      </c>
      <c r="I366" t="inlineStr">
        <is>
          <t>997608625</t>
        </is>
      </c>
      <c r="J366" t="inlineStr">
        <is>
          <t>III 51, 16 a</t>
        </is>
      </c>
      <c r="K366" t="inlineStr">
        <is>
          <t>III 51, 16 a</t>
        </is>
      </c>
      <c r="L366" t="inlineStr">
        <is>
          <t>III 51, 16 a</t>
        </is>
      </c>
      <c r="M366" t="inlineStr"/>
      <c r="N366" t="inlineStr">
        <is>
          <t>Sermo|| DIVI IOANNIS|| CHRYSOSTOMI VR||bis Comstantini Archiepi=||scopi de Magistratibus &amp;|| Potestatibus, Interprete|| Christophoro Hegen||dorffino||</t>
        </is>
      </c>
      <c r="O366" t="inlineStr">
        <is>
          <t xml:space="preserve"> : </t>
        </is>
      </c>
      <c r="P366" t="inlineStr"/>
      <c r="Q366" t="inlineStr"/>
      <c r="R366" t="inlineStr">
        <is>
          <t>Broschur</t>
        </is>
      </c>
      <c r="S366" t="inlineStr">
        <is>
          <t>bis 25 cm</t>
        </is>
      </c>
      <c r="T366" t="inlineStr">
        <is>
          <t>180°</t>
        </is>
      </c>
      <c r="U366" t="inlineStr"/>
      <c r="V366" t="inlineStr"/>
      <c r="W366" t="inlineStr">
        <is>
          <t>Archivkarton</t>
        </is>
      </c>
      <c r="X366" t="inlineStr">
        <is>
          <t>Nein, Signaturfahne austauschen</t>
        </is>
      </c>
      <c r="Y366" t="n">
        <v>0</v>
      </c>
      <c r="Z366" t="inlineStr"/>
      <c r="AA366" t="inlineStr"/>
      <c r="AB366" t="inlineStr"/>
      <c r="AC366" t="inlineStr"/>
      <c r="AD366" t="inlineStr"/>
      <c r="AE366" t="inlineStr"/>
      <c r="AF366" t="inlineStr"/>
      <c r="AG366" t="inlineStr"/>
      <c r="AH366" t="inlineStr"/>
      <c r="AI366" t="inlineStr">
        <is>
          <t>oE</t>
        </is>
      </c>
      <c r="AJ366" t="inlineStr"/>
      <c r="AK366" t="inlineStr"/>
      <c r="AL366" t="inlineStr"/>
      <c r="AM366" t="inlineStr"/>
      <c r="AN366" t="inlineStr"/>
      <c r="AO366" t="inlineStr"/>
      <c r="AP366" t="inlineStr"/>
      <c r="AQ366" t="inlineStr"/>
      <c r="AR366" t="inlineStr"/>
      <c r="AS366" t="inlineStr">
        <is>
          <t>Pa</t>
        </is>
      </c>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is>
          <t>nur 110</t>
        </is>
      </c>
      <c r="BH366" t="inlineStr"/>
      <c r="BI366" t="inlineStr"/>
      <c r="BJ366" t="inlineStr"/>
      <c r="BK366" t="inlineStr"/>
      <c r="BL366" t="inlineStr"/>
      <c r="BM366" t="inlineStr">
        <is>
          <t>n</t>
        </is>
      </c>
      <c r="BN366" t="n">
        <v>0</v>
      </c>
      <c r="BO366" t="inlineStr"/>
      <c r="BP366" t="inlineStr"/>
      <c r="BQ366" t="inlineStr"/>
      <c r="BR366" t="inlineStr"/>
      <c r="BS366" t="inlineStr">
        <is>
          <t>x</t>
        </is>
      </c>
      <c r="BT366" t="inlineStr"/>
      <c r="BU366" t="inlineStr"/>
      <c r="BV366" t="inlineStr">
        <is>
          <t>Einband im Umschlag daneben</t>
        </is>
      </c>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c r="DB366" t="inlineStr"/>
      <c r="DC366" t="inlineStr"/>
      <c r="DD366" t="inlineStr"/>
      <c r="DE366" t="inlineStr"/>
      <c r="DF366" t="inlineStr"/>
      <c r="DG366" t="inlineStr"/>
    </row>
    <row r="367">
      <c r="A367" t="inlineStr">
        <is>
          <t>III</t>
        </is>
      </c>
      <c r="B367" t="b">
        <v>1</v>
      </c>
      <c r="C367" t="inlineStr">
        <is>
          <t>x</t>
        </is>
      </c>
      <c r="D367" t="inlineStr"/>
      <c r="E367" t="n">
        <v>408</v>
      </c>
      <c r="F367">
        <f>HYPERLINK("https://portal.dnb.de/opac.htm?method=simpleSearch&amp;cqlMode=true&amp;query=idn%3D1066960976", "Portal")</f>
        <v/>
      </c>
      <c r="G367" t="inlineStr">
        <is>
          <t>Aaf</t>
        </is>
      </c>
      <c r="H367" t="inlineStr">
        <is>
          <t>L-1525-315491426</t>
        </is>
      </c>
      <c r="I367" t="inlineStr">
        <is>
          <t>1066960976</t>
        </is>
      </c>
      <c r="J367" t="inlineStr">
        <is>
          <t>III 51, 17</t>
        </is>
      </c>
      <c r="K367" t="inlineStr">
        <is>
          <t>III 51, 17</t>
        </is>
      </c>
      <c r="L367" t="inlineStr">
        <is>
          <t>III 51, 17</t>
        </is>
      </c>
      <c r="M367" t="inlineStr"/>
      <c r="N367" t="inlineStr">
        <is>
          <t>Czwen Sendbrieff des|| Edelen vnd hochgelar||ten hern Johan Picus Grauen zu Mi||randel an Johan Franciscum seinen|| Vettern in wellichen der mensch zu</t>
        </is>
      </c>
      <c r="O367" t="inlineStr">
        <is>
          <t xml:space="preserve"> : </t>
        </is>
      </c>
      <c r="P367" t="inlineStr"/>
      <c r="Q367" t="inlineStr"/>
      <c r="R367" t="inlineStr"/>
      <c r="S367" t="inlineStr">
        <is>
          <t>bis 25 cm</t>
        </is>
      </c>
      <c r="T367" t="inlineStr"/>
      <c r="U367" t="inlineStr"/>
      <c r="V367" t="inlineStr"/>
      <c r="W367" t="inlineStr"/>
      <c r="X367" t="inlineStr"/>
      <c r="Y367" t="inlineStr"/>
      <c r="Z367" t="inlineStr"/>
      <c r="AA367" t="inlineStr"/>
      <c r="AB367" t="inlineStr"/>
      <c r="AC367" t="inlineStr"/>
      <c r="AD367" t="inlineStr"/>
      <c r="AE367" t="inlineStr"/>
      <c r="AF367" t="inlineStr"/>
      <c r="AG367" t="inlineStr"/>
      <c r="AH367" t="inlineStr"/>
      <c r="AI367" t="inlineStr">
        <is>
          <t>HPg</t>
        </is>
      </c>
      <c r="AJ367" t="inlineStr"/>
      <c r="AK367" t="inlineStr"/>
      <c r="AL367" t="inlineStr"/>
      <c r="AM367" t="inlineStr">
        <is>
          <t>h/E</t>
        </is>
      </c>
      <c r="AN367" t="inlineStr"/>
      <c r="AO367" t="inlineStr"/>
      <c r="AP367" t="inlineStr"/>
      <c r="AQ367" t="inlineStr"/>
      <c r="AR367" t="inlineStr"/>
      <c r="AS367" t="inlineStr">
        <is>
          <t>Pa</t>
        </is>
      </c>
      <c r="AT367" t="inlineStr"/>
      <c r="AU367" t="inlineStr"/>
      <c r="AV367" t="inlineStr"/>
      <c r="AW367" t="inlineStr"/>
      <c r="AX367" t="inlineStr"/>
      <c r="AY367" t="inlineStr"/>
      <c r="AZ367" t="inlineStr"/>
      <c r="BA367" t="inlineStr"/>
      <c r="BB367" t="inlineStr"/>
      <c r="BC367" t="inlineStr"/>
      <c r="BD367" t="inlineStr"/>
      <c r="BE367" t="inlineStr"/>
      <c r="BF367" t="inlineStr"/>
      <c r="BG367" t="n">
        <v>110</v>
      </c>
      <c r="BH367" t="inlineStr"/>
      <c r="BI367" t="inlineStr"/>
      <c r="BJ367" t="inlineStr"/>
      <c r="BK367" t="inlineStr"/>
      <c r="BL367" t="inlineStr"/>
      <c r="BM367" t="inlineStr">
        <is>
          <t>ja vor</t>
        </is>
      </c>
      <c r="BN367" t="n">
        <v>0.5</v>
      </c>
      <c r="BO367" t="inlineStr"/>
      <c r="BP367" t="inlineStr"/>
      <c r="BQ367" t="inlineStr"/>
      <c r="BR367" t="inlineStr"/>
      <c r="BS367" t="inlineStr"/>
      <c r="BT367" t="inlineStr"/>
      <c r="BU367" t="inlineStr"/>
      <c r="BV367" t="inlineStr"/>
      <c r="BW367" t="inlineStr"/>
      <c r="BX367" t="inlineStr"/>
      <c r="BY367" t="inlineStr"/>
      <c r="BZ367" t="inlineStr">
        <is>
          <t>x</t>
        </is>
      </c>
      <c r="CA367" t="inlineStr"/>
      <c r="CB367" t="inlineStr">
        <is>
          <t>x</t>
        </is>
      </c>
      <c r="CC367" t="inlineStr"/>
      <c r="CD367" t="inlineStr"/>
      <c r="CE367" t="inlineStr"/>
      <c r="CF367" t="inlineStr"/>
      <c r="CG367" t="inlineStr"/>
      <c r="CH367" t="inlineStr"/>
      <c r="CI367" t="inlineStr"/>
      <c r="CJ367" t="inlineStr"/>
      <c r="CK367" t="inlineStr"/>
      <c r="CL367" t="inlineStr"/>
      <c r="CM367" t="n">
        <v>0.5</v>
      </c>
      <c r="CN367" t="inlineStr">
        <is>
          <t>Pg am Rücken fixieren und mit JP überfangen</t>
        </is>
      </c>
      <c r="CO367" t="inlineStr"/>
      <c r="CP367" t="inlineStr"/>
      <c r="CQ367" t="inlineStr"/>
      <c r="CR367" t="inlineStr"/>
      <c r="CS367" t="inlineStr"/>
      <c r="CT367" t="inlineStr"/>
      <c r="CU367" t="inlineStr"/>
      <c r="CV367" t="inlineStr"/>
      <c r="CW367" t="inlineStr"/>
      <c r="CX367" t="inlineStr"/>
      <c r="CY367" t="inlineStr"/>
      <c r="CZ367" t="inlineStr"/>
      <c r="DA367" t="inlineStr"/>
      <c r="DB367" t="inlineStr"/>
      <c r="DC367" t="inlineStr"/>
      <c r="DD367" t="inlineStr"/>
      <c r="DE367" t="inlineStr"/>
      <c r="DF367" t="inlineStr"/>
      <c r="DG367" t="inlineStr"/>
    </row>
    <row r="368">
      <c r="A368" t="inlineStr">
        <is>
          <t>III</t>
        </is>
      </c>
      <c r="B368" t="b">
        <v>1</v>
      </c>
      <c r="C368" t="inlineStr"/>
      <c r="D368" t="inlineStr"/>
      <c r="E368" t="n">
        <v>409</v>
      </c>
      <c r="F368">
        <f>HYPERLINK("https://portal.dnb.de/opac.htm?method=simpleSearch&amp;cqlMode=true&amp;query=idn%3D1066961441", "Portal")</f>
        <v/>
      </c>
      <c r="G368" t="inlineStr">
        <is>
          <t>Aaf</t>
        </is>
      </c>
      <c r="H368" t="inlineStr">
        <is>
          <t>L-1510-315491833</t>
        </is>
      </c>
      <c r="I368" t="inlineStr">
        <is>
          <t>1066961441</t>
        </is>
      </c>
      <c r="J368" t="inlineStr">
        <is>
          <t>III 51, 18</t>
        </is>
      </c>
      <c r="K368" t="inlineStr">
        <is>
          <t>III 51, 18</t>
        </is>
      </c>
      <c r="L368" t="inlineStr">
        <is>
          <t>III 51, 18</t>
        </is>
      </c>
      <c r="M368" t="inlineStr"/>
      <c r="N368" t="inlineStr">
        <is>
          <t>Diffinitiones editio||nis Donati mioris|| viri clarissimi: et auctoris modoru sillgnificãdi cu expõibus earund? #[et] no||tatis pulcerrimis.||[Hrsg. v</t>
        </is>
      </c>
      <c r="O368" t="inlineStr">
        <is>
          <t xml:space="preserve"> : </t>
        </is>
      </c>
      <c r="P368" t="inlineStr"/>
      <c r="Q368" t="inlineStr"/>
      <c r="R368" t="inlineStr"/>
      <c r="S368" t="inlineStr"/>
      <c r="T368" t="inlineStr"/>
      <c r="U368" t="inlineStr"/>
      <c r="V368" t="inlineStr"/>
      <c r="W368" t="inlineStr"/>
      <c r="X368" t="inlineStr"/>
      <c r="Y368" t="inlineStr"/>
      <c r="Z368" t="inlineStr"/>
      <c r="AA368" t="inlineStr"/>
      <c r="AB368" t="inlineStr"/>
      <c r="AC368" t="inlineStr"/>
      <c r="AD368" t="inlineStr"/>
      <c r="AE368" t="inlineStr"/>
      <c r="AF368" t="inlineStr"/>
      <c r="AG368" t="inlineStr"/>
      <c r="AH368" t="inlineStr"/>
      <c r="AI368" t="inlineStr"/>
      <c r="AJ368" t="inlineStr"/>
      <c r="AK368" t="inlineStr"/>
      <c r="AL368" t="inlineStr"/>
      <c r="AM368" t="inlineStr"/>
      <c r="AN368" t="inlineStr"/>
      <c r="AO368" t="inlineStr"/>
      <c r="AP368" t="inlineStr"/>
      <c r="AQ368" t="inlineStr"/>
      <c r="AR368" t="inlineStr"/>
      <c r="AS368" t="inlineStr"/>
      <c r="AT368" t="inlineStr"/>
      <c r="AU368" t="inlineStr"/>
      <c r="AV368" t="inlineStr"/>
      <c r="AW368" t="inlineStr"/>
      <c r="AX368" t="inlineStr"/>
      <c r="AY368" t="inlineStr"/>
      <c r="AZ368" t="inlineStr"/>
      <c r="BA368" t="inlineStr"/>
      <c r="BB368" t="inlineStr"/>
      <c r="BC368" t="inlineStr"/>
      <c r="BD368" t="inlineStr"/>
      <c r="BE368" t="inlineStr"/>
      <c r="BF368" t="inlineStr"/>
      <c r="BG368" t="inlineStr"/>
      <c r="BH368" t="inlineStr"/>
      <c r="BI368" t="inlineStr"/>
      <c r="BJ368" t="inlineStr"/>
      <c r="BK368" t="inlineStr"/>
      <c r="BL368" t="inlineStr"/>
      <c r="BM368" t="inlineStr"/>
      <c r="BN368" t="n">
        <v>0</v>
      </c>
      <c r="BO368" t="inlineStr"/>
      <c r="BP368" t="inlineStr"/>
      <c r="BQ368" t="inlineStr"/>
      <c r="BR368" t="inlineStr"/>
      <c r="BS368" t="inlineStr"/>
      <c r="BT368" t="inlineStr"/>
      <c r="BU368" t="inlineStr"/>
      <c r="BV368" t="inlineStr"/>
      <c r="BW368" t="inlineStr"/>
      <c r="BX368" t="inlineStr"/>
      <c r="BY368" t="inlineStr"/>
      <c r="BZ368" t="inlineStr"/>
      <c r="CA368" t="inlineStr"/>
      <c r="CB368" t="inlineStr"/>
      <c r="CC368" t="inlineStr"/>
      <c r="CD368" t="inlineStr"/>
      <c r="CE368" t="inlineStr"/>
      <c r="CF368" t="inlineStr"/>
      <c r="CG368" t="inlineStr"/>
      <c r="CH368" t="inlineStr"/>
      <c r="CI368" t="inlineStr"/>
      <c r="CJ368" t="inlineStr"/>
      <c r="CK368" t="inlineStr"/>
      <c r="CL368" t="inlineStr"/>
      <c r="CM368" t="inlineStr"/>
      <c r="CN368" t="inlineStr"/>
      <c r="CO368" t="inlineStr"/>
      <c r="CP368" t="inlineStr"/>
      <c r="CQ368" t="inlineStr"/>
      <c r="CR368" t="inlineStr"/>
      <c r="CS368" t="inlineStr"/>
      <c r="CT368" t="inlineStr"/>
      <c r="CU368" t="inlineStr"/>
      <c r="CV368" t="inlineStr"/>
      <c r="CW368" t="inlineStr"/>
      <c r="CX368" t="inlineStr"/>
      <c r="CY368" t="inlineStr"/>
      <c r="CZ368" t="inlineStr"/>
      <c r="DA368" t="inlineStr"/>
      <c r="DB368" t="inlineStr"/>
      <c r="DC368" t="inlineStr"/>
      <c r="DD368" t="inlineStr"/>
      <c r="DE368" t="inlineStr"/>
      <c r="DF368" t="inlineStr"/>
      <c r="DG368" t="inlineStr"/>
    </row>
    <row r="369">
      <c r="A369" t="inlineStr">
        <is>
          <t>III</t>
        </is>
      </c>
      <c r="B369" t="b">
        <v>1</v>
      </c>
      <c r="C369" t="inlineStr"/>
      <c r="D369" t="inlineStr"/>
      <c r="E369" t="n">
        <v>431</v>
      </c>
      <c r="F369">
        <f>HYPERLINK("https://portal.dnb.de/opac.htm?method=simpleSearch&amp;cqlMode=true&amp;query=idn%3D995382867", "Portal")</f>
        <v/>
      </c>
      <c r="G369" t="inlineStr">
        <is>
          <t>Aal</t>
        </is>
      </c>
      <c r="H369" t="inlineStr">
        <is>
          <t>L-1521-159366895</t>
        </is>
      </c>
      <c r="I369" t="inlineStr">
        <is>
          <t>995382867</t>
        </is>
      </c>
      <c r="J369" t="inlineStr">
        <is>
          <t>III 51, 18a</t>
        </is>
      </c>
      <c r="K369" t="inlineStr">
        <is>
          <t>III 51, 18a</t>
        </is>
      </c>
      <c r="L369" t="inlineStr">
        <is>
          <t>III 51, 18 a</t>
        </is>
      </c>
      <c r="M369" t="inlineStr"/>
      <c r="N369" t="inlineStr">
        <is>
          <t xml:space="preserve">Epicteti Sto||ici Enchiridi||on : </t>
        </is>
      </c>
      <c r="O369" t="inlineStr">
        <is>
          <t xml:space="preserve"> : </t>
        </is>
      </c>
      <c r="P369" t="inlineStr"/>
      <c r="Q369" t="inlineStr"/>
      <c r="R369" t="inlineStr">
        <is>
          <t>Papier- oder Pappeinband</t>
        </is>
      </c>
      <c r="S369" t="inlineStr">
        <is>
          <t>bis 25 cm</t>
        </is>
      </c>
      <c r="T369" t="inlineStr">
        <is>
          <t>180°</t>
        </is>
      </c>
      <c r="U369" t="inlineStr"/>
      <c r="V369" t="inlineStr"/>
      <c r="W369" t="inlineStr">
        <is>
          <t>Archivkarton</t>
        </is>
      </c>
      <c r="X369" t="inlineStr">
        <is>
          <t>Nein</t>
        </is>
      </c>
      <c r="Y369" t="n">
        <v>3</v>
      </c>
      <c r="Z369" t="inlineStr"/>
      <c r="AA369" t="inlineStr">
        <is>
          <t>Einband und Buchblock separat</t>
        </is>
      </c>
      <c r="AB369" t="inlineStr"/>
      <c r="AC369" t="inlineStr"/>
      <c r="AD369" t="inlineStr"/>
      <c r="AE369" t="inlineStr"/>
      <c r="AF369" t="inlineStr"/>
      <c r="AG369" t="inlineStr"/>
      <c r="AH369" t="inlineStr"/>
      <c r="AI369" t="inlineStr">
        <is>
          <t>oE</t>
        </is>
      </c>
      <c r="AJ369" t="inlineStr">
        <is>
          <t xml:space="preserve">
Einband liegt lose bei</t>
        </is>
      </c>
      <c r="AK369" t="inlineStr"/>
      <c r="AL369" t="inlineStr">
        <is>
          <t>x</t>
        </is>
      </c>
      <c r="AM369" t="inlineStr"/>
      <c r="AN369" t="inlineStr"/>
      <c r="AO369" t="inlineStr"/>
      <c r="AP369" t="inlineStr"/>
      <c r="AQ369" t="inlineStr"/>
      <c r="AR369" t="inlineStr"/>
      <c r="AS369" t="inlineStr">
        <is>
          <t>Pa</t>
        </is>
      </c>
      <c r="AT369" t="inlineStr"/>
      <c r="AU369" t="inlineStr"/>
      <c r="AV369" t="inlineStr"/>
      <c r="AW369" t="inlineStr"/>
      <c r="AX369" t="inlineStr"/>
      <c r="AY369" t="inlineStr"/>
      <c r="AZ369" t="inlineStr"/>
      <c r="BA369" t="inlineStr"/>
      <c r="BB369" t="inlineStr"/>
      <c r="BC369" t="inlineStr"/>
      <c r="BD369" t="inlineStr"/>
      <c r="BE369" t="inlineStr"/>
      <c r="BF369" t="inlineStr"/>
      <c r="BG369" t="inlineStr">
        <is>
          <t>nur 110</t>
        </is>
      </c>
      <c r="BH369" t="inlineStr"/>
      <c r="BI369" t="inlineStr"/>
      <c r="BJ369" t="inlineStr"/>
      <c r="BK369" t="inlineStr"/>
      <c r="BL369" t="inlineStr"/>
      <c r="BM369" t="inlineStr">
        <is>
          <t>n</t>
        </is>
      </c>
      <c r="BN369" t="n">
        <v>0</v>
      </c>
      <c r="BO369" t="inlineStr"/>
      <c r="BP369" t="inlineStr"/>
      <c r="BQ369" t="inlineStr"/>
      <c r="BR369" t="inlineStr"/>
      <c r="BS369" t="inlineStr">
        <is>
          <t>x</t>
        </is>
      </c>
      <c r="BT369" t="inlineStr"/>
      <c r="BU369" t="inlineStr"/>
      <c r="BV369" t="inlineStr">
        <is>
          <t>Buchblock liegt lose im Einband</t>
        </is>
      </c>
      <c r="BW369" t="inlineStr"/>
      <c r="BX369" t="inlineStr"/>
      <c r="BY369" t="inlineStr"/>
      <c r="BZ369" t="inlineStr"/>
      <c r="CA369" t="inlineStr"/>
      <c r="CB369" t="inlineStr"/>
      <c r="CC369" t="inlineStr"/>
      <c r="CD369" t="inlineStr"/>
      <c r="CE369" t="inlineStr"/>
      <c r="CF369" t="inlineStr"/>
      <c r="CG369" t="inlineStr"/>
      <c r="CH369" t="inlineStr"/>
      <c r="CI369" t="inlineStr"/>
      <c r="CJ369" t="inlineStr"/>
      <c r="CK369" t="inlineStr"/>
      <c r="CL369" t="inlineStr"/>
      <c r="CM369" t="inlineStr"/>
      <c r="CN369" t="inlineStr"/>
      <c r="CO369" t="inlineStr"/>
      <c r="CP369" t="inlineStr"/>
      <c r="CQ369" t="inlineStr"/>
      <c r="CR369" t="inlineStr"/>
      <c r="CS369" t="inlineStr"/>
      <c r="CT369" t="inlineStr"/>
      <c r="CU369" t="inlineStr"/>
      <c r="CV369" t="inlineStr"/>
      <c r="CW369" t="inlineStr"/>
      <c r="CX369" t="inlineStr"/>
      <c r="CY369" t="inlineStr"/>
      <c r="CZ369" t="inlineStr"/>
      <c r="DA369" t="inlineStr"/>
      <c r="DB369" t="inlineStr"/>
      <c r="DC369" t="inlineStr"/>
      <c r="DD369" t="inlineStr"/>
      <c r="DE369" t="inlineStr"/>
      <c r="DF369" t="inlineStr"/>
      <c r="DG369" t="inlineStr"/>
    </row>
    <row r="370">
      <c r="A370" t="inlineStr">
        <is>
          <t>III</t>
        </is>
      </c>
      <c r="B370" t="b">
        <v>1</v>
      </c>
      <c r="C370" t="inlineStr"/>
      <c r="D370" t="inlineStr"/>
      <c r="E370" t="inlineStr"/>
      <c r="F370">
        <f>HYPERLINK("https://portal.dnb.de/opac.htm?method=simpleSearch&amp;cqlMode=true&amp;query=idn%3D113830929X", "Portal")</f>
        <v/>
      </c>
      <c r="G370" t="inlineStr">
        <is>
          <t>Qd</t>
        </is>
      </c>
      <c r="H370" t="inlineStr">
        <is>
          <t>L-9999-414819098</t>
        </is>
      </c>
      <c r="I370" t="inlineStr">
        <is>
          <t>113830929X</t>
        </is>
      </c>
      <c r="J370" t="inlineStr">
        <is>
          <t>III 51, 19</t>
        </is>
      </c>
      <c r="K370" t="inlineStr">
        <is>
          <t>III 51, 19</t>
        </is>
      </c>
      <c r="L370" t="inlineStr">
        <is>
          <t>III 51, 19</t>
        </is>
      </c>
      <c r="M370" t="inlineStr"/>
      <c r="N370" t="inlineStr">
        <is>
          <t xml:space="preserve">Sammelband : </t>
        </is>
      </c>
      <c r="O370" t="inlineStr">
        <is>
          <t xml:space="preserve"> : </t>
        </is>
      </c>
      <c r="P370" t="inlineStr"/>
      <c r="Q370" t="inlineStr"/>
      <c r="R370" t="inlineStr"/>
      <c r="S370" t="inlineStr">
        <is>
          <t>bis 25 cm</t>
        </is>
      </c>
      <c r="T370" t="inlineStr"/>
      <c r="U370" t="inlineStr"/>
      <c r="V370" t="inlineStr"/>
      <c r="W370" t="inlineStr"/>
      <c r="X370" t="inlineStr"/>
      <c r="Y370" t="inlineStr"/>
      <c r="Z370" t="inlineStr"/>
      <c r="AA370" t="inlineStr"/>
      <c r="AB370" t="inlineStr"/>
      <c r="AC370" t="inlineStr"/>
      <c r="AD370" t="inlineStr"/>
      <c r="AE370" t="inlineStr"/>
      <c r="AF370" t="inlineStr"/>
      <c r="AG370" t="inlineStr"/>
      <c r="AH370" t="inlineStr"/>
      <c r="AI370" t="inlineStr">
        <is>
          <t>oE</t>
        </is>
      </c>
      <c r="AJ370" t="inlineStr">
        <is>
          <t xml:space="preserve">
Einband liegt er Mappe bei</t>
        </is>
      </c>
      <c r="AK370" t="inlineStr"/>
      <c r="AL370" t="inlineStr"/>
      <c r="AM370" t="inlineStr"/>
      <c r="AN370" t="inlineStr"/>
      <c r="AO370" t="inlineStr"/>
      <c r="AP370" t="inlineStr"/>
      <c r="AQ370" t="inlineStr"/>
      <c r="AR370" t="inlineStr"/>
      <c r="AS370" t="inlineStr">
        <is>
          <t>Pa</t>
        </is>
      </c>
      <c r="AT370" t="inlineStr"/>
      <c r="AU370" t="inlineStr"/>
      <c r="AV370" t="inlineStr"/>
      <c r="AW370" t="inlineStr"/>
      <c r="AX370" t="inlineStr"/>
      <c r="AY370" t="inlineStr"/>
      <c r="AZ370" t="inlineStr"/>
      <c r="BA370" t="inlineStr"/>
      <c r="BB370" t="inlineStr"/>
      <c r="BC370" t="inlineStr"/>
      <c r="BD370" t="inlineStr"/>
      <c r="BE370" t="inlineStr"/>
      <c r="BF370" t="inlineStr"/>
      <c r="BG370" t="inlineStr">
        <is>
          <t>nur 110</t>
        </is>
      </c>
      <c r="BH370" t="inlineStr"/>
      <c r="BI370" t="inlineStr"/>
      <c r="BJ370" t="inlineStr"/>
      <c r="BK370" t="inlineStr"/>
      <c r="BL370" t="inlineStr"/>
      <c r="BM370" t="inlineStr">
        <is>
          <t>n</t>
        </is>
      </c>
      <c r="BN370" t="n">
        <v>0</v>
      </c>
      <c r="BO370" t="inlineStr"/>
      <c r="BP370" t="inlineStr"/>
      <c r="BQ370" t="inlineStr"/>
      <c r="BR370" t="inlineStr"/>
      <c r="BS370" t="inlineStr"/>
      <c r="BT370" t="inlineStr"/>
      <c r="BU370" t="inlineStr"/>
      <c r="BV370" t="inlineStr">
        <is>
          <t>Einband liegt lose in der Mappe, außerdem zwei weitere Drucke</t>
        </is>
      </c>
      <c r="BW370" t="inlineStr"/>
      <c r="BX370" t="inlineStr"/>
      <c r="BY370" t="inlineStr"/>
      <c r="BZ370" t="inlineStr"/>
      <c r="CA370" t="inlineStr"/>
      <c r="CB370" t="inlineStr"/>
      <c r="CC370" t="inlineStr"/>
      <c r="CD370" t="inlineStr"/>
      <c r="CE370" t="inlineStr"/>
      <c r="CF370" t="inlineStr"/>
      <c r="CG370" t="inlineStr"/>
      <c r="CH370" t="inlineStr"/>
      <c r="CI370" t="inlineStr"/>
      <c r="CJ370" t="inlineStr"/>
      <c r="CK370" t="inlineStr"/>
      <c r="CL370" t="inlineStr"/>
      <c r="CM370" t="inlineStr"/>
      <c r="CN370" t="inlineStr"/>
      <c r="CO370" t="inlineStr"/>
      <c r="CP370" t="inlineStr"/>
      <c r="CQ370" t="inlineStr"/>
      <c r="CR370" t="inlineStr"/>
      <c r="CS370" t="inlineStr"/>
      <c r="CT370" t="inlineStr"/>
      <c r="CU370" t="inlineStr"/>
      <c r="CV370" t="inlineStr"/>
      <c r="CW370" t="inlineStr"/>
      <c r="CX370" t="inlineStr"/>
      <c r="CY370" t="inlineStr"/>
      <c r="CZ370" t="inlineStr"/>
      <c r="DA370" t="inlineStr"/>
      <c r="DB370" t="inlineStr"/>
      <c r="DC370" t="inlineStr"/>
      <c r="DD370" t="inlineStr"/>
      <c r="DE370" t="inlineStr"/>
      <c r="DF370" t="inlineStr"/>
      <c r="DG370" t="inlineStr"/>
    </row>
    <row r="371">
      <c r="A371" t="inlineStr">
        <is>
          <t>III</t>
        </is>
      </c>
      <c r="B371" t="b">
        <v>1</v>
      </c>
      <c r="C371" t="inlineStr"/>
      <c r="D371" t="inlineStr"/>
      <c r="E371" t="n">
        <v>411</v>
      </c>
      <c r="F371">
        <f>HYPERLINK("https://portal.dnb.de/opac.htm?method=simpleSearch&amp;cqlMode=true&amp;query=idn%3D1066961603", "Portal")</f>
        <v/>
      </c>
      <c r="G371" t="inlineStr">
        <is>
          <t>Aaf</t>
        </is>
      </c>
      <c r="H371" t="inlineStr">
        <is>
          <t>L-1526-315492007</t>
        </is>
      </c>
      <c r="I371" t="inlineStr">
        <is>
          <t>1066961603</t>
        </is>
      </c>
      <c r="J371" t="inlineStr">
        <is>
          <t>III 51, 20</t>
        </is>
      </c>
      <c r="K371" t="inlineStr">
        <is>
          <t>III 51, 20</t>
        </is>
      </c>
      <c r="L371" t="inlineStr">
        <is>
          <t>III 51, 20</t>
        </is>
      </c>
      <c r="M371" t="inlineStr"/>
      <c r="N371" t="inlineStr">
        <is>
          <t xml:space="preserve">Ein @Sermonn|| von der vilfeltigen frucht|| des gestorbnen weytzkorn||len Math. 16. Marci. 8. Lu||ce. 9. vnd Johan. 12.|| Johan. Toltz.|| : </t>
        </is>
      </c>
      <c r="O371" t="inlineStr">
        <is>
          <t xml:space="preserve"> : </t>
        </is>
      </c>
      <c r="P371" t="inlineStr">
        <is>
          <t>X</t>
        </is>
      </c>
      <c r="Q371" t="inlineStr"/>
      <c r="R371" t="inlineStr">
        <is>
          <t>Ungebunden</t>
        </is>
      </c>
      <c r="S371" t="inlineStr">
        <is>
          <t>bis 25 cm</t>
        </is>
      </c>
      <c r="T371" t="inlineStr">
        <is>
          <t>180°</t>
        </is>
      </c>
      <c r="U371" t="inlineStr"/>
      <c r="V371" t="inlineStr"/>
      <c r="W371" t="inlineStr">
        <is>
          <t>Archivkarton</t>
        </is>
      </c>
      <c r="X371" t="inlineStr">
        <is>
          <t>Nein</t>
        </is>
      </c>
      <c r="Y371" t="n">
        <v>3</v>
      </c>
      <c r="Z371" t="inlineStr"/>
      <c r="AA371" t="inlineStr">
        <is>
          <t>Einband und Buchblock separat</t>
        </is>
      </c>
      <c r="AB371" t="inlineStr"/>
      <c r="AC371" t="inlineStr"/>
      <c r="AD371" t="inlineStr"/>
      <c r="AE371" t="inlineStr"/>
      <c r="AF371" t="inlineStr"/>
      <c r="AG371" t="inlineStr"/>
      <c r="AH371" t="inlineStr"/>
      <c r="AI371" t="inlineStr">
        <is>
          <t>oE</t>
        </is>
      </c>
      <c r="AJ371" t="inlineStr">
        <is>
          <t xml:space="preserve">
Einband liegt der Mappe bei</t>
        </is>
      </c>
      <c r="AK371" t="inlineStr"/>
      <c r="AL371" t="inlineStr"/>
      <c r="AM371" t="inlineStr"/>
      <c r="AN371" t="inlineStr"/>
      <c r="AO371" t="inlineStr"/>
      <c r="AP371" t="inlineStr"/>
      <c r="AQ371" t="inlineStr"/>
      <c r="AR371" t="inlineStr"/>
      <c r="AS371" t="inlineStr">
        <is>
          <t>Pa</t>
        </is>
      </c>
      <c r="AT371" t="inlineStr"/>
      <c r="AU371" t="inlineStr"/>
      <c r="AV371" t="inlineStr"/>
      <c r="AW371" t="inlineStr"/>
      <c r="AX371" t="inlineStr"/>
      <c r="AY371" t="inlineStr"/>
      <c r="AZ371" t="inlineStr"/>
      <c r="BA371" t="inlineStr"/>
      <c r="BB371" t="inlineStr"/>
      <c r="BC371" t="inlineStr"/>
      <c r="BD371" t="inlineStr"/>
      <c r="BE371" t="inlineStr"/>
      <c r="BF371" t="inlineStr"/>
      <c r="BG371" t="n">
        <v>180</v>
      </c>
      <c r="BH371" t="inlineStr"/>
      <c r="BI371" t="inlineStr"/>
      <c r="BJ371" t="inlineStr"/>
      <c r="BK371" t="inlineStr"/>
      <c r="BL371" t="inlineStr"/>
      <c r="BM371" t="inlineStr">
        <is>
          <t>n</t>
        </is>
      </c>
      <c r="BN371" t="n">
        <v>0</v>
      </c>
      <c r="BO371" t="inlineStr"/>
      <c r="BP371" t="inlineStr"/>
      <c r="BQ371" t="inlineStr"/>
      <c r="BR371" t="inlineStr"/>
      <c r="BS371" t="inlineStr">
        <is>
          <t>x</t>
        </is>
      </c>
      <c r="BT371" t="inlineStr"/>
      <c r="BU371" t="inlineStr"/>
      <c r="BV371" t="inlineStr">
        <is>
          <t>Einband liegt der Mappe bei</t>
        </is>
      </c>
      <c r="BW371" t="inlineStr"/>
      <c r="BX371" t="inlineStr"/>
      <c r="BY371" t="inlineStr"/>
      <c r="BZ371" t="inlineStr"/>
      <c r="CA371" t="inlineStr"/>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c r="DA371" t="inlineStr"/>
      <c r="DB371" t="inlineStr"/>
      <c r="DC371" t="inlineStr"/>
      <c r="DD371" t="inlineStr"/>
      <c r="DE371" t="inlineStr"/>
      <c r="DF371" t="inlineStr"/>
      <c r="DG371" t="inlineStr"/>
    </row>
    <row r="372">
      <c r="A372" t="inlineStr">
        <is>
          <t>III</t>
        </is>
      </c>
      <c r="B372" t="b">
        <v>1</v>
      </c>
      <c r="C372" t="inlineStr"/>
      <c r="D372" t="inlineStr"/>
      <c r="E372" t="n">
        <v>434</v>
      </c>
      <c r="F372">
        <f>HYPERLINK("https://portal.dnb.de/opac.htm?method=simpleSearch&amp;cqlMode=true&amp;query=idn%3D996943757", "Portal")</f>
        <v/>
      </c>
      <c r="G372" t="inlineStr">
        <is>
          <t>Aal</t>
        </is>
      </c>
      <c r="H372" t="inlineStr">
        <is>
          <t>L-1534-163066078</t>
        </is>
      </c>
      <c r="I372" t="inlineStr">
        <is>
          <t>996943757</t>
        </is>
      </c>
      <c r="J372" t="inlineStr">
        <is>
          <t>III 51, 20 a</t>
        </is>
      </c>
      <c r="K372" t="inlineStr">
        <is>
          <t>III 51, 20 a</t>
        </is>
      </c>
      <c r="L372" t="inlineStr">
        <is>
          <t>III 51, 20 a</t>
        </is>
      </c>
      <c r="M372" t="inlineStr"/>
      <c r="N372" t="inlineStr">
        <is>
          <t xml:space="preserve">PROPHETIA||VETVS, AC NOVA, HOC EST,|| VERA SCRIPTVRAE IN : </t>
        </is>
      </c>
      <c r="O372" t="inlineStr">
        <is>
          <t xml:space="preserve"> : </t>
        </is>
      </c>
      <c r="P372" t="inlineStr"/>
      <c r="Q372" t="inlineStr"/>
      <c r="R372" t="inlineStr">
        <is>
          <t>Ungebunden</t>
        </is>
      </c>
      <c r="S372" t="inlineStr">
        <is>
          <t>bis 25 cm</t>
        </is>
      </c>
      <c r="T372" t="inlineStr">
        <is>
          <t>180°</t>
        </is>
      </c>
      <c r="U372" t="inlineStr"/>
      <c r="V372" t="inlineStr"/>
      <c r="W372" t="inlineStr">
        <is>
          <t>Archivkarton</t>
        </is>
      </c>
      <c r="X372" t="inlineStr">
        <is>
          <t>Nein</t>
        </is>
      </c>
      <c r="Y372" t="n">
        <v>3</v>
      </c>
      <c r="Z372" t="inlineStr"/>
      <c r="AA372" t="inlineStr">
        <is>
          <t>Einband und Buchblock seperat</t>
        </is>
      </c>
      <c r="AB372" t="inlineStr"/>
      <c r="AC372" t="inlineStr"/>
      <c r="AD372" t="inlineStr"/>
      <c r="AE372" t="inlineStr"/>
      <c r="AF372" t="inlineStr"/>
      <c r="AG372" t="inlineStr"/>
      <c r="AH372" t="inlineStr"/>
      <c r="AI372" t="inlineStr">
        <is>
          <t>oE</t>
        </is>
      </c>
      <c r="AJ372" t="inlineStr">
        <is>
          <t xml:space="preserve">
Umschlag liegt der Mappe bei</t>
        </is>
      </c>
      <c r="AK372" t="inlineStr"/>
      <c r="AL372" t="inlineStr"/>
      <c r="AM372" t="inlineStr"/>
      <c r="AN372" t="inlineStr"/>
      <c r="AO372" t="inlineStr"/>
      <c r="AP372" t="inlineStr"/>
      <c r="AQ372" t="inlineStr"/>
      <c r="AR372" t="inlineStr"/>
      <c r="AS372" t="inlineStr">
        <is>
          <t>Pa</t>
        </is>
      </c>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is>
          <t>nur 110</t>
        </is>
      </c>
      <c r="BH372" t="inlineStr"/>
      <c r="BI372" t="inlineStr"/>
      <c r="BJ372" t="inlineStr"/>
      <c r="BK372" t="inlineStr"/>
      <c r="BL372" t="inlineStr"/>
      <c r="BM372" t="inlineStr">
        <is>
          <t>n</t>
        </is>
      </c>
      <c r="BN372" t="n">
        <v>0</v>
      </c>
      <c r="BO372" t="inlineStr"/>
      <c r="BP372" t="inlineStr"/>
      <c r="BQ372" t="inlineStr"/>
      <c r="BR372" t="inlineStr"/>
      <c r="BS372" t="inlineStr">
        <is>
          <t>x</t>
        </is>
      </c>
      <c r="BT372" t="inlineStr"/>
      <c r="BU372" t="inlineStr"/>
      <c r="BV372" t="inlineStr">
        <is>
          <t>Umschlag liegt der Mappe bei</t>
        </is>
      </c>
      <c r="BW372" t="inlineStr">
        <is>
          <t>x nur 110</t>
        </is>
      </c>
      <c r="BX372" t="inlineStr">
        <is>
          <t xml:space="preserve">
Umschlag der Broschur liegt lose bei</t>
        </is>
      </c>
      <c r="BY372" t="inlineStr"/>
      <c r="BZ372" t="inlineStr"/>
      <c r="CA372" t="inlineStr"/>
      <c r="CB372" t="inlineStr"/>
      <c r="CC372" t="inlineStr"/>
      <c r="CD372" t="inlineStr"/>
      <c r="CE372" t="inlineStr"/>
      <c r="CF372" t="inlineStr"/>
      <c r="CG372" t="inlineStr"/>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c r="DA372" t="inlineStr"/>
      <c r="DB372" t="inlineStr"/>
      <c r="DC372" t="inlineStr"/>
      <c r="DD372" t="inlineStr"/>
      <c r="DE372" t="inlineStr"/>
      <c r="DF372" t="inlineStr"/>
      <c r="DG372" t="inlineStr"/>
    </row>
    <row r="373">
      <c r="A373" t="inlineStr">
        <is>
          <t>III</t>
        </is>
      </c>
      <c r="B373" t="b">
        <v>1</v>
      </c>
      <c r="C373" t="inlineStr"/>
      <c r="D373" t="inlineStr"/>
      <c r="E373" t="n">
        <v>412</v>
      </c>
      <c r="F373">
        <f>HYPERLINK("https://portal.dnb.de/opac.htm?method=simpleSearch&amp;cqlMode=true&amp;query=idn%3D361853246", "Portal")</f>
        <v/>
      </c>
      <c r="G373" t="inlineStr">
        <is>
          <t>Aal</t>
        </is>
      </c>
      <c r="H373" t="inlineStr">
        <is>
          <t>L-1537-306836408</t>
        </is>
      </c>
      <c r="I373" t="inlineStr">
        <is>
          <t>361853246</t>
        </is>
      </c>
      <c r="J373" t="inlineStr">
        <is>
          <t>III 51, 21</t>
        </is>
      </c>
      <c r="K373" t="inlineStr">
        <is>
          <t>III 51, 21</t>
        </is>
      </c>
      <c r="L373" t="inlineStr">
        <is>
          <t>III 51, 21</t>
        </is>
      </c>
      <c r="M373" t="inlineStr"/>
      <c r="N373" t="inlineStr">
        <is>
          <t>Sechsisch Weych=||bild vnd Lehenrecht/ Jtzt|| auffs naw/ nach den warhafften alden|| exemplarn vnd texten mit vleis corri=||girt ... sampt eim|| nawen</t>
        </is>
      </c>
      <c r="O373" t="inlineStr">
        <is>
          <t xml:space="preserve"> : </t>
        </is>
      </c>
      <c r="P373" t="inlineStr"/>
      <c r="Q373" t="inlineStr"/>
      <c r="R373" t="inlineStr"/>
      <c r="S373" t="inlineStr"/>
      <c r="T373" t="inlineStr"/>
      <c r="U373" t="inlineStr"/>
      <c r="V373" t="inlineStr"/>
      <c r="W373" t="inlineStr"/>
      <c r="X373" t="inlineStr"/>
      <c r="Y373" t="inlineStr"/>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c r="BH373" t="inlineStr"/>
      <c r="BI373" t="inlineStr"/>
      <c r="BJ373" t="inlineStr"/>
      <c r="BK373" t="inlineStr"/>
      <c r="BL373" t="inlineStr"/>
      <c r="BM373" t="inlineStr"/>
      <c r="BN373" t="n">
        <v>0</v>
      </c>
      <c r="BO373" t="inlineStr"/>
      <c r="BP373" t="inlineStr"/>
      <c r="BQ373" t="inlineStr"/>
      <c r="BR373" t="inlineStr"/>
      <c r="BS373" t="inlineStr"/>
      <c r="BT373" t="inlineStr"/>
      <c r="BU373" t="inlineStr"/>
      <c r="BV373" t="inlineStr"/>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c r="DA373" t="inlineStr"/>
      <c r="DB373" t="inlineStr"/>
      <c r="DC373" t="inlineStr"/>
      <c r="DD373" t="inlineStr"/>
      <c r="DE373" t="inlineStr"/>
      <c r="DF373" t="inlineStr"/>
      <c r="DG373" t="inlineStr"/>
    </row>
    <row r="374">
      <c r="A374" t="inlineStr">
        <is>
          <t>III</t>
        </is>
      </c>
      <c r="B374" t="b">
        <v>1</v>
      </c>
      <c r="C374" t="inlineStr"/>
      <c r="D374" t="inlineStr"/>
      <c r="E374" t="n">
        <v>435</v>
      </c>
      <c r="F374">
        <f>HYPERLINK("https://portal.dnb.de/opac.htm?method=simpleSearch&amp;cqlMode=true&amp;query=idn%3D1066964041", "Portal")</f>
        <v/>
      </c>
      <c r="G374" t="inlineStr">
        <is>
          <t>Aaf</t>
        </is>
      </c>
      <c r="H374" t="inlineStr">
        <is>
          <t>L-1541-315494255</t>
        </is>
      </c>
      <c r="I374" t="inlineStr">
        <is>
          <t>1066964041</t>
        </is>
      </c>
      <c r="J374" t="inlineStr">
        <is>
          <t>III 51, 21 a</t>
        </is>
      </c>
      <c r="K374" t="inlineStr">
        <is>
          <t>III 51, 21 a</t>
        </is>
      </c>
      <c r="L374" t="inlineStr">
        <is>
          <t>III 51, 21 a</t>
        </is>
      </c>
      <c r="M374" t="inlineStr"/>
      <c r="N374" t="inlineStr">
        <is>
          <t>Vom Christ=||lichen Ritter|| Mit was Feinden er|| kempffen mus/ Ein kurtzer vnter=||richt aus der heiligen|| Schrifft/ durch|| IOHAN. SPANGENBERG.|| D</t>
        </is>
      </c>
      <c r="O374" t="inlineStr">
        <is>
          <t xml:space="preserve"> : </t>
        </is>
      </c>
      <c r="P374" t="inlineStr"/>
      <c r="Q374" t="inlineStr"/>
      <c r="R374" t="inlineStr">
        <is>
          <t>Halbpergamentband</t>
        </is>
      </c>
      <c r="S374" t="inlineStr">
        <is>
          <t>bis 25 cm</t>
        </is>
      </c>
      <c r="T374" t="inlineStr">
        <is>
          <t>180°</t>
        </is>
      </c>
      <c r="U374" t="inlineStr">
        <is>
          <t>hohler Rücken</t>
        </is>
      </c>
      <c r="V374" t="inlineStr"/>
      <c r="W374" t="inlineStr"/>
      <c r="X374" t="inlineStr">
        <is>
          <t>Signaturfahne austauschen</t>
        </is>
      </c>
      <c r="Y374" t="n">
        <v>0</v>
      </c>
      <c r="Z374" t="inlineStr"/>
      <c r="AA374" t="inlineStr"/>
      <c r="AB374" t="inlineStr"/>
      <c r="AC374" t="inlineStr"/>
      <c r="AD374" t="inlineStr"/>
      <c r="AE374" t="inlineStr"/>
      <c r="AF374" t="inlineStr"/>
      <c r="AG374" t="inlineStr"/>
      <c r="AH374" t="inlineStr"/>
      <c r="AI374" t="inlineStr"/>
      <c r="AJ374" t="inlineStr"/>
      <c r="AK374" t="inlineStr"/>
      <c r="AL374" t="inlineStr"/>
      <c r="AM374" t="inlineStr"/>
      <c r="AN374" t="inlineStr"/>
      <c r="AO374" t="inlineStr"/>
      <c r="AP374" t="inlineStr"/>
      <c r="AQ374" t="inlineStr"/>
      <c r="AR374" t="inlineStr"/>
      <c r="AS374" t="inlineStr"/>
      <c r="AT374" t="inlineStr"/>
      <c r="AU374" t="inlineStr"/>
      <c r="AV374" t="inlineStr"/>
      <c r="AW374" t="inlineStr"/>
      <c r="AX374" t="inlineStr"/>
      <c r="AY374" t="inlineStr"/>
      <c r="AZ374" t="inlineStr"/>
      <c r="BA374" t="inlineStr"/>
      <c r="BB374" t="inlineStr"/>
      <c r="BC374" t="inlineStr"/>
      <c r="BD374" t="inlineStr"/>
      <c r="BE374" t="inlineStr"/>
      <c r="BF374" t="inlineStr"/>
      <c r="BG374" t="inlineStr"/>
      <c r="BH374" t="inlineStr"/>
      <c r="BI374" t="inlineStr"/>
      <c r="BJ374" t="inlineStr"/>
      <c r="BK374" t="inlineStr"/>
      <c r="BL374" t="inlineStr"/>
      <c r="BM374" t="inlineStr"/>
      <c r="BN374" t="n">
        <v>0</v>
      </c>
      <c r="BO374" t="inlineStr"/>
      <c r="BP374" t="inlineStr"/>
      <c r="BQ374" t="inlineStr"/>
      <c r="BR374" t="inlineStr"/>
      <c r="BS374" t="inlineStr"/>
      <c r="BT374" t="inlineStr"/>
      <c r="BU374" t="inlineStr"/>
      <c r="BV374" t="inlineStr"/>
      <c r="BW374" t="inlineStr"/>
      <c r="BX374" t="inlineStr"/>
      <c r="BY374" t="inlineStr"/>
      <c r="BZ374" t="inlineStr"/>
      <c r="CA374" t="inlineStr"/>
      <c r="CB374" t="inlineStr"/>
      <c r="CC374" t="inlineStr"/>
      <c r="CD374" t="inlineStr"/>
      <c r="CE374" t="inlineStr"/>
      <c r="CF374" t="inlineStr"/>
      <c r="CG374" t="inlineStr"/>
      <c r="CH374" t="inlineStr"/>
      <c r="CI374" t="inlineStr"/>
      <c r="CJ374" t="inlineStr"/>
      <c r="CK374" t="inlineStr"/>
      <c r="CL374" t="inlineStr"/>
      <c r="CM374" t="inlineStr"/>
      <c r="CN374" t="inlineStr"/>
      <c r="CO374" t="inlineStr"/>
      <c r="CP374" t="inlineStr"/>
      <c r="CQ374" t="inlineStr"/>
      <c r="CR374" t="inlineStr"/>
      <c r="CS374" t="inlineStr"/>
      <c r="CT374" t="inlineStr"/>
      <c r="CU374" t="inlineStr"/>
      <c r="CV374" t="inlineStr"/>
      <c r="CW374" t="inlineStr"/>
      <c r="CX374" t="inlineStr"/>
      <c r="CY374" t="inlineStr"/>
      <c r="CZ374" t="inlineStr"/>
      <c r="DA374" t="inlineStr"/>
      <c r="DB374" t="inlineStr"/>
      <c r="DC374" t="inlineStr"/>
      <c r="DD374" t="inlineStr"/>
      <c r="DE374" t="inlineStr"/>
      <c r="DF374" t="inlineStr"/>
      <c r="DG374" t="inlineStr"/>
    </row>
    <row r="375">
      <c r="A375" t="inlineStr">
        <is>
          <t>III</t>
        </is>
      </c>
      <c r="B375" t="b">
        <v>1</v>
      </c>
      <c r="C375" t="inlineStr"/>
      <c r="D375" t="inlineStr"/>
      <c r="E375" t="n">
        <v>413</v>
      </c>
      <c r="F375">
        <f>HYPERLINK("https://portal.dnb.de/opac.htm?method=simpleSearch&amp;cqlMode=true&amp;query=idn%3D1066963622", "Portal")</f>
        <v/>
      </c>
      <c r="G375" t="inlineStr">
        <is>
          <t>Aaf</t>
        </is>
      </c>
      <c r="H375" t="inlineStr">
        <is>
          <t>L-1528-315493860</t>
        </is>
      </c>
      <c r="I375" t="inlineStr">
        <is>
          <t>1066963622</t>
        </is>
      </c>
      <c r="J375" t="inlineStr">
        <is>
          <t>III 51, 22</t>
        </is>
      </c>
      <c r="K375" t="inlineStr">
        <is>
          <t>III 51, 22</t>
        </is>
      </c>
      <c r="L375" t="inlineStr">
        <is>
          <t>III 51, 22</t>
        </is>
      </c>
      <c r="M375" t="inlineStr"/>
      <c r="N375" t="inlineStr">
        <is>
          <t xml:space="preserve">Das @New Testa||m?t/ So durch L.Emser s#[ae]li||g? #[v]teuscht/vnd des Durch||lewcht? Hochgeborn? Furst? vñ : </t>
        </is>
      </c>
      <c r="O375" t="inlineStr">
        <is>
          <t xml:space="preserve"> : </t>
        </is>
      </c>
      <c r="P375" t="inlineStr"/>
      <c r="Q375" t="inlineStr"/>
      <c r="R375" t="inlineStr"/>
      <c r="S375" t="inlineStr">
        <is>
          <t>bis 25 cm</t>
        </is>
      </c>
      <c r="T375" t="inlineStr"/>
      <c r="U375" t="inlineStr"/>
      <c r="V375" t="inlineStr"/>
      <c r="W375" t="inlineStr"/>
      <c r="X375" t="inlineStr"/>
      <c r="Y375" t="inlineStr"/>
      <c r="Z375" t="inlineStr"/>
      <c r="AA375" t="inlineStr"/>
      <c r="AB375" t="inlineStr"/>
      <c r="AC375" t="inlineStr"/>
      <c r="AD375" t="inlineStr"/>
      <c r="AE375" t="inlineStr"/>
      <c r="AF375" t="inlineStr"/>
      <c r="AG375" t="inlineStr"/>
      <c r="AH375" t="inlineStr">
        <is>
          <t>x</t>
        </is>
      </c>
      <c r="AI375" t="inlineStr">
        <is>
          <t>L</t>
        </is>
      </c>
      <c r="AJ375" t="inlineStr"/>
      <c r="AK375" t="inlineStr">
        <is>
          <t>x</t>
        </is>
      </c>
      <c r="AL375" t="inlineStr"/>
      <c r="AM375" t="inlineStr">
        <is>
          <t>f/V</t>
        </is>
      </c>
      <c r="AN375" t="inlineStr"/>
      <c r="AO375" t="inlineStr"/>
      <c r="AP375" t="inlineStr"/>
      <c r="AQ375" t="inlineStr"/>
      <c r="AR375" t="inlineStr"/>
      <c r="AS375" t="inlineStr">
        <is>
          <t>Pa</t>
        </is>
      </c>
      <c r="AT375" t="inlineStr"/>
      <c r="AU375" t="inlineStr"/>
      <c r="AV375" t="inlineStr"/>
      <c r="AW375" t="inlineStr"/>
      <c r="AX375" t="inlineStr"/>
      <c r="AY375" t="inlineStr"/>
      <c r="AZ375" t="inlineStr"/>
      <c r="BA375" t="inlineStr"/>
      <c r="BB375" t="inlineStr"/>
      <c r="BC375" t="inlineStr"/>
      <c r="BD375" t="inlineStr"/>
      <c r="BE375" t="inlineStr"/>
      <c r="BF375" t="inlineStr"/>
      <c r="BG375" t="n">
        <v>0</v>
      </c>
      <c r="BH375" t="inlineStr">
        <is>
          <t xml:space="preserve">
wegen Rücken</t>
        </is>
      </c>
      <c r="BI375" t="inlineStr"/>
      <c r="BJ375" t="inlineStr"/>
      <c r="BK375" t="inlineStr"/>
      <c r="BL375" t="inlineStr"/>
      <c r="BM375" t="inlineStr">
        <is>
          <t>n</t>
        </is>
      </c>
      <c r="BN375" t="n">
        <v>0</v>
      </c>
      <c r="BO375" t="inlineStr"/>
      <c r="BP375" t="inlineStr"/>
      <c r="BQ375" t="inlineStr"/>
      <c r="BR375" t="inlineStr"/>
      <c r="BS375" t="inlineStr"/>
      <c r="BT375" t="inlineStr"/>
      <c r="BU375" t="inlineStr"/>
      <c r="BV375" t="inlineStr"/>
      <c r="BW375" t="inlineStr"/>
      <c r="BX375" t="inlineStr"/>
      <c r="BY375" t="inlineStr"/>
      <c r="BZ375" t="inlineStr"/>
      <c r="CA375" t="inlineStr"/>
      <c r="CB375" t="inlineStr"/>
      <c r="CC375" t="inlineStr"/>
      <c r="CD375" t="inlineStr"/>
      <c r="CE375" t="inlineStr"/>
      <c r="CF375" t="inlineStr"/>
      <c r="CG375" t="inlineStr"/>
      <c r="CH375" t="inlineStr"/>
      <c r="CI375" t="inlineStr"/>
      <c r="CJ375" t="inlineStr"/>
      <c r="CK375" t="inlineStr"/>
      <c r="CL375" t="inlineStr"/>
      <c r="CM375" t="inlineStr"/>
      <c r="CN375" t="inlineStr"/>
      <c r="CO375" t="inlineStr"/>
      <c r="CP375" t="inlineStr"/>
      <c r="CQ375" t="inlineStr"/>
      <c r="CR375" t="inlineStr"/>
      <c r="CS375" t="inlineStr"/>
      <c r="CT375" t="inlineStr"/>
      <c r="CU375" t="inlineStr"/>
      <c r="CV375" t="inlineStr"/>
      <c r="CW375" t="inlineStr"/>
      <c r="CX375" t="inlineStr"/>
      <c r="CY375" t="inlineStr"/>
      <c r="CZ375" t="inlineStr"/>
      <c r="DA375" t="inlineStr"/>
      <c r="DB375" t="inlineStr"/>
      <c r="DC375" t="inlineStr"/>
      <c r="DD375" t="inlineStr"/>
      <c r="DE375" t="inlineStr"/>
      <c r="DF375" t="inlineStr"/>
      <c r="DG375" t="inlineStr"/>
    </row>
    <row r="376">
      <c r="A376" t="inlineStr">
        <is>
          <t>III</t>
        </is>
      </c>
      <c r="B376" t="b">
        <v>1</v>
      </c>
      <c r="C376" t="inlineStr"/>
      <c r="D376" t="inlineStr"/>
      <c r="E376" t="n">
        <v>436</v>
      </c>
      <c r="F376">
        <f>HYPERLINK("https://portal.dnb.de/opac.htm?method=simpleSearch&amp;cqlMode=true&amp;query=idn%3D1066956820", "Portal")</f>
        <v/>
      </c>
      <c r="G376" t="inlineStr">
        <is>
          <t>Aaf</t>
        </is>
      </c>
      <c r="H376" t="inlineStr">
        <is>
          <t>L-1521-315487437</t>
        </is>
      </c>
      <c r="I376" t="inlineStr">
        <is>
          <t>1066956820</t>
        </is>
      </c>
      <c r="J376" t="inlineStr">
        <is>
          <t>III 51, 22 a</t>
        </is>
      </c>
      <c r="K376" t="inlineStr">
        <is>
          <t>III 51, 22 a</t>
        </is>
      </c>
      <c r="L376" t="inlineStr">
        <is>
          <t>III 51, 22 a</t>
        </is>
      </c>
      <c r="M376" t="inlineStr"/>
      <c r="N376" t="inlineStr">
        <is>
          <t xml:space="preserve">Die @verteutsth|| Bulle vnder dem na=||men des Bapst Leo des tze=||henden. Wyder do||ctor Marti=||nus|| Luther ausgan||gen.|| : </t>
        </is>
      </c>
      <c r="O376" t="inlineStr">
        <is>
          <t xml:space="preserve"> : </t>
        </is>
      </c>
      <c r="P376" t="inlineStr">
        <is>
          <t>X</t>
        </is>
      </c>
      <c r="Q376" t="inlineStr"/>
      <c r="R376" t="inlineStr">
        <is>
          <t>Pergamentband</t>
        </is>
      </c>
      <c r="S376" t="inlineStr">
        <is>
          <t>bis 25 cm</t>
        </is>
      </c>
      <c r="T376" t="inlineStr">
        <is>
          <t>180°</t>
        </is>
      </c>
      <c r="U376" t="inlineStr"/>
      <c r="V376" t="inlineStr"/>
      <c r="W376" t="inlineStr">
        <is>
          <t>Kassette</t>
        </is>
      </c>
      <c r="X376" t="inlineStr">
        <is>
          <t>Nein</t>
        </is>
      </c>
      <c r="Y376" t="n">
        <v>0</v>
      </c>
      <c r="Z376" t="inlineStr"/>
      <c r="AA376" t="inlineStr"/>
      <c r="AB376" t="inlineStr"/>
      <c r="AC376" t="inlineStr"/>
      <c r="AD376" t="inlineStr"/>
      <c r="AE376" t="inlineStr"/>
      <c r="AF376" t="inlineStr"/>
      <c r="AG376" t="inlineStr"/>
      <c r="AH376" t="inlineStr"/>
      <c r="AI376" t="inlineStr"/>
      <c r="AJ376" t="inlineStr"/>
      <c r="AK376" t="inlineStr"/>
      <c r="AL376" t="inlineStr"/>
      <c r="AM376" t="inlineStr"/>
      <c r="AN376" t="inlineStr"/>
      <c r="AO376" t="inlineStr"/>
      <c r="AP376" t="inlineStr"/>
      <c r="AQ376" t="inlineStr"/>
      <c r="AR376" t="inlineStr"/>
      <c r="AS376" t="inlineStr"/>
      <c r="AT376" t="inlineStr"/>
      <c r="AU376" t="inlineStr"/>
      <c r="AV376" t="inlineStr"/>
      <c r="AW376" t="inlineStr"/>
      <c r="AX376" t="inlineStr"/>
      <c r="AY376" t="inlineStr"/>
      <c r="AZ376" t="inlineStr"/>
      <c r="BA376" t="inlineStr"/>
      <c r="BB376" t="inlineStr"/>
      <c r="BC376" t="inlineStr"/>
      <c r="BD376" t="inlineStr"/>
      <c r="BE376" t="inlineStr"/>
      <c r="BF376" t="inlineStr"/>
      <c r="BG376" t="inlineStr"/>
      <c r="BH376" t="inlineStr"/>
      <c r="BI376" t="inlineStr"/>
      <c r="BJ376" t="inlineStr"/>
      <c r="BK376" t="inlineStr"/>
      <c r="BL376" t="inlineStr"/>
      <c r="BM376" t="inlineStr"/>
      <c r="BN376" t="n">
        <v>0</v>
      </c>
      <c r="BO376" t="inlineStr"/>
      <c r="BP376" t="inlineStr"/>
      <c r="BQ376" t="inlineStr"/>
      <c r="BR376" t="inlineStr"/>
      <c r="BS376" t="inlineStr"/>
      <c r="BT376" t="inlineStr"/>
      <c r="BU376" t="inlineStr"/>
      <c r="BV376" t="inlineStr"/>
      <c r="BW376" t="inlineStr"/>
      <c r="BX376" t="inlineStr"/>
      <c r="BY376" t="inlineStr"/>
      <c r="BZ376" t="inlineStr"/>
      <c r="CA376" t="inlineStr"/>
      <c r="CB376" t="inlineStr"/>
      <c r="CC376" t="inlineStr"/>
      <c r="CD376" t="inlineStr"/>
      <c r="CE376" t="inlineStr"/>
      <c r="CF376" t="inlineStr"/>
      <c r="CG376" t="inlineStr"/>
      <c r="CH376" t="inlineStr"/>
      <c r="CI376" t="inlineStr"/>
      <c r="CJ376" t="inlineStr"/>
      <c r="CK376" t="inlineStr"/>
      <c r="CL376" t="inlineStr"/>
      <c r="CM376" t="inlineStr"/>
      <c r="CN376" t="inlineStr"/>
      <c r="CO376" t="inlineStr"/>
      <c r="CP376" t="inlineStr"/>
      <c r="CQ376" t="inlineStr"/>
      <c r="CR376" t="inlineStr"/>
      <c r="CS376" t="inlineStr"/>
      <c r="CT376" t="inlineStr"/>
      <c r="CU376" t="inlineStr"/>
      <c r="CV376" t="inlineStr"/>
      <c r="CW376" t="inlineStr"/>
      <c r="CX376" t="inlineStr"/>
      <c r="CY376" t="inlineStr"/>
      <c r="CZ376" t="inlineStr"/>
      <c r="DA376" t="inlineStr"/>
      <c r="DB376" t="inlineStr"/>
      <c r="DC376" t="inlineStr"/>
      <c r="DD376" t="inlineStr"/>
      <c r="DE376" t="inlineStr"/>
      <c r="DF376" t="inlineStr"/>
      <c r="DG376" t="inlineStr"/>
    </row>
    <row r="377">
      <c r="A377" t="inlineStr">
        <is>
          <t>III</t>
        </is>
      </c>
      <c r="B377" t="b">
        <v>1</v>
      </c>
      <c r="C377" t="inlineStr"/>
      <c r="D377" t="inlineStr"/>
      <c r="E377" t="n">
        <v>414</v>
      </c>
      <c r="F377">
        <f>HYPERLINK("https://portal.dnb.de/opac.htm?method=simpleSearch&amp;cqlMode=true&amp;query=idn%3D1066964351", "Portal")</f>
        <v/>
      </c>
      <c r="G377" t="inlineStr">
        <is>
          <t>Aaf</t>
        </is>
      </c>
      <c r="H377" t="inlineStr">
        <is>
          <t>L-1529-315494581</t>
        </is>
      </c>
      <c r="I377" t="inlineStr">
        <is>
          <t>1066964351</t>
        </is>
      </c>
      <c r="J377" t="inlineStr">
        <is>
          <t>III 51, 23</t>
        </is>
      </c>
      <c r="K377" t="inlineStr">
        <is>
          <t>III 51, 23</t>
        </is>
      </c>
      <c r="L377" t="inlineStr">
        <is>
          <t>III 51, 23</t>
        </is>
      </c>
      <c r="M377" t="inlineStr"/>
      <c r="N377" t="inlineStr">
        <is>
          <t>Das @New Testa||m?t/ So durch H. Emser s#[ae]li||g? #[v]teutscht/ vnd des Durch||lewcht? Hochgeborn? F#[ue]rst? vñ|| herr? Herr? Georg? Hertzogen|| zu</t>
        </is>
      </c>
      <c r="O377" t="inlineStr">
        <is>
          <t xml:space="preserve"> : </t>
        </is>
      </c>
      <c r="P377" t="inlineStr"/>
      <c r="Q377" t="inlineStr"/>
      <c r="R377" t="inlineStr"/>
      <c r="S377" t="inlineStr">
        <is>
          <t>bis 25 cm</t>
        </is>
      </c>
      <c r="T377" t="inlineStr"/>
      <c r="U377" t="inlineStr"/>
      <c r="V377" t="inlineStr"/>
      <c r="W377" t="inlineStr"/>
      <c r="X377" t="inlineStr"/>
      <c r="Y377" t="inlineStr"/>
      <c r="Z377" t="inlineStr"/>
      <c r="AA377" t="inlineStr"/>
      <c r="AB377" t="inlineStr"/>
      <c r="AC377" t="inlineStr"/>
      <c r="AD377" t="inlineStr"/>
      <c r="AE377" t="inlineStr"/>
      <c r="AF377" t="inlineStr"/>
      <c r="AG377" t="inlineStr"/>
      <c r="AH377" t="inlineStr">
        <is>
          <t>x</t>
        </is>
      </c>
      <c r="AI377" t="inlineStr">
        <is>
          <t>L</t>
        </is>
      </c>
      <c r="AJ377" t="inlineStr"/>
      <c r="AK377" t="inlineStr">
        <is>
          <t>x</t>
        </is>
      </c>
      <c r="AL377" t="inlineStr"/>
      <c r="AM377" t="inlineStr">
        <is>
          <t>h/E</t>
        </is>
      </c>
      <c r="AN377" t="inlineStr"/>
      <c r="AO377" t="inlineStr"/>
      <c r="AP377" t="inlineStr"/>
      <c r="AQ377" t="inlineStr"/>
      <c r="AR377" t="inlineStr"/>
      <c r="AS377" t="inlineStr">
        <is>
          <t>Pa</t>
        </is>
      </c>
      <c r="AT377" t="inlineStr"/>
      <c r="AU377" t="inlineStr"/>
      <c r="AV377" t="inlineStr"/>
      <c r="AW377" t="inlineStr"/>
      <c r="AX377" t="inlineStr"/>
      <c r="AY377" t="inlineStr"/>
      <c r="AZ377" t="inlineStr"/>
      <c r="BA377" t="inlineStr"/>
      <c r="BB377" t="inlineStr"/>
      <c r="BC377" t="inlineStr">
        <is>
          <t>I/R</t>
        </is>
      </c>
      <c r="BD377" t="inlineStr">
        <is>
          <t>x</t>
        </is>
      </c>
      <c r="BE377" t="inlineStr"/>
      <c r="BF377" t="inlineStr"/>
      <c r="BG377" t="n">
        <v>110</v>
      </c>
      <c r="BH377" t="inlineStr"/>
      <c r="BI377" t="inlineStr"/>
      <c r="BJ377" t="inlineStr"/>
      <c r="BK377" t="inlineStr"/>
      <c r="BL377" t="inlineStr"/>
      <c r="BM377" t="inlineStr">
        <is>
          <t>n</t>
        </is>
      </c>
      <c r="BN377" t="n">
        <v>0</v>
      </c>
      <c r="BO377" t="inlineStr"/>
      <c r="BP377" t="inlineStr"/>
      <c r="BQ377" t="inlineStr"/>
      <c r="BR377" t="inlineStr"/>
      <c r="BS377" t="inlineStr"/>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c r="DA377" t="inlineStr"/>
      <c r="DB377" t="inlineStr"/>
      <c r="DC377" t="inlineStr"/>
      <c r="DD377" t="inlineStr"/>
      <c r="DE377" t="inlineStr"/>
      <c r="DF377" t="inlineStr"/>
      <c r="DG377" t="inlineStr"/>
    </row>
    <row r="378">
      <c r="A378" t="inlineStr">
        <is>
          <t>III</t>
        </is>
      </c>
      <c r="B378" t="b">
        <v>1</v>
      </c>
      <c r="C378" t="inlineStr"/>
      <c r="D378" t="inlineStr"/>
      <c r="E378" t="n">
        <v>437</v>
      </c>
      <c r="F378">
        <f>HYPERLINK("https://portal.dnb.de/opac.htm?method=simpleSearch&amp;cqlMode=true&amp;query=idn%3D1002109116", "Portal")</f>
        <v/>
      </c>
      <c r="G378" t="inlineStr">
        <is>
          <t>Aal</t>
        </is>
      </c>
      <c r="H378" t="inlineStr">
        <is>
          <t>L-1516-176473513</t>
        </is>
      </c>
      <c r="I378" t="inlineStr">
        <is>
          <t>1002109116</t>
        </is>
      </c>
      <c r="J378" t="inlineStr">
        <is>
          <t>III 51, 23a</t>
        </is>
      </c>
      <c r="K378" t="inlineStr">
        <is>
          <t>III 51, 23a</t>
        </is>
      </c>
      <c r="L378" t="inlineStr">
        <is>
          <t>III 51, 23 a</t>
        </is>
      </c>
      <c r="M378" t="inlineStr"/>
      <c r="N378" t="inlineStr">
        <is>
          <t xml:space="preserve">Suetonis Tran=||quilli. Liber illustriu|| virorum.|| Ad lectorum,|| Romanas acies regumq. illustria facta|| ... : </t>
        </is>
      </c>
      <c r="O378" t="inlineStr">
        <is>
          <t xml:space="preserve"> : </t>
        </is>
      </c>
      <c r="P378" t="inlineStr"/>
      <c r="Q378" t="inlineStr"/>
      <c r="R378" t="inlineStr">
        <is>
          <t>Papier- oder Pappeinband</t>
        </is>
      </c>
      <c r="S378" t="inlineStr">
        <is>
          <t>bis 25 cm</t>
        </is>
      </c>
      <c r="T378" t="inlineStr">
        <is>
          <t>80° bis 110°, einseitig digitalisierbar?</t>
        </is>
      </c>
      <c r="U378" t="inlineStr">
        <is>
          <t>Schrift bis in den Falz, hohler Rücken</t>
        </is>
      </c>
      <c r="V378" t="inlineStr"/>
      <c r="W378" t="inlineStr">
        <is>
          <t xml:space="preserve">Papierumschlag </t>
        </is>
      </c>
      <c r="X378" t="inlineStr">
        <is>
          <t>Ja</t>
        </is>
      </c>
      <c r="Y378" t="n">
        <v>0</v>
      </c>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c r="BH378" t="inlineStr"/>
      <c r="BI378" t="inlineStr"/>
      <c r="BJ378" t="inlineStr"/>
      <c r="BK378" t="inlineStr"/>
      <c r="BL378" t="inlineStr"/>
      <c r="BM378" t="inlineStr"/>
      <c r="BN378" t="n">
        <v>0</v>
      </c>
      <c r="BO378" t="inlineStr"/>
      <c r="BP378" t="inlineStr"/>
      <c r="BQ378" t="inlineStr"/>
      <c r="BR378" t="inlineStr"/>
      <c r="BS378" t="inlineStr"/>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c r="DA378" t="inlineStr"/>
      <c r="DB378" t="inlineStr"/>
      <c r="DC378" t="inlineStr"/>
      <c r="DD378" t="inlineStr"/>
      <c r="DE378" t="inlineStr"/>
      <c r="DF378" t="inlineStr"/>
      <c r="DG378" t="inlineStr"/>
    </row>
    <row r="379">
      <c r="A379" t="inlineStr">
        <is>
          <t>III</t>
        </is>
      </c>
      <c r="B379" t="b">
        <v>1</v>
      </c>
      <c r="C379" t="inlineStr"/>
      <c r="D379" t="inlineStr"/>
      <c r="E379" t="n">
        <v>415</v>
      </c>
      <c r="F379">
        <f>HYPERLINK("https://portal.dnb.de/opac.htm?method=simpleSearch&amp;cqlMode=true&amp;query=idn%3D1066961433", "Portal")</f>
        <v/>
      </c>
      <c r="G379" t="inlineStr">
        <is>
          <t>Aaf</t>
        </is>
      </c>
      <c r="H379" t="inlineStr">
        <is>
          <t>L-1538-315491825</t>
        </is>
      </c>
      <c r="I379" t="inlineStr">
        <is>
          <t>1066961433</t>
        </is>
      </c>
      <c r="J379" t="inlineStr">
        <is>
          <t>III 51, 24</t>
        </is>
      </c>
      <c r="K379" t="inlineStr">
        <is>
          <t>III 51, 24</t>
        </is>
      </c>
      <c r="L379" t="inlineStr">
        <is>
          <t>III 51, 24</t>
        </is>
      </c>
      <c r="M379" t="inlineStr"/>
      <c r="N379" t="inlineStr">
        <is>
          <t>Rechnung auff|| der Linien vnd Federn|| Auff allerley handtirung ge-||macht/ durch Adam Risen.|| Jtem auffs new vbersehen vnd|| an viel #[oe]rten gebe</t>
        </is>
      </c>
      <c r="O379" t="inlineStr">
        <is>
          <t xml:space="preserve"> : </t>
        </is>
      </c>
      <c r="P379" t="inlineStr">
        <is>
          <t>X</t>
        </is>
      </c>
      <c r="Q379" t="inlineStr"/>
      <c r="R379" t="inlineStr">
        <is>
          <t>Papier- oder Pappeinband</t>
        </is>
      </c>
      <c r="S379" t="inlineStr">
        <is>
          <t>bis 25 cm</t>
        </is>
      </c>
      <c r="T379" t="inlineStr">
        <is>
          <t>180°</t>
        </is>
      </c>
      <c r="U379" t="inlineStr"/>
      <c r="V379" t="inlineStr"/>
      <c r="W379" t="inlineStr">
        <is>
          <t>Kassette</t>
        </is>
      </c>
      <c r="X379" t="inlineStr">
        <is>
          <t>Nein</t>
        </is>
      </c>
      <c r="Y379" t="n">
        <v>3</v>
      </c>
      <c r="Z379" t="inlineStr"/>
      <c r="AA379" t="inlineStr">
        <is>
          <t>Einband und Buchblock separat</t>
        </is>
      </c>
      <c r="AB379" t="inlineStr"/>
      <c r="AC379" t="inlineStr"/>
      <c r="AD379" t="inlineStr"/>
      <c r="AE379" t="inlineStr"/>
      <c r="AF379" t="inlineStr"/>
      <c r="AG379" t="inlineStr"/>
      <c r="AH379" t="inlineStr">
        <is>
          <t>x</t>
        </is>
      </c>
      <c r="AI379" t="inlineStr">
        <is>
          <t>oE</t>
        </is>
      </c>
      <c r="AJ379" t="inlineStr">
        <is>
          <t xml:space="preserve">
Einband liegt lose bei</t>
        </is>
      </c>
      <c r="AK379" t="inlineStr"/>
      <c r="AL379" t="inlineStr">
        <is>
          <t>x</t>
        </is>
      </c>
      <c r="AM379" t="inlineStr"/>
      <c r="AN379" t="inlineStr"/>
      <c r="AO379" t="inlineStr"/>
      <c r="AP379" t="inlineStr"/>
      <c r="AQ379" t="inlineStr"/>
      <c r="AR379" t="inlineStr"/>
      <c r="AS379" t="inlineStr">
        <is>
          <t>Pa</t>
        </is>
      </c>
      <c r="AT379" t="inlineStr"/>
      <c r="AU379" t="inlineStr"/>
      <c r="AV379" t="inlineStr"/>
      <c r="AW379" t="inlineStr"/>
      <c r="AX379" t="inlineStr"/>
      <c r="AY379" t="inlineStr"/>
      <c r="AZ379" t="inlineStr"/>
      <c r="BA379" t="inlineStr"/>
      <c r="BB379" t="inlineStr"/>
      <c r="BC379" t="inlineStr"/>
      <c r="BD379" t="inlineStr"/>
      <c r="BE379" t="inlineStr"/>
      <c r="BF379" t="inlineStr"/>
      <c r="BG379" t="inlineStr">
        <is>
          <t>nur 110</t>
        </is>
      </c>
      <c r="BH379" t="inlineStr"/>
      <c r="BI379" t="inlineStr"/>
      <c r="BJ379" t="inlineStr"/>
      <c r="BK379" t="inlineStr"/>
      <c r="BL379" t="inlineStr"/>
      <c r="BM379" t="inlineStr">
        <is>
          <t>n</t>
        </is>
      </c>
      <c r="BN379" t="n">
        <v>0</v>
      </c>
      <c r="BO379" t="inlineStr"/>
      <c r="BP379" t="inlineStr">
        <is>
          <t>Gewebe</t>
        </is>
      </c>
      <c r="BQ379" t="inlineStr"/>
      <c r="BR379" t="inlineStr"/>
      <c r="BS379" t="inlineStr"/>
      <c r="BT379" t="inlineStr"/>
      <c r="BU379" t="inlineStr"/>
      <c r="BV379" t="inlineStr">
        <is>
          <t>Einband liegt lose bei</t>
        </is>
      </c>
      <c r="BW379" t="inlineStr"/>
      <c r="BX379" t="inlineStr"/>
      <c r="BY379" t="inlineStr"/>
      <c r="BZ379" t="inlineStr"/>
      <c r="CA379" t="inlineStr"/>
      <c r="CB379" t="inlineStr"/>
      <c r="CC379" t="inlineStr"/>
      <c r="CD379" t="inlineStr"/>
      <c r="CE379" t="inlineStr"/>
      <c r="CF379" t="inlineStr"/>
      <c r="CG379" t="inlineStr"/>
      <c r="CH379" t="inlineStr"/>
      <c r="CI379" t="inlineStr"/>
      <c r="CJ379" t="inlineStr"/>
      <c r="CK379" t="inlineStr"/>
      <c r="CL379" t="inlineStr"/>
      <c r="CM379" t="inlineStr"/>
      <c r="CN379" t="inlineStr"/>
      <c r="CO379" t="inlineStr"/>
      <c r="CP379" t="inlineStr"/>
      <c r="CQ379" t="inlineStr"/>
      <c r="CR379" t="inlineStr"/>
      <c r="CS379" t="inlineStr"/>
      <c r="CT379" t="inlineStr"/>
      <c r="CU379" t="inlineStr"/>
      <c r="CV379" t="inlineStr"/>
      <c r="CW379" t="inlineStr"/>
      <c r="CX379" t="inlineStr"/>
      <c r="CY379" t="inlineStr"/>
      <c r="CZ379" t="inlineStr"/>
      <c r="DA379" t="inlineStr"/>
      <c r="DB379" t="inlineStr"/>
      <c r="DC379" t="inlineStr"/>
      <c r="DD379" t="inlineStr"/>
      <c r="DE379" t="inlineStr"/>
      <c r="DF379" t="inlineStr"/>
      <c r="DG379" t="inlineStr"/>
    </row>
    <row r="380">
      <c r="A380" t="inlineStr">
        <is>
          <t>III</t>
        </is>
      </c>
      <c r="B380" t="b">
        <v>1</v>
      </c>
      <c r="C380" t="inlineStr">
        <is>
          <t>x</t>
        </is>
      </c>
      <c r="D380" t="inlineStr"/>
      <c r="E380" t="n">
        <v>416</v>
      </c>
      <c r="F380">
        <f>HYPERLINK("https://portal.dnb.de/opac.htm?method=simpleSearch&amp;cqlMode=true&amp;query=idn%3D1066958408", "Portal")</f>
        <v/>
      </c>
      <c r="G380" t="inlineStr">
        <is>
          <t>Aaf</t>
        </is>
      </c>
      <c r="H380" t="inlineStr">
        <is>
          <t>L-1528-315489022</t>
        </is>
      </c>
      <c r="I380" t="inlineStr">
        <is>
          <t>1066958408</t>
        </is>
      </c>
      <c r="J380" t="inlineStr">
        <is>
          <t>III 51, 25</t>
        </is>
      </c>
      <c r="K380" t="inlineStr">
        <is>
          <t>III 51, 25</t>
        </is>
      </c>
      <c r="L380" t="inlineStr">
        <is>
          <t>III 51, 25</t>
        </is>
      </c>
      <c r="M380" t="inlineStr"/>
      <c r="N380" t="inlineStr">
        <is>
          <t>Sachsenspie||gel. auffs newe ge=||druckt. vñ ander=||weit mit vleysse|| corrigiret.|| ...||[mit Addition vnnd Richt=||steygen «welchen der Gestrenge v</t>
        </is>
      </c>
      <c r="O380" t="inlineStr">
        <is>
          <t xml:space="preserve"> : </t>
        </is>
      </c>
      <c r="P380" t="inlineStr">
        <is>
          <t>X</t>
        </is>
      </c>
      <c r="Q380" t="inlineStr"/>
      <c r="R380" t="inlineStr">
        <is>
          <t>Ledereinband, Schließen, erhabene Buchbeschläge</t>
        </is>
      </c>
      <c r="S380" t="inlineStr">
        <is>
          <t>bis 35 cm</t>
        </is>
      </c>
      <c r="T380" t="inlineStr">
        <is>
          <t>80° bis 110°, einseitig digitalisierbar?</t>
        </is>
      </c>
      <c r="U380" t="inlineStr">
        <is>
          <t>fester Rücken mit Schmuckprägung, stark brüchiges Einbandmaterial</t>
        </is>
      </c>
      <c r="V380" t="inlineStr"/>
      <c r="W380" t="inlineStr">
        <is>
          <t>Buchschuh</t>
        </is>
      </c>
      <c r="X380" t="inlineStr">
        <is>
          <t>Nein</t>
        </is>
      </c>
      <c r="Y380" t="n">
        <v>3</v>
      </c>
      <c r="Z380" t="inlineStr"/>
      <c r="AA380" t="inlineStr"/>
      <c r="AB380" t="inlineStr"/>
      <c r="AC380" t="inlineStr"/>
      <c r="AD380" t="inlineStr"/>
      <c r="AE380" t="inlineStr"/>
      <c r="AF380" t="inlineStr"/>
      <c r="AG380" t="inlineStr"/>
      <c r="AH380" t="inlineStr"/>
      <c r="AI380" t="inlineStr">
        <is>
          <t>L</t>
        </is>
      </c>
      <c r="AJ380" t="inlineStr"/>
      <c r="AK380" t="inlineStr">
        <is>
          <t>x</t>
        </is>
      </c>
      <c r="AL380" t="inlineStr"/>
      <c r="AM380" t="inlineStr">
        <is>
          <t>f/V</t>
        </is>
      </c>
      <c r="AN380" t="inlineStr"/>
      <c r="AO380" t="inlineStr"/>
      <c r="AP380" t="inlineStr"/>
      <c r="AQ380" t="inlineStr"/>
      <c r="AR380" t="inlineStr"/>
      <c r="AS380" t="inlineStr">
        <is>
          <t>Pa</t>
        </is>
      </c>
      <c r="AT380" t="inlineStr"/>
      <c r="AU380" t="inlineStr"/>
      <c r="AV380" t="inlineStr"/>
      <c r="AW380" t="inlineStr"/>
      <c r="AX380" t="inlineStr"/>
      <c r="AY380" t="inlineStr"/>
      <c r="AZ380" t="inlineStr"/>
      <c r="BA380" t="inlineStr"/>
      <c r="BB380" t="inlineStr"/>
      <c r="BC380" t="inlineStr"/>
      <c r="BD380" t="inlineStr"/>
      <c r="BE380" t="inlineStr"/>
      <c r="BF380" t="inlineStr"/>
      <c r="BG380" t="n">
        <v>60</v>
      </c>
      <c r="BH380" t="inlineStr"/>
      <c r="BI380" t="inlineStr"/>
      <c r="BJ380" t="inlineStr"/>
      <c r="BK380" t="inlineStr"/>
      <c r="BL380" t="inlineStr"/>
      <c r="BM380" t="inlineStr">
        <is>
          <t>ja vor</t>
        </is>
      </c>
      <c r="BN380" t="n">
        <v>2</v>
      </c>
      <c r="BO380" t="inlineStr"/>
      <c r="BP380" t="inlineStr"/>
      <c r="BQ380" t="inlineStr"/>
      <c r="BR380" t="inlineStr">
        <is>
          <t>x</t>
        </is>
      </c>
      <c r="BS380" t="inlineStr"/>
      <c r="BT380" t="inlineStr"/>
      <c r="BU380" t="inlineStr"/>
      <c r="BV380" t="inlineStr"/>
      <c r="BW380" t="inlineStr"/>
      <c r="BX380" t="inlineStr"/>
      <c r="BY380" t="inlineStr"/>
      <c r="BZ380" t="inlineStr">
        <is>
          <t>x</t>
        </is>
      </c>
      <c r="CA380" t="inlineStr">
        <is>
          <t>x</t>
        </is>
      </c>
      <c r="CB380" t="inlineStr">
        <is>
          <t>x</t>
        </is>
      </c>
      <c r="CC380" t="inlineStr">
        <is>
          <t>x</t>
        </is>
      </c>
      <c r="CD380" t="inlineStr">
        <is>
          <t>v/h</t>
        </is>
      </c>
      <c r="CE380" t="inlineStr"/>
      <c r="CF380" t="inlineStr"/>
      <c r="CG380" t="inlineStr"/>
      <c r="CH380" t="inlineStr"/>
      <c r="CI380" t="inlineStr"/>
      <c r="CJ380" t="inlineStr"/>
      <c r="CK380" t="inlineStr"/>
      <c r="CL380" t="inlineStr"/>
      <c r="CM380" t="n">
        <v>2</v>
      </c>
      <c r="CN380" t="inlineStr">
        <is>
          <t>Fixieren des Leders in den Gelenken in weiten Teilen vermutlich ausreichend wegen Gewebefalz innen, ggf. mit JP überfangen</t>
        </is>
      </c>
      <c r="CO380" t="inlineStr"/>
      <c r="CP380" t="inlineStr"/>
      <c r="CQ380" t="inlineStr"/>
      <c r="CR380" t="inlineStr"/>
      <c r="CS380" t="inlineStr"/>
      <c r="CT380" t="inlineStr"/>
      <c r="CU380" t="inlineStr"/>
      <c r="CV380" t="inlineStr"/>
      <c r="CW380" t="inlineStr"/>
      <c r="CX380" t="inlineStr"/>
      <c r="CY380" t="inlineStr"/>
      <c r="CZ380" t="inlineStr"/>
      <c r="DA380" t="inlineStr"/>
      <c r="DB380" t="inlineStr"/>
      <c r="DC380" t="inlineStr"/>
      <c r="DD380" t="inlineStr"/>
      <c r="DE380" t="inlineStr"/>
      <c r="DF380" t="inlineStr"/>
      <c r="DG380" t="inlineStr"/>
    </row>
    <row r="381">
      <c r="A381" t="inlineStr">
        <is>
          <t>III</t>
        </is>
      </c>
      <c r="B381" t="b">
        <v>1</v>
      </c>
      <c r="C381" t="inlineStr"/>
      <c r="D381" t="inlineStr"/>
      <c r="E381" t="n">
        <v>417</v>
      </c>
      <c r="F381">
        <f>HYPERLINK("https://portal.dnb.de/opac.htm?method=simpleSearch&amp;cqlMode=true&amp;query=idn%3D1066964408", "Portal")</f>
        <v/>
      </c>
      <c r="G381" t="inlineStr">
        <is>
          <t>Aaf</t>
        </is>
      </c>
      <c r="H381" t="inlineStr">
        <is>
          <t>L-1545-315494638</t>
        </is>
      </c>
      <c r="I381" t="inlineStr">
        <is>
          <t>1066964408</t>
        </is>
      </c>
      <c r="J381" t="inlineStr">
        <is>
          <t>III 51, 26</t>
        </is>
      </c>
      <c r="K381" t="inlineStr">
        <is>
          <t>III 51, 26</t>
        </is>
      </c>
      <c r="L381" t="inlineStr">
        <is>
          <t>III 51, 26</t>
        </is>
      </c>
      <c r="M381" t="inlineStr"/>
      <c r="N381" t="inlineStr">
        <is>
          <t xml:space="preserve">Sachsenspiegel|| Auffs new fleissig corrigirt/ an|| Texten/ Glossen/ Allegaten/|| Auch mit vermehrung des emendirten|| Repertorij/ vnd vieler newen|| </t>
        </is>
      </c>
      <c r="O381" t="inlineStr">
        <is>
          <t xml:space="preserve"> : </t>
        </is>
      </c>
      <c r="P381" t="inlineStr">
        <is>
          <t>X</t>
        </is>
      </c>
      <c r="Q381" t="inlineStr"/>
      <c r="R381" t="inlineStr">
        <is>
          <t>Ledereinband, Schließen, erhabene Buchbeschläge</t>
        </is>
      </c>
      <c r="S381" t="inlineStr">
        <is>
          <t>bis 35 cm</t>
        </is>
      </c>
      <c r="T381" t="inlineStr">
        <is>
          <t>80° bis 110°, einseitig digitalisierbar?</t>
        </is>
      </c>
      <c r="U381" t="inlineStr">
        <is>
          <t>fester Rücken mit Schmuckprägung</t>
        </is>
      </c>
      <c r="V381" t="inlineStr"/>
      <c r="W381" t="inlineStr">
        <is>
          <t>Buchschuh</t>
        </is>
      </c>
      <c r="X381" t="inlineStr">
        <is>
          <t>Nein</t>
        </is>
      </c>
      <c r="Y381" t="n">
        <v>0</v>
      </c>
      <c r="Z381" t="inlineStr"/>
      <c r="AA381" t="inlineStr"/>
      <c r="AB381" t="inlineStr"/>
      <c r="AC381" t="inlineStr"/>
      <c r="AD381" t="inlineStr"/>
      <c r="AE381" t="inlineStr"/>
      <c r="AF381" t="inlineStr"/>
      <c r="AG381" t="inlineStr"/>
      <c r="AH381" t="inlineStr"/>
      <c r="AI381" t="inlineStr"/>
      <c r="AJ381" t="inlineStr"/>
      <c r="AK381" t="inlineStr"/>
      <c r="AL381" t="inlineStr"/>
      <c r="AM381" t="inlineStr"/>
      <c r="AN381" t="inlineStr"/>
      <c r="AO381" t="inlineStr"/>
      <c r="AP381" t="inlineStr"/>
      <c r="AQ381" t="inlineStr"/>
      <c r="AR381" t="inlineStr"/>
      <c r="AS381" t="inlineStr"/>
      <c r="AT381" t="inlineStr"/>
      <c r="AU381" t="inlineStr"/>
      <c r="AV381" t="inlineStr"/>
      <c r="AW381" t="inlineStr"/>
      <c r="AX381" t="inlineStr"/>
      <c r="AY381" t="inlineStr"/>
      <c r="AZ381" t="inlineStr"/>
      <c r="BA381" t="inlineStr"/>
      <c r="BB381" t="inlineStr"/>
      <c r="BC381" t="inlineStr"/>
      <c r="BD381" t="inlineStr"/>
      <c r="BE381" t="inlineStr"/>
      <c r="BF381" t="inlineStr"/>
      <c r="BG381" t="inlineStr"/>
      <c r="BH381" t="inlineStr"/>
      <c r="BI381" t="inlineStr"/>
      <c r="BJ381" t="inlineStr"/>
      <c r="BK381" t="inlineStr"/>
      <c r="BL381" t="inlineStr"/>
      <c r="BM381" t="inlineStr"/>
      <c r="BN381" t="n">
        <v>0</v>
      </c>
      <c r="BO381" t="inlineStr"/>
      <c r="BP381" t="inlineStr"/>
      <c r="BQ381" t="inlineStr"/>
      <c r="BR381" t="inlineStr"/>
      <c r="BS381" t="inlineStr"/>
      <c r="BT381" t="inlineStr"/>
      <c r="BU381" t="inlineStr"/>
      <c r="BV381" t="inlineStr"/>
      <c r="BW381" t="inlineStr"/>
      <c r="BX381" t="inlineStr"/>
      <c r="BY381" t="inlineStr"/>
      <c r="BZ381" t="inlineStr"/>
      <c r="CA381" t="inlineStr"/>
      <c r="CB381" t="inlineStr"/>
      <c r="CC381" t="inlineStr"/>
      <c r="CD381" t="inlineStr"/>
      <c r="CE381" t="inlineStr"/>
      <c r="CF381" t="inlineStr"/>
      <c r="CG381" t="inlineStr"/>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c r="DA381" t="inlineStr"/>
      <c r="DB381" t="inlineStr"/>
      <c r="DC381" t="inlineStr"/>
      <c r="DD381" t="inlineStr"/>
      <c r="DE381" t="inlineStr"/>
      <c r="DF381" t="inlineStr"/>
      <c r="DG381" t="inlineStr"/>
    </row>
    <row r="382">
      <c r="A382" t="inlineStr">
        <is>
          <t>III</t>
        </is>
      </c>
      <c r="B382" t="b">
        <v>1</v>
      </c>
      <c r="C382" t="inlineStr"/>
      <c r="D382" t="inlineStr"/>
      <c r="E382" t="n">
        <v>418</v>
      </c>
      <c r="F382">
        <f>HYPERLINK("https://portal.dnb.de/opac.htm?method=simpleSearch&amp;cqlMode=true&amp;query=idn%3D1066964165", "Portal")</f>
        <v/>
      </c>
      <c r="G382" t="inlineStr">
        <is>
          <t>Aaf</t>
        </is>
      </c>
      <c r="H382" t="inlineStr">
        <is>
          <t>L-1531-315494387</t>
        </is>
      </c>
      <c r="I382" t="inlineStr">
        <is>
          <t>1066964165</t>
        </is>
      </c>
      <c r="J382" t="inlineStr">
        <is>
          <t>III 51, 27</t>
        </is>
      </c>
      <c r="K382" t="inlineStr">
        <is>
          <t>III 51, 27</t>
        </is>
      </c>
      <c r="L382" t="inlineStr">
        <is>
          <t>III 51, 27</t>
        </is>
      </c>
      <c r="M382" t="inlineStr"/>
      <c r="N382" t="inlineStr">
        <is>
          <t xml:space="preserve">ELEMEN||TA LATINAE|| Grammatices recog=||nita ab Autore|| PHILIP. MELANCH.|| : </t>
        </is>
      </c>
      <c r="O382" t="inlineStr">
        <is>
          <t xml:space="preserve"> : </t>
        </is>
      </c>
      <c r="P382" t="inlineStr">
        <is>
          <t>X</t>
        </is>
      </c>
      <c r="Q382" t="inlineStr">
        <is>
          <t>2.000,00 EUR</t>
        </is>
      </c>
      <c r="R382" t="inlineStr">
        <is>
          <t>Pergamentband, Schließen, erhabene Buchbeschläge</t>
        </is>
      </c>
      <c r="S382" t="inlineStr"/>
      <c r="T382" t="inlineStr">
        <is>
          <t>80° bis 110°, einseitig digitalisierbar?</t>
        </is>
      </c>
      <c r="U382" t="inlineStr"/>
      <c r="V382" t="inlineStr"/>
      <c r="W382" t="inlineStr">
        <is>
          <t>Archivkarton</t>
        </is>
      </c>
      <c r="X382" t="inlineStr">
        <is>
          <t>Nein</t>
        </is>
      </c>
      <c r="Y382" t="n">
        <v>2</v>
      </c>
      <c r="Z382" t="inlineStr"/>
      <c r="AA382" t="inlineStr">
        <is>
          <t>Einband und Buchblock sperat</t>
        </is>
      </c>
      <c r="AB382" t="inlineStr"/>
      <c r="AC382" t="inlineStr"/>
      <c r="AD382" t="inlineStr">
        <is>
          <t>Sonderkonto</t>
        </is>
      </c>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c r="BH382" t="inlineStr"/>
      <c r="BI382" t="inlineStr"/>
      <c r="BJ382" t="inlineStr"/>
      <c r="BK382" t="inlineStr"/>
      <c r="BL382" t="inlineStr"/>
      <c r="BM382" t="inlineStr"/>
      <c r="BN382" t="n">
        <v>0</v>
      </c>
      <c r="BO382" t="inlineStr"/>
      <c r="BP382" t="inlineStr"/>
      <c r="BQ382" t="inlineStr"/>
      <c r="BR382" t="inlineStr"/>
      <c r="BS382" t="inlineStr"/>
      <c r="BT382" t="inlineStr"/>
      <c r="BU382" t="inlineStr"/>
      <c r="BV382" t="inlineStr"/>
      <c r="BW382" t="inlineStr"/>
      <c r="BX382" t="inlineStr"/>
      <c r="BY382" t="inlineStr"/>
      <c r="BZ382" t="inlineStr"/>
      <c r="CA382" t="inlineStr"/>
      <c r="CB382" t="inlineStr"/>
      <c r="CC382" t="inlineStr"/>
      <c r="CD382" t="inlineStr"/>
      <c r="CE382" t="inlineStr"/>
      <c r="CF382" t="inlineStr"/>
      <c r="CG382" t="inlineStr"/>
      <c r="CH382" t="inlineStr"/>
      <c r="CI382" t="inlineStr"/>
      <c r="CJ382" t="inlineStr"/>
      <c r="CK382" t="inlineStr"/>
      <c r="CL382" t="inlineStr"/>
      <c r="CM382" t="inlineStr"/>
      <c r="CN382" t="inlineStr"/>
      <c r="CO382" t="inlineStr"/>
      <c r="CP382" t="inlineStr"/>
      <c r="CQ382" t="inlineStr"/>
      <c r="CR382" t="inlineStr"/>
      <c r="CS382" t="inlineStr"/>
      <c r="CT382" t="inlineStr"/>
      <c r="CU382" t="inlineStr"/>
      <c r="CV382" t="inlineStr"/>
      <c r="CW382" t="inlineStr"/>
      <c r="CX382" t="inlineStr"/>
      <c r="CY382" t="inlineStr"/>
      <c r="CZ382" t="inlineStr"/>
      <c r="DA382" t="inlineStr"/>
      <c r="DB382" t="inlineStr"/>
      <c r="DC382" t="inlineStr"/>
      <c r="DD382" t="inlineStr"/>
      <c r="DE382" t="inlineStr"/>
      <c r="DF382" t="inlineStr"/>
      <c r="DG382" t="inlineStr"/>
    </row>
    <row r="383">
      <c r="A383" t="inlineStr">
        <is>
          <t>III</t>
        </is>
      </c>
      <c r="B383" t="b">
        <v>1</v>
      </c>
      <c r="C383" t="inlineStr"/>
      <c r="D383" t="inlineStr"/>
      <c r="E383" t="n">
        <v>438</v>
      </c>
      <c r="F383">
        <f>HYPERLINK("https://portal.dnb.de/opac.htm?method=simpleSearch&amp;cqlMode=true&amp;query=idn%3D1003453864", "Portal")</f>
        <v/>
      </c>
      <c r="G383" t="inlineStr">
        <is>
          <t>Aal</t>
        </is>
      </c>
      <c r="H383" t="inlineStr">
        <is>
          <t>L-1534-179937960</t>
        </is>
      </c>
      <c r="I383" t="inlineStr">
        <is>
          <t>1003453864</t>
        </is>
      </c>
      <c r="J383" t="inlineStr">
        <is>
          <t>III 51, 27a</t>
        </is>
      </c>
      <c r="K383" t="inlineStr">
        <is>
          <t>III 51, 27a</t>
        </is>
      </c>
      <c r="L383" t="inlineStr">
        <is>
          <t>III 51, 27 a</t>
        </is>
      </c>
      <c r="M383" t="inlineStr"/>
      <c r="N383" t="inlineStr">
        <is>
          <t xml:space="preserve">Von der Christlichen|| Kyrchen: wider Jo=||do=cum Koch, der sich nen=||net, Justum Jonam|| : </t>
        </is>
      </c>
      <c r="O383" t="inlineStr">
        <is>
          <t xml:space="preserve"> : </t>
        </is>
      </c>
      <c r="P383" t="inlineStr"/>
      <c r="Q383" t="inlineStr"/>
      <c r="R383" t="inlineStr">
        <is>
          <t>Halbpergamentband</t>
        </is>
      </c>
      <c r="S383" t="inlineStr">
        <is>
          <t>bis 25 cm</t>
        </is>
      </c>
      <c r="T383" t="inlineStr">
        <is>
          <t>180°</t>
        </is>
      </c>
      <c r="U383" t="inlineStr">
        <is>
          <t>hohler Rücken</t>
        </is>
      </c>
      <c r="V383" t="inlineStr"/>
      <c r="W383" t="inlineStr"/>
      <c r="X383" t="inlineStr"/>
      <c r="Y383" t="n">
        <v>0</v>
      </c>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inlineStr"/>
      <c r="BI383" t="inlineStr"/>
      <c r="BJ383" t="inlineStr"/>
      <c r="BK383" t="inlineStr"/>
      <c r="BL383" t="inlineStr"/>
      <c r="BM383" t="inlineStr"/>
      <c r="BN383" t="n">
        <v>0</v>
      </c>
      <c r="BO383" t="inlineStr"/>
      <c r="BP383" t="inlineStr"/>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c r="DB383" t="inlineStr"/>
      <c r="DC383" t="inlineStr"/>
      <c r="DD383" t="inlineStr"/>
      <c r="DE383" t="inlineStr"/>
      <c r="DF383" t="inlineStr"/>
      <c r="DG383" t="inlineStr"/>
    </row>
    <row r="384">
      <c r="A384" t="inlineStr">
        <is>
          <t>III</t>
        </is>
      </c>
      <c r="B384" t="b">
        <v>1</v>
      </c>
      <c r="C384" t="inlineStr"/>
      <c r="D384" t="inlineStr"/>
      <c r="E384" t="n">
        <v>439</v>
      </c>
      <c r="F384">
        <f>HYPERLINK("https://portal.dnb.de/opac.htm?method=simpleSearch&amp;cqlMode=true&amp;query=idn%3D996037756", "Portal")</f>
        <v/>
      </c>
      <c r="G384" t="inlineStr">
        <is>
          <t>Aal</t>
        </is>
      </c>
      <c r="H384" t="inlineStr">
        <is>
          <t>L-1533-161598072</t>
        </is>
      </c>
      <c r="I384" t="inlineStr">
        <is>
          <t>996037756</t>
        </is>
      </c>
      <c r="J384" t="inlineStr">
        <is>
          <t>III 51, 27 b</t>
        </is>
      </c>
      <c r="K384" t="inlineStr">
        <is>
          <t>III 51, 27 b</t>
        </is>
      </c>
      <c r="L384" t="inlineStr">
        <is>
          <t>III 51, 27 b</t>
        </is>
      </c>
      <c r="M384" t="inlineStr"/>
      <c r="N384" t="inlineStr">
        <is>
          <t xml:space="preserve">Des @Churfursten vnd|| Herzog Georgen zu Sachs||sen voreynigung [Vereinigung] der Bla||ckerey vnd Mutwil||ligen Befehder|| halben|| : </t>
        </is>
      </c>
      <c r="O384" t="inlineStr">
        <is>
          <t xml:space="preserve"> : </t>
        </is>
      </c>
      <c r="P384" t="inlineStr"/>
      <c r="Q384" t="inlineStr"/>
      <c r="R384" t="inlineStr">
        <is>
          <t>Broschur</t>
        </is>
      </c>
      <c r="S384" t="inlineStr">
        <is>
          <t>bis 25 cm</t>
        </is>
      </c>
      <c r="T384" t="inlineStr">
        <is>
          <t>180°</t>
        </is>
      </c>
      <c r="U384" t="inlineStr"/>
      <c r="V384" t="inlineStr"/>
      <c r="W384" t="inlineStr">
        <is>
          <t>Archivkarton</t>
        </is>
      </c>
      <c r="X384" t="inlineStr">
        <is>
          <t>Nein</t>
        </is>
      </c>
      <c r="Y384" t="n">
        <v>1</v>
      </c>
      <c r="Z384" t="inlineStr"/>
      <c r="AA384" t="inlineStr"/>
      <c r="AB384" t="inlineStr"/>
      <c r="AC384" t="inlineStr"/>
      <c r="AD384" t="inlineStr"/>
      <c r="AE384" t="inlineStr"/>
      <c r="AF384" t="inlineStr"/>
      <c r="AG384" t="inlineStr"/>
      <c r="AH384" t="inlineStr"/>
      <c r="AI384" t="inlineStr">
        <is>
          <t>oE</t>
        </is>
      </c>
      <c r="AJ384" t="inlineStr"/>
      <c r="AK384" t="inlineStr"/>
      <c r="AL384" t="inlineStr"/>
      <c r="AM384" t="inlineStr"/>
      <c r="AN384" t="inlineStr"/>
      <c r="AO384" t="inlineStr"/>
      <c r="AP384" t="inlineStr"/>
      <c r="AQ384" t="inlineStr"/>
      <c r="AR384" t="inlineStr"/>
      <c r="AS384" t="inlineStr">
        <is>
          <t>Pa</t>
        </is>
      </c>
      <c r="AT384" t="inlineStr"/>
      <c r="AU384" t="inlineStr"/>
      <c r="AV384" t="inlineStr"/>
      <c r="AW384" t="inlineStr"/>
      <c r="AX384" t="inlineStr"/>
      <c r="AY384" t="inlineStr"/>
      <c r="AZ384" t="inlineStr"/>
      <c r="BA384" t="inlineStr"/>
      <c r="BB384" t="inlineStr"/>
      <c r="BC384" t="inlineStr"/>
      <c r="BD384" t="inlineStr"/>
      <c r="BE384" t="inlineStr"/>
      <c r="BF384" t="inlineStr"/>
      <c r="BG384" t="inlineStr">
        <is>
          <t>nur 110</t>
        </is>
      </c>
      <c r="BH384" t="inlineStr"/>
      <c r="BI384" t="inlineStr"/>
      <c r="BJ384" t="inlineStr"/>
      <c r="BK384" t="inlineStr"/>
      <c r="BL384" t="inlineStr"/>
      <c r="BM384" t="inlineStr">
        <is>
          <t>n</t>
        </is>
      </c>
      <c r="BN384" t="n">
        <v>0</v>
      </c>
      <c r="BO384" t="inlineStr"/>
      <c r="BP384" t="inlineStr"/>
      <c r="BQ384" t="inlineStr"/>
      <c r="BR384" t="inlineStr"/>
      <c r="BS384" t="inlineStr">
        <is>
          <t>x</t>
        </is>
      </c>
      <c r="BT384" t="inlineStr"/>
      <c r="BU384" t="inlineStr"/>
      <c r="BV384" t="inlineStr"/>
      <c r="BW384" t="inlineStr"/>
      <c r="BX384" t="inlineStr"/>
      <c r="BY384" t="inlineStr"/>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c r="CV384" t="inlineStr"/>
      <c r="CW384" t="inlineStr"/>
      <c r="CX384" t="inlineStr"/>
      <c r="CY384" t="inlineStr"/>
      <c r="CZ384" t="inlineStr"/>
      <c r="DA384" t="inlineStr"/>
      <c r="DB384" t="inlineStr"/>
      <c r="DC384" t="inlineStr"/>
      <c r="DD384" t="inlineStr"/>
      <c r="DE384" t="inlineStr"/>
      <c r="DF384" t="inlineStr"/>
      <c r="DG384" t="inlineStr"/>
    </row>
    <row r="385">
      <c r="A385" t="inlineStr">
        <is>
          <t>III</t>
        </is>
      </c>
      <c r="B385" t="b">
        <v>1</v>
      </c>
      <c r="C385" t="inlineStr"/>
      <c r="D385" t="inlineStr"/>
      <c r="E385" t="n">
        <v>440</v>
      </c>
      <c r="F385">
        <f>HYPERLINK("https://portal.dnb.de/opac.htm?method=simpleSearch&amp;cqlMode=true&amp;query=idn%3D1066673780", "Portal")</f>
        <v/>
      </c>
      <c r="G385" t="inlineStr">
        <is>
          <t>Aaf</t>
        </is>
      </c>
      <c r="H385" t="inlineStr">
        <is>
          <t>L-1526-31506224X</t>
        </is>
      </c>
      <c r="I385" t="inlineStr">
        <is>
          <t>1066673780</t>
        </is>
      </c>
      <c r="J385" t="inlineStr">
        <is>
          <t>III 51, 27 c</t>
        </is>
      </c>
      <c r="K385" t="inlineStr">
        <is>
          <t>III 51, 27 c</t>
        </is>
      </c>
      <c r="L385" t="inlineStr">
        <is>
          <t>III 51, 27 c</t>
        </is>
      </c>
      <c r="M385" t="inlineStr"/>
      <c r="N385" t="inlineStr">
        <is>
          <t>Von dem Testament|| Christi vnsers Herren vnd|| Seligmachers|| Dem Hoch=||löblichen Adell ym Land tzu|| Sachsen|| sampt alle Christ=||glewbigen|| Deut</t>
        </is>
      </c>
      <c r="O385" t="inlineStr">
        <is>
          <t xml:space="preserve"> : </t>
        </is>
      </c>
      <c r="P385" t="inlineStr">
        <is>
          <t>X</t>
        </is>
      </c>
      <c r="Q385" t="inlineStr"/>
      <c r="R385" t="inlineStr">
        <is>
          <t>Broschur</t>
        </is>
      </c>
      <c r="S385" t="inlineStr">
        <is>
          <t>bis 25 cm</t>
        </is>
      </c>
      <c r="T385" t="inlineStr">
        <is>
          <t>80° bis 110°, einseitig digitalisierbar?</t>
        </is>
      </c>
      <c r="U385" t="inlineStr">
        <is>
          <t>welliger Buchblock</t>
        </is>
      </c>
      <c r="V385" t="inlineStr"/>
      <c r="W385" t="inlineStr">
        <is>
          <t>Archivkarton</t>
        </is>
      </c>
      <c r="X385" t="inlineStr">
        <is>
          <t>Nein</t>
        </is>
      </c>
      <c r="Y385" t="n">
        <v>0</v>
      </c>
      <c r="Z385" t="inlineStr"/>
      <c r="AA385" t="inlineStr"/>
      <c r="AB385" t="inlineStr"/>
      <c r="AC385" t="inlineStr"/>
      <c r="AD385" t="inlineStr"/>
      <c r="AE385" t="inlineStr"/>
      <c r="AF385" t="inlineStr"/>
      <c r="AG385" t="inlineStr"/>
      <c r="AH385" t="inlineStr"/>
      <c r="AI385" t="inlineStr">
        <is>
          <t>Br</t>
        </is>
      </c>
      <c r="AJ385" t="inlineStr"/>
      <c r="AK385" t="inlineStr"/>
      <c r="AL385" t="inlineStr"/>
      <c r="AM385" t="inlineStr">
        <is>
          <t>f</t>
        </is>
      </c>
      <c r="AN385" t="inlineStr"/>
      <c r="AO385" t="inlineStr"/>
      <c r="AP385" t="inlineStr"/>
      <c r="AQ385" t="inlineStr"/>
      <c r="AR385" t="inlineStr"/>
      <c r="AS385" t="inlineStr">
        <is>
          <t>Pa</t>
        </is>
      </c>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is>
          <t>nur 110</t>
        </is>
      </c>
      <c r="BH385" t="inlineStr"/>
      <c r="BI385" t="inlineStr"/>
      <c r="BJ385" t="inlineStr"/>
      <c r="BK385" t="inlineStr"/>
      <c r="BL385" t="inlineStr"/>
      <c r="BM385" t="inlineStr">
        <is>
          <t>n</t>
        </is>
      </c>
      <c r="BN385" t="n">
        <v>0</v>
      </c>
      <c r="BO385" t="inlineStr"/>
      <c r="BP385" t="inlineStr"/>
      <c r="BQ385" t="inlineStr"/>
      <c r="BR385" t="inlineStr"/>
      <c r="BS385" t="inlineStr">
        <is>
          <t>x</t>
        </is>
      </c>
      <c r="BT385" t="inlineStr"/>
      <c r="BU385" t="inlineStr"/>
      <c r="BV385" t="inlineStr">
        <is>
          <t>Schaden stabil</t>
        </is>
      </c>
      <c r="BW385" t="inlineStr"/>
      <c r="BX385" t="inlineStr"/>
      <c r="BY385" t="inlineStr"/>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c r="DA385" t="inlineStr"/>
      <c r="DB385" t="inlineStr"/>
      <c r="DC385" t="inlineStr"/>
      <c r="DD385" t="inlineStr"/>
      <c r="DE385" t="inlineStr"/>
      <c r="DF385" t="inlineStr"/>
      <c r="DG385" t="inlineStr"/>
    </row>
    <row r="386">
      <c r="A386" t="inlineStr">
        <is>
          <t>III</t>
        </is>
      </c>
      <c r="B386" t="b">
        <v>1</v>
      </c>
      <c r="C386" t="inlineStr"/>
      <c r="D386" t="inlineStr"/>
      <c r="E386" t="n">
        <v>419</v>
      </c>
      <c r="F386">
        <f>HYPERLINK("https://portal.dnb.de/opac.htm?method=simpleSearch&amp;cqlMode=true&amp;query=idn%3D1066963827", "Portal")</f>
        <v/>
      </c>
      <c r="G386" t="inlineStr">
        <is>
          <t>Aaf</t>
        </is>
      </c>
      <c r="H386" t="inlineStr">
        <is>
          <t>L-1560-315494034</t>
        </is>
      </c>
      <c r="I386" t="inlineStr">
        <is>
          <t>1066963827</t>
        </is>
      </c>
      <c r="J386" t="inlineStr">
        <is>
          <t>III 51, 28</t>
        </is>
      </c>
      <c r="K386" t="inlineStr">
        <is>
          <t>III 51, 28</t>
        </is>
      </c>
      <c r="L386" t="inlineStr">
        <is>
          <t>III 51, 28</t>
        </is>
      </c>
      <c r="M386" t="inlineStr"/>
      <c r="N386" t="inlineStr">
        <is>
          <t xml:space="preserve">ENCHIRIDION.|| Der Kleine|| Catechismus.|| F#[ue]r die gemeine|| Pfarherr vnd|| Prediger.|| D. Mart. Luther.|| : </t>
        </is>
      </c>
      <c r="O386" t="inlineStr">
        <is>
          <t xml:space="preserve"> : </t>
        </is>
      </c>
      <c r="P386" t="inlineStr">
        <is>
          <t>X</t>
        </is>
      </c>
      <c r="Q386" t="inlineStr"/>
      <c r="R386" t="inlineStr">
        <is>
          <t>Ledereinband, Schließen, erhabene Buchbeschläge</t>
        </is>
      </c>
      <c r="S386" t="inlineStr">
        <is>
          <t>bis 25 cm</t>
        </is>
      </c>
      <c r="T386" t="inlineStr">
        <is>
          <t>80° bis 110°, einseitig digitalisierbar?</t>
        </is>
      </c>
      <c r="U386" t="inlineStr">
        <is>
          <t>hohler Rücken, Schrift bis in den Falz</t>
        </is>
      </c>
      <c r="V386" t="inlineStr"/>
      <c r="W386" t="inlineStr">
        <is>
          <t>Archivkarton</t>
        </is>
      </c>
      <c r="X386" t="inlineStr">
        <is>
          <t>Nein</t>
        </is>
      </c>
      <c r="Y386" t="n">
        <v>1</v>
      </c>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inlineStr"/>
      <c r="BI386" t="inlineStr"/>
      <c r="BJ386" t="inlineStr"/>
      <c r="BK386" t="inlineStr"/>
      <c r="BL386" t="inlineStr"/>
      <c r="BM386" t="inlineStr"/>
      <c r="BN386" t="n">
        <v>0</v>
      </c>
      <c r="BO386" t="inlineStr"/>
      <c r="BP386" t="inlineStr"/>
      <c r="BQ386" t="inlineStr"/>
      <c r="BR386" t="inlineStr"/>
      <c r="BS386" t="inlineStr"/>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c r="DA386" t="inlineStr"/>
      <c r="DB386" t="inlineStr"/>
      <c r="DC386" t="inlineStr"/>
      <c r="DD386" t="inlineStr"/>
      <c r="DE386" t="inlineStr"/>
      <c r="DF386" t="inlineStr"/>
      <c r="DG386" t="inlineStr"/>
    </row>
    <row r="387">
      <c r="A387" t="inlineStr">
        <is>
          <t>III</t>
        </is>
      </c>
      <c r="B387" t="b">
        <v>1</v>
      </c>
      <c r="C387" t="inlineStr"/>
      <c r="D387" t="inlineStr"/>
      <c r="E387" t="n">
        <v>441</v>
      </c>
      <c r="F387">
        <f>HYPERLINK("https://portal.dnb.de/opac.htm?method=simpleSearch&amp;cqlMode=true&amp;query=idn%3D999173235", "Portal")</f>
        <v/>
      </c>
      <c r="G387" t="inlineStr">
        <is>
          <t>Aal</t>
        </is>
      </c>
      <c r="H387" t="inlineStr">
        <is>
          <t>L-1546-167646931</t>
        </is>
      </c>
      <c r="I387" t="inlineStr">
        <is>
          <t>999173235</t>
        </is>
      </c>
      <c r="J387" t="inlineStr">
        <is>
          <t>III 51, 28 a</t>
        </is>
      </c>
      <c r="K387" t="inlineStr">
        <is>
          <t>III 51, 28 a</t>
        </is>
      </c>
      <c r="L387" t="inlineStr">
        <is>
          <t>III 51, 28 a</t>
        </is>
      </c>
      <c r="M387" t="inlineStr"/>
      <c r="N387" t="inlineStr">
        <is>
          <t xml:space="preserve">Loci Com||Mvnes Theo||Logici,|| Nvnc Denvo Cvm Cvra|| &amp; diligentia summa recogniti,|| multisque in locis copiose|| illustrati|| : </t>
        </is>
      </c>
      <c r="O387" t="inlineStr">
        <is>
          <t xml:space="preserve"> : </t>
        </is>
      </c>
      <c r="P387" t="inlineStr"/>
      <c r="Q387" t="inlineStr"/>
      <c r="R387" t="inlineStr">
        <is>
          <t>Ledereinband, Schließen, erhabene Buchbeschläge</t>
        </is>
      </c>
      <c r="S387" t="inlineStr">
        <is>
          <t>bis 25 cm</t>
        </is>
      </c>
      <c r="T387" t="inlineStr">
        <is>
          <t>80° bis 110°, einseitig digitalisierbar?</t>
        </is>
      </c>
      <c r="U387" t="inlineStr">
        <is>
          <t>fester Rücken mit Schmuckprägung, Schrift bis in den Falz</t>
        </is>
      </c>
      <c r="V387" t="inlineStr"/>
      <c r="W387" t="inlineStr">
        <is>
          <t>Kassette</t>
        </is>
      </c>
      <c r="X387" t="inlineStr">
        <is>
          <t>Nein</t>
        </is>
      </c>
      <c r="Y387" t="n">
        <v>0</v>
      </c>
      <c r="Z387" t="inlineStr"/>
      <c r="AA387" t="inlineStr"/>
      <c r="AB387" t="inlineStr"/>
      <c r="AC387" t="inlineStr"/>
      <c r="AD387" t="inlineStr"/>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c r="BA387" t="inlineStr"/>
      <c r="BB387" t="inlineStr"/>
      <c r="BC387" t="inlineStr"/>
      <c r="BD387" t="inlineStr"/>
      <c r="BE387" t="inlineStr"/>
      <c r="BF387" t="inlineStr"/>
      <c r="BG387" t="inlineStr"/>
      <c r="BH387" t="inlineStr"/>
      <c r="BI387" t="inlineStr"/>
      <c r="BJ387" t="inlineStr"/>
      <c r="BK387" t="inlineStr"/>
      <c r="BL387" t="inlineStr"/>
      <c r="BM387" t="inlineStr"/>
      <c r="BN387" t="n">
        <v>0</v>
      </c>
      <c r="BO387" t="inlineStr"/>
      <c r="BP387" t="inlineStr"/>
      <c r="BQ387" t="inlineStr"/>
      <c r="BR387" t="inlineStr"/>
      <c r="BS387" t="inlineStr"/>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c r="DB387" t="inlineStr"/>
      <c r="DC387" t="inlineStr"/>
      <c r="DD387" t="inlineStr"/>
      <c r="DE387" t="inlineStr"/>
      <c r="DF387" t="inlineStr"/>
      <c r="DG387" t="inlineStr"/>
    </row>
    <row r="388">
      <c r="A388" t="inlineStr">
        <is>
          <t>III</t>
        </is>
      </c>
      <c r="B388" t="b">
        <v>1</v>
      </c>
      <c r="C388" t="inlineStr"/>
      <c r="D388" t="inlineStr"/>
      <c r="E388" t="n">
        <v>442</v>
      </c>
      <c r="F388">
        <f>HYPERLINK("https://portal.dnb.de/opac.htm?method=simpleSearch&amp;cqlMode=true&amp;query=idn%3D999173472", "Portal")</f>
        <v/>
      </c>
      <c r="G388" t="inlineStr">
        <is>
          <t>Aal</t>
        </is>
      </c>
      <c r="H388" t="inlineStr">
        <is>
          <t>L-1546-167647148</t>
        </is>
      </c>
      <c r="I388" t="inlineStr">
        <is>
          <t>999173472</t>
        </is>
      </c>
      <c r="J388" t="inlineStr">
        <is>
          <t>III 51, 28 b</t>
        </is>
      </c>
      <c r="K388" t="inlineStr">
        <is>
          <t>III 51, 28 b</t>
        </is>
      </c>
      <c r="L388" t="inlineStr">
        <is>
          <t>III 51, 28 b</t>
        </is>
      </c>
      <c r="M388" t="inlineStr"/>
      <c r="N388" t="inlineStr">
        <is>
          <t xml:space="preserve">Loci Com||Mvnes Theo||Logici,|| Nvnc Denvo Cvm Cvra|| &amp; diligentia summa recogniti,|| multisque in locis copiose|| illustrati|| : </t>
        </is>
      </c>
      <c r="O388" t="inlineStr">
        <is>
          <t xml:space="preserve"> : </t>
        </is>
      </c>
      <c r="P388" t="inlineStr"/>
      <c r="Q388" t="inlineStr"/>
      <c r="R388" t="inlineStr">
        <is>
          <t>Halbpergamentband</t>
        </is>
      </c>
      <c r="S388" t="inlineStr">
        <is>
          <t>bis 25 cm</t>
        </is>
      </c>
      <c r="T388" t="inlineStr">
        <is>
          <t>80° bis 110°, einseitig digitalisierbar?</t>
        </is>
      </c>
      <c r="U388" t="inlineStr">
        <is>
          <t>hohler Rücken</t>
        </is>
      </c>
      <c r="V388" t="inlineStr"/>
      <c r="W388" t="inlineStr"/>
      <c r="X388" t="inlineStr"/>
      <c r="Y388" t="n">
        <v>0</v>
      </c>
      <c r="Z388" t="inlineStr"/>
      <c r="AA388" t="inlineStr"/>
      <c r="AB388" t="inlineStr"/>
      <c r="AC388" t="inlineStr"/>
      <c r="AD388" t="inlineStr"/>
      <c r="AE388" t="inlineStr"/>
      <c r="AF388" t="inlineStr"/>
      <c r="AG388" t="inlineStr"/>
      <c r="AH388" t="inlineStr"/>
      <c r="AI388" t="inlineStr"/>
      <c r="AJ388" t="inlineStr"/>
      <c r="AK388" t="inlineStr"/>
      <c r="AL388" t="inlineStr"/>
      <c r="AM388" t="inlineStr"/>
      <c r="AN388" t="inlineStr"/>
      <c r="AO388" t="inlineStr"/>
      <c r="AP388" t="inlineStr"/>
      <c r="AQ388" t="inlineStr"/>
      <c r="AR388" t="inlineStr"/>
      <c r="AS388" t="inlineStr"/>
      <c r="AT388" t="inlineStr"/>
      <c r="AU388" t="inlineStr"/>
      <c r="AV388" t="inlineStr"/>
      <c r="AW388" t="inlineStr"/>
      <c r="AX388" t="inlineStr"/>
      <c r="AY388" t="inlineStr"/>
      <c r="AZ388" t="inlineStr"/>
      <c r="BA388" t="inlineStr"/>
      <c r="BB388" t="inlineStr"/>
      <c r="BC388" t="inlineStr"/>
      <c r="BD388" t="inlineStr"/>
      <c r="BE388" t="inlineStr"/>
      <c r="BF388" t="inlineStr"/>
      <c r="BG388" t="inlineStr"/>
      <c r="BH388" t="inlineStr"/>
      <c r="BI388" t="inlineStr"/>
      <c r="BJ388" t="inlineStr"/>
      <c r="BK388" t="inlineStr"/>
      <c r="BL388" t="inlineStr"/>
      <c r="BM388" t="inlineStr"/>
      <c r="BN388" t="n">
        <v>0</v>
      </c>
      <c r="BO388" t="inlineStr"/>
      <c r="BP388" t="inlineStr"/>
      <c r="BQ388" t="inlineStr"/>
      <c r="BR388" t="inlineStr"/>
      <c r="BS388" t="inlineStr"/>
      <c r="BT388" t="inlineStr"/>
      <c r="BU388" t="inlineStr"/>
      <c r="BV388" t="inlineStr"/>
      <c r="BW388" t="inlineStr"/>
      <c r="BX388" t="inlineStr"/>
      <c r="BY388" t="inlineStr"/>
      <c r="BZ388" t="inlineStr"/>
      <c r="CA388" t="inlineStr"/>
      <c r="CB388" t="inlineStr"/>
      <c r="CC388" t="inlineStr"/>
      <c r="CD388" t="inlineStr"/>
      <c r="CE388" t="inlineStr"/>
      <c r="CF388" t="inlineStr"/>
      <c r="CG388" t="inlineStr"/>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c r="DA388" t="inlineStr"/>
      <c r="DB388" t="inlineStr"/>
      <c r="DC388" t="inlineStr"/>
      <c r="DD388" t="inlineStr"/>
      <c r="DE388" t="inlineStr"/>
      <c r="DF388" t="inlineStr"/>
      <c r="DG388" t="inlineStr"/>
    </row>
    <row r="389">
      <c r="A389" t="inlineStr">
        <is>
          <t>III</t>
        </is>
      </c>
      <c r="B389" t="b">
        <v>1</v>
      </c>
      <c r="C389" t="inlineStr"/>
      <c r="D389" t="inlineStr"/>
      <c r="E389" t="n">
        <v>443</v>
      </c>
      <c r="F389">
        <f>HYPERLINK("https://portal.dnb.de/opac.htm?method=simpleSearch&amp;cqlMode=true&amp;query=idn%3D999424467", "Portal")</f>
        <v/>
      </c>
      <c r="G389" t="inlineStr">
        <is>
          <t>Aal</t>
        </is>
      </c>
      <c r="H389" t="inlineStr">
        <is>
          <t>L-1546-168348837</t>
        </is>
      </c>
      <c r="I389" t="inlineStr">
        <is>
          <t>999424467</t>
        </is>
      </c>
      <c r="J389" t="inlineStr">
        <is>
          <t>III 51, 28 c</t>
        </is>
      </c>
      <c r="K389" t="inlineStr">
        <is>
          <t>III 51, 28 c</t>
        </is>
      </c>
      <c r="L389" t="inlineStr">
        <is>
          <t>III 51, 28 c</t>
        </is>
      </c>
      <c r="M389" t="inlineStr"/>
      <c r="N389" t="inlineStr">
        <is>
          <t>Vnnser von Gotts|| genaden Moritzes Hertzogen zu|| Sachssen, Landtgraffen in Döringen,|| vnnd Marggreffen zu Meissen, Erklerunge, wie|| wir der Christ</t>
        </is>
      </c>
      <c r="O389" t="inlineStr">
        <is>
          <t xml:space="preserve"> : </t>
        </is>
      </c>
      <c r="P389" t="inlineStr">
        <is>
          <t>X</t>
        </is>
      </c>
      <c r="Q389" t="inlineStr"/>
      <c r="R389" t="inlineStr">
        <is>
          <t>Halbpergamentband</t>
        </is>
      </c>
      <c r="S389" t="inlineStr">
        <is>
          <t>bis 25 cm</t>
        </is>
      </c>
      <c r="T389" t="inlineStr">
        <is>
          <t>80° bis 110°, einseitig digitalisierbar?</t>
        </is>
      </c>
      <c r="U389" t="inlineStr"/>
      <c r="V389" t="inlineStr"/>
      <c r="W389" t="inlineStr">
        <is>
          <t>Archivkarton</t>
        </is>
      </c>
      <c r="X389" t="inlineStr">
        <is>
          <t>Nein</t>
        </is>
      </c>
      <c r="Y389" t="n">
        <v>0</v>
      </c>
      <c r="Z389" t="inlineStr"/>
      <c r="AA389" t="inlineStr">
        <is>
          <t>Buchblock und Einband getrennt</t>
        </is>
      </c>
      <c r="AB389" t="inlineStr"/>
      <c r="AC389" t="inlineStr"/>
      <c r="AD389" t="inlineStr"/>
      <c r="AE389" t="inlineStr"/>
      <c r="AF389" t="inlineStr"/>
      <c r="AG389" t="inlineStr"/>
      <c r="AH389" t="inlineStr"/>
      <c r="AI389" t="inlineStr"/>
      <c r="AJ389" t="inlineStr"/>
      <c r="AK389" t="inlineStr"/>
      <c r="AL389" t="inlineStr"/>
      <c r="AM389" t="inlineStr"/>
      <c r="AN389" t="inlineStr"/>
      <c r="AO389" t="inlineStr"/>
      <c r="AP389" t="inlineStr"/>
      <c r="AQ389" t="inlineStr"/>
      <c r="AR389" t="inlineStr"/>
      <c r="AS389" t="inlineStr"/>
      <c r="AT389" t="inlineStr"/>
      <c r="AU389" t="inlineStr"/>
      <c r="AV389" t="inlineStr"/>
      <c r="AW389" t="inlineStr"/>
      <c r="AX389" t="inlineStr"/>
      <c r="AY389" t="inlineStr"/>
      <c r="AZ389" t="inlineStr"/>
      <c r="BA389" t="inlineStr"/>
      <c r="BB389" t="inlineStr"/>
      <c r="BC389" t="inlineStr"/>
      <c r="BD389" t="inlineStr"/>
      <c r="BE389" t="inlineStr"/>
      <c r="BF389" t="inlineStr"/>
      <c r="BG389" t="inlineStr"/>
      <c r="BH389" t="inlineStr"/>
      <c r="BI389" t="inlineStr"/>
      <c r="BJ389" t="inlineStr"/>
      <c r="BK389" t="inlineStr"/>
      <c r="BL389" t="inlineStr"/>
      <c r="BM389" t="inlineStr"/>
      <c r="BN389" t="n">
        <v>0</v>
      </c>
      <c r="BO389" t="inlineStr"/>
      <c r="BP389" t="inlineStr"/>
      <c r="BQ389" t="inlineStr"/>
      <c r="BR389" t="inlineStr"/>
      <c r="BS389" t="inlineStr"/>
      <c r="BT389" t="inlineStr"/>
      <c r="BU389" t="inlineStr"/>
      <c r="BV389" t="inlineStr"/>
      <c r="BW389" t="inlineStr"/>
      <c r="BX389" t="inlineStr"/>
      <c r="BY389" t="inlineStr"/>
      <c r="BZ389" t="inlineStr"/>
      <c r="CA389" t="inlineStr"/>
      <c r="CB389" t="inlineStr"/>
      <c r="CC389" t="inlineStr"/>
      <c r="CD389" t="inlineStr"/>
      <c r="CE389" t="inlineStr"/>
      <c r="CF389" t="inlineStr"/>
      <c r="CG389" t="inlineStr"/>
      <c r="CH389" t="inlineStr"/>
      <c r="CI389" t="inlineStr"/>
      <c r="CJ389" t="inlineStr"/>
      <c r="CK389" t="inlineStr"/>
      <c r="CL389" t="inlineStr"/>
      <c r="CM389" t="inlineStr"/>
      <c r="CN389" t="inlineStr"/>
      <c r="CO389" t="inlineStr"/>
      <c r="CP389" t="inlineStr"/>
      <c r="CQ389" t="inlineStr"/>
      <c r="CR389" t="inlineStr"/>
      <c r="CS389" t="inlineStr"/>
      <c r="CT389" t="inlineStr"/>
      <c r="CU389" t="inlineStr"/>
      <c r="CV389" t="inlineStr"/>
      <c r="CW389" t="inlineStr"/>
      <c r="CX389" t="inlineStr"/>
      <c r="CY389" t="inlineStr"/>
      <c r="CZ389" t="inlineStr"/>
      <c r="DA389" t="inlineStr"/>
      <c r="DB389" t="inlineStr"/>
      <c r="DC389" t="inlineStr"/>
      <c r="DD389" t="inlineStr"/>
      <c r="DE389" t="inlineStr"/>
      <c r="DF389" t="inlineStr"/>
      <c r="DG389" t="inlineStr"/>
    </row>
    <row r="390">
      <c r="A390" t="inlineStr">
        <is>
          <t>III</t>
        </is>
      </c>
      <c r="B390" t="b">
        <v>1</v>
      </c>
      <c r="C390" t="inlineStr"/>
      <c r="D390" t="inlineStr"/>
      <c r="E390" t="n">
        <v>444</v>
      </c>
      <c r="F390">
        <f>HYPERLINK("https://portal.dnb.de/opac.htm?method=simpleSearch&amp;cqlMode=true&amp;query=idn%3D1003702910", "Portal")</f>
        <v/>
      </c>
      <c r="G390" t="inlineStr">
        <is>
          <t>Aal</t>
        </is>
      </c>
      <c r="H390" t="inlineStr">
        <is>
          <t>L-1549-180493000</t>
        </is>
      </c>
      <c r="I390" t="inlineStr">
        <is>
          <t>1003702910</t>
        </is>
      </c>
      <c r="J390" t="inlineStr">
        <is>
          <t>III 51, 28 d</t>
        </is>
      </c>
      <c r="K390" t="inlineStr">
        <is>
          <t>III 51, 28 d</t>
        </is>
      </c>
      <c r="L390" t="inlineStr">
        <is>
          <t>III 51, 28 d</t>
        </is>
      </c>
      <c r="M390" t="inlineStr"/>
      <c r="N390" t="inlineStr">
        <is>
          <t>ORATIO DE|| CONIVNCTIONE ET|| VNITATE CHRISTIANORVM,|| CONTRA NON NECESSARIAS SE=||PARATIONES, ET AEMVLA=||tiones peruersas, recitata in|| templo coll</t>
        </is>
      </c>
      <c r="O390" t="inlineStr">
        <is>
          <t xml:space="preserve"> : </t>
        </is>
      </c>
      <c r="P390" t="inlineStr"/>
      <c r="Q390" t="inlineStr"/>
      <c r="R390" t="inlineStr">
        <is>
          <t>Halbpergamentband</t>
        </is>
      </c>
      <c r="S390" t="inlineStr">
        <is>
          <t>bis 25 cm</t>
        </is>
      </c>
      <c r="T390" t="inlineStr">
        <is>
          <t>180°</t>
        </is>
      </c>
      <c r="U390" t="inlineStr">
        <is>
          <t>hohler Rücken</t>
        </is>
      </c>
      <c r="V390" t="inlineStr"/>
      <c r="W390" t="inlineStr"/>
      <c r="X390" t="inlineStr"/>
      <c r="Y390" t="n">
        <v>0</v>
      </c>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c r="BH390" t="inlineStr"/>
      <c r="BI390" t="inlineStr"/>
      <c r="BJ390" t="inlineStr"/>
      <c r="BK390" t="inlineStr"/>
      <c r="BL390" t="inlineStr"/>
      <c r="BM390" t="inlineStr"/>
      <c r="BN390" t="n">
        <v>0</v>
      </c>
      <c r="BO390" t="inlineStr"/>
      <c r="BP390" t="inlineStr"/>
      <c r="BQ390" t="inlineStr"/>
      <c r="BR390" t="inlineStr"/>
      <c r="BS390" t="inlineStr"/>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c r="DB390" t="inlineStr"/>
      <c r="DC390" t="inlineStr"/>
      <c r="DD390" t="inlineStr"/>
      <c r="DE390" t="inlineStr"/>
      <c r="DF390" t="inlineStr"/>
      <c r="DG390" t="inlineStr"/>
    </row>
    <row r="391">
      <c r="A391" t="inlineStr">
        <is>
          <t>III</t>
        </is>
      </c>
      <c r="B391" t="b">
        <v>1</v>
      </c>
      <c r="C391" t="inlineStr"/>
      <c r="D391" t="inlineStr"/>
      <c r="E391" t="n">
        <v>445</v>
      </c>
      <c r="F391">
        <f>HYPERLINK("https://portal.dnb.de/opac.htm?method=simpleSearch&amp;cqlMode=true&amp;query=idn%3D999173707", "Portal")</f>
        <v/>
      </c>
      <c r="G391" t="inlineStr">
        <is>
          <t>Aal</t>
        </is>
      </c>
      <c r="H391" t="inlineStr">
        <is>
          <t>L-1552-167647377</t>
        </is>
      </c>
      <c r="I391" t="inlineStr">
        <is>
          <t>999173707</t>
        </is>
      </c>
      <c r="J391" t="inlineStr">
        <is>
          <t>III 51, 28 e</t>
        </is>
      </c>
      <c r="K391" t="inlineStr">
        <is>
          <t>III 51, 28 e</t>
        </is>
      </c>
      <c r="L391" t="inlineStr">
        <is>
          <t>III 51, 28 e</t>
        </is>
      </c>
      <c r="M391" t="inlineStr"/>
      <c r="N391" t="inlineStr">
        <is>
          <t>Loci Prae||Cipvi Theo||Logici|| : Nvnc Denvo Cvra Et||diligentia summa recogniti,|| multisque in locis co||piosè illustrati,|| Cum appendice disputati</t>
        </is>
      </c>
      <c r="O391" t="inlineStr">
        <is>
          <t xml:space="preserve"> : </t>
        </is>
      </c>
      <c r="P391" t="inlineStr"/>
      <c r="Q391" t="inlineStr"/>
      <c r="R391" t="inlineStr">
        <is>
          <t>Halbpergamentband</t>
        </is>
      </c>
      <c r="S391" t="inlineStr">
        <is>
          <t>bis 25 cm</t>
        </is>
      </c>
      <c r="T391" t="inlineStr">
        <is>
          <t>80° bis 110°, einseitig digitalisierbar?</t>
        </is>
      </c>
      <c r="U391" t="inlineStr">
        <is>
          <t>hohler Rücken, welliger Buchblock</t>
        </is>
      </c>
      <c r="V391" t="inlineStr"/>
      <c r="W391" t="inlineStr"/>
      <c r="X391" t="inlineStr"/>
      <c r="Y391" t="n">
        <v>0</v>
      </c>
      <c r="Z391" t="inlineStr"/>
      <c r="AA391" t="inlineStr"/>
      <c r="AB391" t="inlineStr"/>
      <c r="AC391" t="inlineStr"/>
      <c r="AD391" t="inlineStr"/>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c r="BH391" t="inlineStr"/>
      <c r="BI391" t="inlineStr"/>
      <c r="BJ391" t="inlineStr"/>
      <c r="BK391" t="inlineStr"/>
      <c r="BL391" t="inlineStr"/>
      <c r="BM391" t="inlineStr"/>
      <c r="BN391" t="n">
        <v>0</v>
      </c>
      <c r="BO391" t="inlineStr"/>
      <c r="BP391" t="inlineStr"/>
      <c r="BQ391" t="inlineStr"/>
      <c r="BR391" t="inlineStr"/>
      <c r="BS391" t="inlineStr"/>
      <c r="BT391" t="inlineStr"/>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c r="DB391" t="inlineStr"/>
      <c r="DC391" t="inlineStr"/>
      <c r="DD391" t="inlineStr"/>
      <c r="DE391" t="inlineStr"/>
      <c r="DF391" t="inlineStr"/>
      <c r="DG391" t="inlineStr"/>
    </row>
    <row r="392">
      <c r="A392" t="inlineStr">
        <is>
          <t>III</t>
        </is>
      </c>
      <c r="B392" t="b">
        <v>1</v>
      </c>
      <c r="C392" t="inlineStr"/>
      <c r="D392" t="inlineStr"/>
      <c r="E392" t="inlineStr"/>
      <c r="F392">
        <f>HYPERLINK("https://portal.dnb.de/opac.htm?method=simpleSearch&amp;cqlMode=true&amp;query=idn%3D1268890502", "Portal")</f>
        <v/>
      </c>
      <c r="G392" t="inlineStr">
        <is>
          <t>Qd</t>
        </is>
      </c>
      <c r="H392" t="inlineStr">
        <is>
          <t>L-1546-83417233X</t>
        </is>
      </c>
      <c r="I392" t="inlineStr">
        <is>
          <t>1268890502</t>
        </is>
      </c>
      <c r="J392" t="inlineStr">
        <is>
          <t>III 51, 28 f</t>
        </is>
      </c>
      <c r="K392" t="inlineStr">
        <is>
          <t>III 51, 28 f</t>
        </is>
      </c>
      <c r="L392" t="inlineStr">
        <is>
          <t>III 51, 28 f</t>
        </is>
      </c>
      <c r="M392" t="inlineStr"/>
      <c r="N392" t="inlineStr">
        <is>
          <t xml:space="preserve">Sammelband : </t>
        </is>
      </c>
      <c r="O392" t="inlineStr">
        <is>
          <t xml:space="preserve"> : </t>
        </is>
      </c>
      <c r="P392" t="inlineStr">
        <is>
          <t>X</t>
        </is>
      </c>
      <c r="Q392" t="inlineStr"/>
      <c r="R392" t="inlineStr">
        <is>
          <t>Ledereinband, Schließen, erhabene Buchbeschläge</t>
        </is>
      </c>
      <c r="S392" t="inlineStr">
        <is>
          <t>bis 25 cm</t>
        </is>
      </c>
      <c r="T392" t="inlineStr">
        <is>
          <t>80° bis 110°, einseitig digitalisierbar?</t>
        </is>
      </c>
      <c r="U392" t="inlineStr">
        <is>
          <t>hohler Rücken, Schrift bis in den Falz</t>
        </is>
      </c>
      <c r="V392" t="inlineStr"/>
      <c r="W392" t="inlineStr">
        <is>
          <t>Kassette</t>
        </is>
      </c>
      <c r="X392" t="inlineStr">
        <is>
          <t>Nein, Signaturfahne austauschen</t>
        </is>
      </c>
      <c r="Y392" t="n">
        <v>0</v>
      </c>
      <c r="Z392" t="inlineStr"/>
      <c r="AA392" t="inlineStr"/>
      <c r="AB392" t="inlineStr"/>
      <c r="AC392" t="inlineStr"/>
      <c r="AD392" t="inlineStr"/>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c r="BB392" t="inlineStr"/>
      <c r="BC392" t="inlineStr"/>
      <c r="BD392" t="inlineStr"/>
      <c r="BE392" t="inlineStr"/>
      <c r="BF392" t="inlineStr"/>
      <c r="BG392" t="inlineStr"/>
      <c r="BH392" t="inlineStr"/>
      <c r="BI392" t="inlineStr"/>
      <c r="BJ392" t="inlineStr"/>
      <c r="BK392" t="inlineStr"/>
      <c r="BL392" t="inlineStr"/>
      <c r="BM392" t="inlineStr"/>
      <c r="BN392" t="n">
        <v>0</v>
      </c>
      <c r="BO392" t="inlineStr"/>
      <c r="BP392" t="inlineStr"/>
      <c r="BQ392" t="inlineStr"/>
      <c r="BR392" t="inlineStr"/>
      <c r="BS392" t="inlineStr"/>
      <c r="BT392" t="inlineStr"/>
      <c r="BU392" t="inlineStr"/>
      <c r="BV392" t="inlineStr"/>
      <c r="BW392" t="inlineStr"/>
      <c r="BX392" t="inlineStr"/>
      <c r="BY392" t="inlineStr"/>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c r="DB392" t="inlineStr"/>
      <c r="DC392" t="inlineStr"/>
      <c r="DD392" t="inlineStr"/>
      <c r="DE392" t="inlineStr"/>
      <c r="DF392" t="inlineStr"/>
      <c r="DG392" t="inlineStr"/>
    </row>
    <row r="393">
      <c r="A393" t="inlineStr">
        <is>
          <t>III</t>
        </is>
      </c>
      <c r="B393" t="b">
        <v>1</v>
      </c>
      <c r="C393" t="inlineStr">
        <is>
          <t>x</t>
        </is>
      </c>
      <c r="D393" t="inlineStr"/>
      <c r="E393" t="n">
        <v>420</v>
      </c>
      <c r="F393">
        <f>HYPERLINK("https://portal.dnb.de/opac.htm?method=simpleSearch&amp;cqlMode=true&amp;query=idn%3D1066847088", "Portal")</f>
        <v/>
      </c>
      <c r="G393" t="inlineStr">
        <is>
          <t>Aaf</t>
        </is>
      </c>
      <c r="H393" t="inlineStr">
        <is>
          <t>L-1557-31530636X</t>
        </is>
      </c>
      <c r="I393" t="inlineStr">
        <is>
          <t>1066847088</t>
        </is>
      </c>
      <c r="J393" t="inlineStr">
        <is>
          <t>III 51, 30</t>
        </is>
      </c>
      <c r="K393" t="inlineStr">
        <is>
          <t>III 51, 30</t>
        </is>
      </c>
      <c r="L393" t="inlineStr">
        <is>
          <t>III 51, 30</t>
        </is>
      </c>
      <c r="M393" t="inlineStr"/>
      <c r="N393" t="inlineStr">
        <is>
          <t xml:space="preserve">Chronica|| Vnd Antiquitates des alten : </t>
        </is>
      </c>
      <c r="O393" t="inlineStr">
        <is>
          <t xml:space="preserve"> : </t>
        </is>
      </c>
      <c r="P393" t="inlineStr">
        <is>
          <t>X</t>
        </is>
      </c>
      <c r="Q393" t="inlineStr"/>
      <c r="R393" t="inlineStr">
        <is>
          <t>Halbledereinband, Schließen, erhabene Buchbeschläge</t>
        </is>
      </c>
      <c r="S393" t="inlineStr">
        <is>
          <t>bis 35 cm</t>
        </is>
      </c>
      <c r="T393" t="inlineStr">
        <is>
          <t>180°</t>
        </is>
      </c>
      <c r="U393" t="inlineStr">
        <is>
          <t>hohler Rücken</t>
        </is>
      </c>
      <c r="V393" t="inlineStr"/>
      <c r="W393" t="inlineStr">
        <is>
          <t>Buchschuh</t>
        </is>
      </c>
      <c r="X393" t="inlineStr">
        <is>
          <t>Nein</t>
        </is>
      </c>
      <c r="Y393" t="n">
        <v>1</v>
      </c>
      <c r="Z393" t="inlineStr"/>
      <c r="AA393" t="inlineStr"/>
      <c r="AB393" t="inlineStr"/>
      <c r="AC393" t="inlineStr"/>
      <c r="AD393" t="inlineStr"/>
      <c r="AE393" t="inlineStr"/>
      <c r="AF393" t="inlineStr"/>
      <c r="AG393" t="inlineStr"/>
      <c r="AH393" t="inlineStr"/>
      <c r="AI393" t="inlineStr">
        <is>
          <t>HL</t>
        </is>
      </c>
      <c r="AJ393" t="inlineStr"/>
      <c r="AK393" t="inlineStr">
        <is>
          <t>x</t>
        </is>
      </c>
      <c r="AL393" t="inlineStr"/>
      <c r="AM393" t="inlineStr">
        <is>
          <t>h/E</t>
        </is>
      </c>
      <c r="AN393" t="inlineStr"/>
      <c r="AO393" t="inlineStr"/>
      <c r="AP393" t="inlineStr"/>
      <c r="AQ393" t="inlineStr"/>
      <c r="AR393" t="inlineStr"/>
      <c r="AS393" t="inlineStr">
        <is>
          <t>Pa</t>
        </is>
      </c>
      <c r="AT393" t="inlineStr"/>
      <c r="AU393" t="inlineStr"/>
      <c r="AV393" t="inlineStr"/>
      <c r="AW393" t="inlineStr"/>
      <c r="AX393" t="inlineStr"/>
      <c r="AY393" t="inlineStr"/>
      <c r="AZ393" t="inlineStr"/>
      <c r="BA393" t="inlineStr"/>
      <c r="BB393" t="inlineStr"/>
      <c r="BC393" t="inlineStr"/>
      <c r="BD393" t="inlineStr"/>
      <c r="BE393" t="inlineStr"/>
      <c r="BF393" t="inlineStr"/>
      <c r="BG393" t="n">
        <v>110</v>
      </c>
      <c r="BH393" t="inlineStr"/>
      <c r="BI393" t="inlineStr"/>
      <c r="BJ393" t="inlineStr"/>
      <c r="BK393" t="inlineStr"/>
      <c r="BL393" t="inlineStr"/>
      <c r="BM393" t="inlineStr">
        <is>
          <t>ja vor</t>
        </is>
      </c>
      <c r="BN393" t="n">
        <v>0.5</v>
      </c>
      <c r="BO393" t="inlineStr"/>
      <c r="BP393" t="inlineStr"/>
      <c r="BQ393" t="inlineStr"/>
      <c r="BR393" t="inlineStr">
        <is>
          <t>x</t>
        </is>
      </c>
      <c r="BS393" t="inlineStr"/>
      <c r="BT393" t="inlineStr"/>
      <c r="BU393" t="inlineStr"/>
      <c r="BV393" t="inlineStr"/>
      <c r="BW393" t="inlineStr"/>
      <c r="BX393" t="inlineStr"/>
      <c r="BY393" t="inlineStr"/>
      <c r="BZ393" t="inlineStr">
        <is>
          <t>x</t>
        </is>
      </c>
      <c r="CA393" t="inlineStr">
        <is>
          <t>x</t>
        </is>
      </c>
      <c r="CB393" t="inlineStr">
        <is>
          <t>x</t>
        </is>
      </c>
      <c r="CC393" t="inlineStr"/>
      <c r="CD393" t="inlineStr"/>
      <c r="CE393" t="inlineStr"/>
      <c r="CF393" t="inlineStr"/>
      <c r="CG393" t="inlineStr"/>
      <c r="CH393" t="inlineStr"/>
      <c r="CI393" t="inlineStr"/>
      <c r="CJ393" t="inlineStr"/>
      <c r="CK393" t="inlineStr"/>
      <c r="CL393" t="inlineStr"/>
      <c r="CM393" t="n">
        <v>0.5</v>
      </c>
      <c r="CN393" t="inlineStr"/>
      <c r="CO393" t="inlineStr"/>
      <c r="CP393" t="inlineStr"/>
      <c r="CQ393" t="inlineStr"/>
      <c r="CR393" t="inlineStr"/>
      <c r="CS393" t="inlineStr"/>
      <c r="CT393" t="inlineStr"/>
      <c r="CU393" t="inlineStr"/>
      <c r="CV393" t="inlineStr"/>
      <c r="CW393" t="inlineStr"/>
      <c r="CX393" t="inlineStr"/>
      <c r="CY393" t="inlineStr"/>
      <c r="CZ393" t="inlineStr"/>
      <c r="DA393" t="inlineStr"/>
      <c r="DB393" t="inlineStr"/>
      <c r="DC393" t="inlineStr"/>
      <c r="DD393" t="inlineStr"/>
      <c r="DE393" t="inlineStr"/>
      <c r="DF393" t="inlineStr"/>
      <c r="DG393" t="inlineStr"/>
    </row>
    <row r="394">
      <c r="A394" t="inlineStr">
        <is>
          <t>III</t>
        </is>
      </c>
      <c r="B394" t="b">
        <v>1</v>
      </c>
      <c r="C394" t="inlineStr"/>
      <c r="D394" t="inlineStr"/>
      <c r="E394" t="n">
        <v>421</v>
      </c>
      <c r="F394">
        <f>HYPERLINK("https://portal.dnb.de/opac.htm?method=simpleSearch&amp;cqlMode=true&amp;query=idn%3D1066957304", "Portal")</f>
        <v/>
      </c>
      <c r="G394" t="inlineStr">
        <is>
          <t>Aaf</t>
        </is>
      </c>
      <c r="H394" t="inlineStr">
        <is>
          <t>L-1518-31548795X</t>
        </is>
      </c>
      <c r="I394" t="inlineStr">
        <is>
          <t>1066957304</t>
        </is>
      </c>
      <c r="J394" t="inlineStr">
        <is>
          <t>III 51, 32</t>
        </is>
      </c>
      <c r="K394" t="inlineStr">
        <is>
          <t>III 51, 32</t>
        </is>
      </c>
      <c r="L394" t="inlineStr">
        <is>
          <t>III 51, 32</t>
        </is>
      </c>
      <c r="M394" t="inlineStr"/>
      <c r="N394" t="inlineStr">
        <is>
          <t xml:space="preserve">Appellatio. F.|| Martini Luther ad|| Concilium.|| : </t>
        </is>
      </c>
      <c r="O394" t="inlineStr">
        <is>
          <t xml:space="preserve"> : </t>
        </is>
      </c>
      <c r="P394" t="inlineStr">
        <is>
          <t>X</t>
        </is>
      </c>
      <c r="Q394" t="inlineStr"/>
      <c r="R394" t="inlineStr">
        <is>
          <t>Halbledereinband</t>
        </is>
      </c>
      <c r="S394" t="inlineStr">
        <is>
          <t>bis 25 cm</t>
        </is>
      </c>
      <c r="T394" t="inlineStr">
        <is>
          <t>180°</t>
        </is>
      </c>
      <c r="U394" t="inlineStr"/>
      <c r="V394" t="inlineStr"/>
      <c r="W394" t="inlineStr">
        <is>
          <t>Archivkarton</t>
        </is>
      </c>
      <c r="X394" t="inlineStr">
        <is>
          <t>Nein</t>
        </is>
      </c>
      <c r="Y394" t="n">
        <v>2</v>
      </c>
      <c r="Z394" t="inlineStr"/>
      <c r="AA394" t="inlineStr">
        <is>
          <t>Buchblock und Einband getrennt</t>
        </is>
      </c>
      <c r="AB394" t="inlineStr"/>
      <c r="AC394" t="inlineStr"/>
      <c r="AD394" t="inlineStr"/>
      <c r="AE394" t="inlineStr"/>
      <c r="AF394" t="inlineStr"/>
      <c r="AG394" t="inlineStr"/>
      <c r="AH394" t="inlineStr"/>
      <c r="AI394" t="inlineStr">
        <is>
          <t>oE</t>
        </is>
      </c>
      <c r="AJ394" t="inlineStr">
        <is>
          <t xml:space="preserve">
Einband mit saurem Füllmaterial liegt bei</t>
        </is>
      </c>
      <c r="AK394" t="inlineStr"/>
      <c r="AL394" t="inlineStr"/>
      <c r="AM394" t="inlineStr"/>
      <c r="AN394" t="inlineStr"/>
      <c r="AO394" t="inlineStr"/>
      <c r="AP394" t="inlineStr"/>
      <c r="AQ394" t="inlineStr"/>
      <c r="AR394" t="inlineStr"/>
      <c r="AS394" t="inlineStr">
        <is>
          <t>Pa</t>
        </is>
      </c>
      <c r="AT394" t="inlineStr"/>
      <c r="AU394" t="inlineStr"/>
      <c r="AV394" t="inlineStr"/>
      <c r="AW394" t="inlineStr"/>
      <c r="AX394" t="inlineStr"/>
      <c r="AY394" t="inlineStr"/>
      <c r="AZ394" t="inlineStr"/>
      <c r="BA394" t="inlineStr"/>
      <c r="BB394" t="inlineStr"/>
      <c r="BC394" t="inlineStr"/>
      <c r="BD394" t="inlineStr"/>
      <c r="BE394" t="inlineStr"/>
      <c r="BF394" t="inlineStr"/>
      <c r="BG394" t="n">
        <v>180</v>
      </c>
      <c r="BH394" t="inlineStr"/>
      <c r="BI394" t="inlineStr"/>
      <c r="BJ394" t="inlineStr"/>
      <c r="BK394" t="inlineStr"/>
      <c r="BL394" t="inlineStr"/>
      <c r="BM394" t="inlineStr">
        <is>
          <t>n</t>
        </is>
      </c>
      <c r="BN394" t="n">
        <v>0</v>
      </c>
      <c r="BO394" t="inlineStr"/>
      <c r="BP394" t="inlineStr"/>
      <c r="BQ394" t="inlineStr"/>
      <c r="BR394" t="inlineStr"/>
      <c r="BS394" t="inlineStr">
        <is>
          <t>x</t>
        </is>
      </c>
      <c r="BT394" t="inlineStr"/>
      <c r="BU394" t="inlineStr"/>
      <c r="BV394" t="inlineStr">
        <is>
          <t>Einband liegt bei</t>
        </is>
      </c>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c r="DA394" t="inlineStr"/>
      <c r="DB394" t="inlineStr"/>
      <c r="DC394" t="inlineStr"/>
      <c r="DD394" t="inlineStr"/>
      <c r="DE394" t="inlineStr"/>
      <c r="DF394" t="inlineStr"/>
      <c r="DG394" t="inlineStr"/>
    </row>
    <row r="395">
      <c r="A395" t="inlineStr">
        <is>
          <t>III</t>
        </is>
      </c>
      <c r="B395" t="b">
        <v>1</v>
      </c>
      <c r="C395" t="inlineStr"/>
      <c r="D395" t="inlineStr"/>
      <c r="E395" t="n">
        <v>449</v>
      </c>
      <c r="F395">
        <f>HYPERLINK("https://portal.dnb.de/opac.htm?method=simpleSearch&amp;cqlMode=true&amp;query=idn%3D1003325297", "Portal")</f>
        <v/>
      </c>
      <c r="G395" t="inlineStr">
        <is>
          <t>Aal</t>
        </is>
      </c>
      <c r="H395" t="inlineStr">
        <is>
          <t>L-1520-179470655</t>
        </is>
      </c>
      <c r="I395" t="inlineStr">
        <is>
          <t>1003325297</t>
        </is>
      </c>
      <c r="J395" t="inlineStr">
        <is>
          <t>III 51, 32a</t>
        </is>
      </c>
      <c r="K395" t="inlineStr">
        <is>
          <t>III 51, 32a</t>
        </is>
      </c>
      <c r="L395" t="inlineStr">
        <is>
          <t>III 51, 32 a</t>
        </is>
      </c>
      <c r="M395" t="inlineStr"/>
      <c r="N395" t="inlineStr">
        <is>
          <t>Wie die Bebstlich geschick=||te botschafft yre werbung gethan, ha=||ben An den durchlauchtigen vnd|| hochgebornē Furstē vn̄ hern|| hertzog Friderich t</t>
        </is>
      </c>
      <c r="O395" t="inlineStr">
        <is>
          <t xml:space="preserve"> : </t>
        </is>
      </c>
      <c r="P395" t="inlineStr"/>
      <c r="Q395" t="inlineStr"/>
      <c r="R395" t="inlineStr">
        <is>
          <t>Halbpergamentband</t>
        </is>
      </c>
      <c r="S395" t="inlineStr">
        <is>
          <t>bis 25 cm</t>
        </is>
      </c>
      <c r="T395" t="inlineStr">
        <is>
          <t>180°</t>
        </is>
      </c>
      <c r="U395" t="inlineStr"/>
      <c r="V395" t="inlineStr"/>
      <c r="W395" t="inlineStr">
        <is>
          <t>Archivkarton</t>
        </is>
      </c>
      <c r="X395" t="inlineStr">
        <is>
          <t>Nein</t>
        </is>
      </c>
      <c r="Y395" t="n">
        <v>0</v>
      </c>
      <c r="Z395" t="inlineStr"/>
      <c r="AA395" t="inlineStr">
        <is>
          <t>Buchblock und Einband getrennt</t>
        </is>
      </c>
      <c r="AB395" t="inlineStr"/>
      <c r="AC395" t="inlineStr"/>
      <c r="AD395" t="inlineStr"/>
      <c r="AE395" t="inlineStr"/>
      <c r="AF395" t="inlineStr"/>
      <c r="AG395" t="inlineStr"/>
      <c r="AH395" t="inlineStr"/>
      <c r="AI395" t="inlineStr">
        <is>
          <t>oE</t>
        </is>
      </c>
      <c r="AJ395" t="inlineStr">
        <is>
          <t xml:space="preserve">
Einband liegt bei</t>
        </is>
      </c>
      <c r="AK395" t="inlineStr"/>
      <c r="AL395" t="inlineStr"/>
      <c r="AM395" t="inlineStr"/>
      <c r="AN395" t="inlineStr"/>
      <c r="AO395" t="inlineStr"/>
      <c r="AP395" t="inlineStr"/>
      <c r="AQ395" t="inlineStr"/>
      <c r="AR395" t="inlineStr"/>
      <c r="AS395" t="inlineStr">
        <is>
          <t>Pa</t>
        </is>
      </c>
      <c r="AT395" t="inlineStr"/>
      <c r="AU395" t="inlineStr"/>
      <c r="AV395" t="inlineStr"/>
      <c r="AW395" t="inlineStr"/>
      <c r="AX395" t="inlineStr"/>
      <c r="AY395" t="inlineStr"/>
      <c r="AZ395" t="inlineStr"/>
      <c r="BA395" t="inlineStr"/>
      <c r="BB395" t="inlineStr"/>
      <c r="BC395" t="inlineStr"/>
      <c r="BD395" t="inlineStr"/>
      <c r="BE395" t="inlineStr"/>
      <c r="BF395" t="inlineStr"/>
      <c r="BG395" t="n">
        <v>180</v>
      </c>
      <c r="BH395" t="inlineStr"/>
      <c r="BI395" t="inlineStr"/>
      <c r="BJ395" t="inlineStr"/>
      <c r="BK395" t="inlineStr"/>
      <c r="BL395" t="inlineStr"/>
      <c r="BM395" t="inlineStr">
        <is>
          <t>n</t>
        </is>
      </c>
      <c r="BN395" t="n">
        <v>0</v>
      </c>
      <c r="BO395" t="inlineStr"/>
      <c r="BP395" t="inlineStr"/>
      <c r="BQ395" t="inlineStr"/>
      <c r="BR395" t="inlineStr"/>
      <c r="BS395" t="inlineStr">
        <is>
          <t>x</t>
        </is>
      </c>
      <c r="BT395" t="inlineStr"/>
      <c r="BU395" t="inlineStr"/>
      <c r="BV395" t="inlineStr">
        <is>
          <t>Einband liegt bei</t>
        </is>
      </c>
      <c r="BW395" t="inlineStr"/>
      <c r="BX395" t="inlineStr"/>
      <c r="BY395" t="inlineStr"/>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c r="CV395" t="inlineStr"/>
      <c r="CW395" t="inlineStr"/>
      <c r="CX395" t="inlineStr"/>
      <c r="CY395" t="inlineStr"/>
      <c r="CZ395" t="inlineStr"/>
      <c r="DA395" t="inlineStr"/>
      <c r="DB395" t="inlineStr"/>
      <c r="DC395" t="inlineStr"/>
      <c r="DD395" t="inlineStr"/>
      <c r="DE395" t="inlineStr"/>
      <c r="DF395" t="inlineStr"/>
      <c r="DG395" t="inlineStr"/>
    </row>
    <row r="396">
      <c r="A396" t="inlineStr">
        <is>
          <t>III</t>
        </is>
      </c>
      <c r="B396" t="b">
        <v>1</v>
      </c>
      <c r="C396" t="inlineStr"/>
      <c r="D396" t="inlineStr"/>
      <c r="E396" t="n">
        <v>450</v>
      </c>
      <c r="F396">
        <f>HYPERLINK("https://portal.dnb.de/opac.htm?method=simpleSearch&amp;cqlMode=true&amp;query=idn%3D997214228", "Portal")</f>
        <v/>
      </c>
      <c r="G396" t="inlineStr">
        <is>
          <t>Aal</t>
        </is>
      </c>
      <c r="H396" t="inlineStr">
        <is>
          <t>L-1528-163501254</t>
        </is>
      </c>
      <c r="I396" t="inlineStr">
        <is>
          <t>997214228</t>
        </is>
      </c>
      <c r="J396" t="inlineStr">
        <is>
          <t>III 51, 32 b</t>
        </is>
      </c>
      <c r="K396" t="inlineStr">
        <is>
          <t>III 51, 32 b</t>
        </is>
      </c>
      <c r="L396" t="inlineStr">
        <is>
          <t>III 51, 32 b</t>
        </is>
      </c>
      <c r="M396" t="inlineStr"/>
      <c r="N396" t="inlineStr">
        <is>
          <t>Ein @Sendt||brieff Kethen vo[n] Bho||re Luthers vormeyn||them eheweybe sampt eynem geschenck freuntlicher|| meynung tzuuor=||fertigt : Dartzu eyne Bed</t>
        </is>
      </c>
      <c r="O396" t="inlineStr">
        <is>
          <t xml:space="preserve"> : </t>
        </is>
      </c>
      <c r="P396" t="inlineStr"/>
      <c r="Q396" t="inlineStr"/>
      <c r="R396" t="inlineStr">
        <is>
          <t>Halbpergamentband</t>
        </is>
      </c>
      <c r="S396" t="inlineStr">
        <is>
          <t>bis 25 cm</t>
        </is>
      </c>
      <c r="T396" t="inlineStr">
        <is>
          <t>180°</t>
        </is>
      </c>
      <c r="U396" t="inlineStr">
        <is>
          <t>hohler Rücken</t>
        </is>
      </c>
      <c r="V396" t="inlineStr"/>
      <c r="W396" t="inlineStr"/>
      <c r="X396" t="inlineStr"/>
      <c r="Y396" t="n">
        <v>0</v>
      </c>
      <c r="Z396" t="inlineStr"/>
      <c r="AA396" t="inlineStr"/>
      <c r="AB396" t="inlineStr"/>
      <c r="AC396" t="inlineStr"/>
      <c r="AD396" t="inlineStr"/>
      <c r="AE396" t="inlineStr"/>
      <c r="AF396" t="inlineStr"/>
      <c r="AG396" t="inlineStr"/>
      <c r="AH396" t="inlineStr"/>
      <c r="AI396" t="inlineStr">
        <is>
          <t>HPg</t>
        </is>
      </c>
      <c r="AJ396" t="inlineStr"/>
      <c r="AK396" t="inlineStr"/>
      <c r="AL396" t="inlineStr">
        <is>
          <t>x</t>
        </is>
      </c>
      <c r="AM396" t="inlineStr">
        <is>
          <t>h/E</t>
        </is>
      </c>
      <c r="AN396" t="inlineStr"/>
      <c r="AO396" t="inlineStr"/>
      <c r="AP396" t="inlineStr"/>
      <c r="AQ396" t="inlineStr"/>
      <c r="AR396" t="inlineStr"/>
      <c r="AS396" t="inlineStr">
        <is>
          <t>Pa</t>
        </is>
      </c>
      <c r="AT396" t="inlineStr"/>
      <c r="AU396" t="inlineStr"/>
      <c r="AV396" t="inlineStr"/>
      <c r="AW396" t="inlineStr"/>
      <c r="AX396" t="inlineStr"/>
      <c r="AY396" t="inlineStr"/>
      <c r="AZ396" t="inlineStr"/>
      <c r="BA396" t="inlineStr"/>
      <c r="BB396" t="inlineStr"/>
      <c r="BC396" t="inlineStr"/>
      <c r="BD396" t="inlineStr"/>
      <c r="BE396" t="inlineStr"/>
      <c r="BF396" t="inlineStr"/>
      <c r="BG396" t="n">
        <v>110</v>
      </c>
      <c r="BH396" t="inlineStr"/>
      <c r="BI396" t="inlineStr"/>
      <c r="BJ396" t="inlineStr"/>
      <c r="BK396" t="inlineStr"/>
      <c r="BL396" t="inlineStr"/>
      <c r="BM396" t="inlineStr">
        <is>
          <t>n</t>
        </is>
      </c>
      <c r="BN396" t="n">
        <v>0</v>
      </c>
      <c r="BO396" t="inlineStr"/>
      <c r="BP396" t="inlineStr"/>
      <c r="BQ396" t="inlineStr"/>
      <c r="BR396" t="inlineStr"/>
      <c r="BS396" t="inlineStr">
        <is>
          <t>x</t>
        </is>
      </c>
      <c r="BT396" t="inlineStr"/>
      <c r="BU396" t="inlineStr"/>
      <c r="BV396" t="inlineStr"/>
      <c r="BW396" t="inlineStr"/>
      <c r="BX396" t="inlineStr"/>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c r="DB396" t="inlineStr"/>
      <c r="DC396" t="inlineStr"/>
      <c r="DD396" t="inlineStr"/>
      <c r="DE396" t="inlineStr"/>
      <c r="DF396" t="inlineStr"/>
      <c r="DG396" t="inlineStr"/>
    </row>
    <row r="397">
      <c r="A397" t="inlineStr">
        <is>
          <t>III</t>
        </is>
      </c>
      <c r="B397" t="b">
        <v>1</v>
      </c>
      <c r="C397" t="inlineStr"/>
      <c r="D397" t="inlineStr"/>
      <c r="E397" t="n">
        <v>451</v>
      </c>
      <c r="F397">
        <f>HYPERLINK("https://portal.dnb.de/opac.htm?method=simpleSearch&amp;cqlMode=true&amp;query=idn%3D993907032", "Portal")</f>
        <v/>
      </c>
      <c r="G397" t="inlineStr">
        <is>
          <t>Aal</t>
        </is>
      </c>
      <c r="H397" t="inlineStr">
        <is>
          <t>L-1520-153968850</t>
        </is>
      </c>
      <c r="I397" t="inlineStr">
        <is>
          <t>993907032</t>
        </is>
      </c>
      <c r="J397" t="inlineStr">
        <is>
          <t>III 51, 33 a</t>
        </is>
      </c>
      <c r="K397" t="inlineStr">
        <is>
          <t>III 51, 33 a</t>
        </is>
      </c>
      <c r="L397" t="inlineStr">
        <is>
          <t>III 51, 33 a</t>
        </is>
      </c>
      <c r="M397" t="inlineStr"/>
      <c r="N397" t="inlineStr">
        <is>
          <t xml:space="preserve">Super apostolica se||de, An videlicet diuino sit iure nec ne, anque põtifex|| qui Papa dici caeptus est, iure diuino in ea ipsa|| pre̜sideat, nō parū </t>
        </is>
      </c>
      <c r="O397" t="inlineStr">
        <is>
          <t xml:space="preserve"> : </t>
        </is>
      </c>
      <c r="P397" t="inlineStr"/>
      <c r="Q397" t="inlineStr"/>
      <c r="R397" t="inlineStr"/>
      <c r="S397" t="inlineStr">
        <is>
          <t>bis 25 cm</t>
        </is>
      </c>
      <c r="T397" t="inlineStr"/>
      <c r="U397" t="inlineStr"/>
      <c r="V397" t="inlineStr"/>
      <c r="W397" t="inlineStr"/>
      <c r="X397" t="inlineStr"/>
      <c r="Y397" t="inlineStr"/>
      <c r="Z397" t="inlineStr"/>
      <c r="AA397" t="inlineStr"/>
      <c r="AB397" t="inlineStr"/>
      <c r="AC397" t="inlineStr"/>
      <c r="AD397" t="inlineStr"/>
      <c r="AE397" t="inlineStr"/>
      <c r="AF397" t="inlineStr"/>
      <c r="AG397" t="inlineStr"/>
      <c r="AH397" t="inlineStr"/>
      <c r="AI397" t="inlineStr">
        <is>
          <t>Br</t>
        </is>
      </c>
      <c r="AJ397" t="inlineStr"/>
      <c r="AK397" t="inlineStr"/>
      <c r="AL397" t="inlineStr"/>
      <c r="AM397" t="inlineStr">
        <is>
          <t>f</t>
        </is>
      </c>
      <c r="AN397" t="inlineStr"/>
      <c r="AO397" t="inlineStr"/>
      <c r="AP397" t="inlineStr"/>
      <c r="AQ397" t="inlineStr"/>
      <c r="AR397" t="inlineStr"/>
      <c r="AS397" t="inlineStr">
        <is>
          <t>Pa</t>
        </is>
      </c>
      <c r="AT397" t="inlineStr"/>
      <c r="AU397" t="inlineStr"/>
      <c r="AV397" t="inlineStr"/>
      <c r="AW397" t="inlineStr"/>
      <c r="AX397" t="inlineStr"/>
      <c r="AY397" t="inlineStr"/>
      <c r="AZ397" t="inlineStr"/>
      <c r="BA397" t="inlineStr"/>
      <c r="BB397" t="inlineStr"/>
      <c r="BC397" t="inlineStr"/>
      <c r="BD397" t="inlineStr"/>
      <c r="BE397" t="inlineStr"/>
      <c r="BF397" t="inlineStr"/>
      <c r="BG397" t="inlineStr">
        <is>
          <t>nur 110</t>
        </is>
      </c>
      <c r="BH397" t="inlineStr"/>
      <c r="BI397" t="inlineStr"/>
      <c r="BJ397" t="inlineStr"/>
      <c r="BK397" t="inlineStr"/>
      <c r="BL397" t="inlineStr"/>
      <c r="BM397" t="inlineStr">
        <is>
          <t>n</t>
        </is>
      </c>
      <c r="BN397" t="n">
        <v>0</v>
      </c>
      <c r="BO397" t="inlineStr"/>
      <c r="BP397" t="inlineStr"/>
      <c r="BQ397" t="inlineStr"/>
      <c r="BR397" t="inlineStr"/>
      <c r="BS397" t="inlineStr">
        <is>
          <t>x</t>
        </is>
      </c>
      <c r="BT397" t="inlineStr"/>
      <c r="BU397" t="inlineStr"/>
      <c r="BV397" t="inlineStr"/>
      <c r="BW397" t="inlineStr"/>
      <c r="BX397" t="inlineStr"/>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c r="DB397" t="inlineStr"/>
      <c r="DC397" t="inlineStr"/>
      <c r="DD397" t="inlineStr"/>
      <c r="DE397" t="inlineStr"/>
      <c r="DF397" t="inlineStr"/>
      <c r="DG397" t="inlineStr"/>
    </row>
    <row r="398">
      <c r="A398" t="inlineStr">
        <is>
          <t>III</t>
        </is>
      </c>
      <c r="B398" t="b">
        <v>1</v>
      </c>
      <c r="C398" t="inlineStr"/>
      <c r="D398" t="inlineStr"/>
      <c r="E398" t="n">
        <v>452</v>
      </c>
      <c r="F398">
        <f>HYPERLINK("https://portal.dnb.de/opac.htm?method=simpleSearch&amp;cqlMode=true&amp;query=idn%3D1066960062", "Portal")</f>
        <v/>
      </c>
      <c r="G398" t="inlineStr">
        <is>
          <t>Aaf</t>
        </is>
      </c>
      <c r="H398" t="inlineStr">
        <is>
          <t>L-1520-315490594</t>
        </is>
      </c>
      <c r="I398" t="inlineStr">
        <is>
          <t>1066960062</t>
        </is>
      </c>
      <c r="J398" t="inlineStr">
        <is>
          <t>III 51, 33 b</t>
        </is>
      </c>
      <c r="K398" t="inlineStr">
        <is>
          <t>III 51, 33 b</t>
        </is>
      </c>
      <c r="L398" t="inlineStr">
        <is>
          <t>III 51, 33 b</t>
        </is>
      </c>
      <c r="M398" t="inlineStr"/>
      <c r="N398" t="inlineStr">
        <is>
          <t>Henrici Stro=||meri Aurbachi Medici Ser=||mo panegyricus, Petro Mosellano, quo|| die Lipsensis Academiae Rector|| proclamatus est, dictus. Cui|| adiec</t>
        </is>
      </c>
      <c r="O398" t="inlineStr">
        <is>
          <t xml:space="preserve"> : </t>
        </is>
      </c>
      <c r="P398" t="inlineStr">
        <is>
          <t>X</t>
        </is>
      </c>
      <c r="Q398" t="inlineStr"/>
      <c r="R398" t="inlineStr">
        <is>
          <t>Papier- oder Pappeinband</t>
        </is>
      </c>
      <c r="S398" t="inlineStr">
        <is>
          <t>bis 25 cm</t>
        </is>
      </c>
      <c r="T398" t="inlineStr">
        <is>
          <t>180°</t>
        </is>
      </c>
      <c r="U398" t="inlineStr"/>
      <c r="V398" t="inlineStr"/>
      <c r="W398" t="inlineStr">
        <is>
          <t>Archivkarton</t>
        </is>
      </c>
      <c r="X398" t="inlineStr">
        <is>
          <t>Nein</t>
        </is>
      </c>
      <c r="Y398" t="n">
        <v>0</v>
      </c>
      <c r="Z398" t="inlineStr"/>
      <c r="AA398" t="inlineStr">
        <is>
          <t>Buchblock und Einband getrennt</t>
        </is>
      </c>
      <c r="AB398" t="inlineStr"/>
      <c r="AC398" t="inlineStr"/>
      <c r="AD398" t="inlineStr"/>
      <c r="AE398" t="inlineStr"/>
      <c r="AF398" t="inlineStr"/>
      <c r="AG398" t="inlineStr"/>
      <c r="AH398" t="inlineStr"/>
      <c r="AI398" t="inlineStr">
        <is>
          <t>oE</t>
        </is>
      </c>
      <c r="AJ398" t="inlineStr">
        <is>
          <t xml:space="preserve">
Einband liegt bei</t>
        </is>
      </c>
      <c r="AK398" t="inlineStr"/>
      <c r="AL398" t="inlineStr"/>
      <c r="AM398" t="inlineStr"/>
      <c r="AN398" t="inlineStr"/>
      <c r="AO398" t="inlineStr"/>
      <c r="AP398" t="inlineStr"/>
      <c r="AQ398" t="inlineStr"/>
      <c r="AR398" t="inlineStr"/>
      <c r="AS398" t="inlineStr">
        <is>
          <t>Pa</t>
        </is>
      </c>
      <c r="AT398" t="inlineStr"/>
      <c r="AU398" t="inlineStr"/>
      <c r="AV398" t="inlineStr"/>
      <c r="AW398" t="inlineStr"/>
      <c r="AX398" t="inlineStr"/>
      <c r="AY398" t="inlineStr"/>
      <c r="AZ398" t="inlineStr"/>
      <c r="BA398" t="inlineStr"/>
      <c r="BB398" t="inlineStr"/>
      <c r="BC398" t="inlineStr"/>
      <c r="BD398" t="inlineStr"/>
      <c r="BE398" t="inlineStr"/>
      <c r="BF398" t="inlineStr"/>
      <c r="BG398" t="n">
        <v>180</v>
      </c>
      <c r="BH398" t="inlineStr"/>
      <c r="BI398" t="inlineStr"/>
      <c r="BJ398" t="inlineStr"/>
      <c r="BK398" t="inlineStr"/>
      <c r="BL398" t="inlineStr"/>
      <c r="BM398" t="inlineStr">
        <is>
          <t>n</t>
        </is>
      </c>
      <c r="BN398" t="n">
        <v>0</v>
      </c>
      <c r="BO398" t="inlineStr"/>
      <c r="BP398" t="inlineStr"/>
      <c r="BQ398" t="inlineStr"/>
      <c r="BR398" t="inlineStr"/>
      <c r="BS398" t="inlineStr">
        <is>
          <t>x</t>
        </is>
      </c>
      <c r="BT398" t="inlineStr"/>
      <c r="BU398" t="inlineStr"/>
      <c r="BV398" t="inlineStr"/>
      <c r="BW398" t="inlineStr"/>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c r="DA398" t="inlineStr"/>
      <c r="DB398" t="inlineStr"/>
      <c r="DC398" t="inlineStr"/>
      <c r="DD398" t="inlineStr"/>
      <c r="DE398" t="inlineStr"/>
      <c r="DF398" t="inlineStr"/>
      <c r="DG398" t="inlineStr"/>
    </row>
    <row r="399">
      <c r="A399" t="inlineStr">
        <is>
          <t>III</t>
        </is>
      </c>
      <c r="B399" t="b">
        <v>1</v>
      </c>
      <c r="C399" t="inlineStr">
        <is>
          <t>x</t>
        </is>
      </c>
      <c r="D399" t="inlineStr"/>
      <c r="E399" t="inlineStr"/>
      <c r="F399">
        <f>HYPERLINK("https://portal.dnb.de/opac.htm?method=simpleSearch&amp;cqlMode=true&amp;query=idn%3D1217816836", "Portal")</f>
        <v/>
      </c>
      <c r="G399" t="inlineStr">
        <is>
          <t>Aa</t>
        </is>
      </c>
      <c r="H399" t="inlineStr">
        <is>
          <t>L-2020-302395</t>
        </is>
      </c>
      <c r="I399" t="inlineStr">
        <is>
          <t>1217816836</t>
        </is>
      </c>
      <c r="J399" t="inlineStr">
        <is>
          <t>III 51, 33 c ; Großformate</t>
        </is>
      </c>
      <c r="K399" t="inlineStr">
        <is>
          <t>III 51, 33 c</t>
        </is>
      </c>
      <c r="L399" t="inlineStr">
        <is>
          <t>III 51, 33 c</t>
        </is>
      </c>
      <c r="M399" t="inlineStr"/>
      <c r="N399" t="inlineStr">
        <is>
          <t xml:space="preserve">Sachssenspigell : vffs new durchaus corrgirt und restituirt, Allenthalb wu dye text vorandert vnd vnuorstentlich gewest, mitt vil nawen adicionen aus </t>
        </is>
      </c>
      <c r="O399" t="inlineStr">
        <is>
          <t xml:space="preserve"> : </t>
        </is>
      </c>
      <c r="P399" t="inlineStr"/>
      <c r="Q399" t="inlineStr">
        <is>
          <t>2100,00 EUR</t>
        </is>
      </c>
      <c r="R399" t="inlineStr"/>
      <c r="S399" t="inlineStr">
        <is>
          <t>bis 35 cm</t>
        </is>
      </c>
      <c r="T399" t="inlineStr"/>
      <c r="U399" t="inlineStr"/>
      <c r="V399" t="inlineStr"/>
      <c r="W399" t="inlineStr"/>
      <c r="X399" t="inlineStr"/>
      <c r="Y399" t="inlineStr"/>
      <c r="Z399" t="inlineStr"/>
      <c r="AA399" t="inlineStr"/>
      <c r="AB399" t="inlineStr"/>
      <c r="AC399" t="inlineStr"/>
      <c r="AD399" t="inlineStr"/>
      <c r="AE399" t="inlineStr"/>
      <c r="AF399" t="inlineStr"/>
      <c r="AG399" t="inlineStr"/>
      <c r="AH399" t="inlineStr"/>
      <c r="AI399" t="inlineStr">
        <is>
          <t>HD</t>
        </is>
      </c>
      <c r="AJ399" t="inlineStr"/>
      <c r="AK399" t="inlineStr"/>
      <c r="AL399" t="inlineStr">
        <is>
          <t>x</t>
        </is>
      </c>
      <c r="AM399" t="inlineStr">
        <is>
          <t>f</t>
        </is>
      </c>
      <c r="AN399" t="inlineStr"/>
      <c r="AO399" t="inlineStr"/>
      <c r="AP399" t="inlineStr"/>
      <c r="AQ399" t="inlineStr"/>
      <c r="AR399" t="inlineStr"/>
      <c r="AS399" t="inlineStr">
        <is>
          <t>Pa</t>
        </is>
      </c>
      <c r="AT399" t="inlineStr"/>
      <c r="AU399" t="inlineStr"/>
      <c r="AV399" t="inlineStr"/>
      <c r="AW399" t="inlineStr"/>
      <c r="AX399" t="inlineStr"/>
      <c r="AY399" t="inlineStr"/>
      <c r="AZ399" t="inlineStr"/>
      <c r="BA399" t="inlineStr"/>
      <c r="BB399" t="inlineStr"/>
      <c r="BC399" t="inlineStr"/>
      <c r="BD399" t="inlineStr"/>
      <c r="BE399" t="inlineStr"/>
      <c r="BF399" t="inlineStr"/>
      <c r="BG399" t="n">
        <v>60</v>
      </c>
      <c r="BH399" t="inlineStr"/>
      <c r="BI399" t="inlineStr"/>
      <c r="BJ399" t="inlineStr"/>
      <c r="BK399" t="inlineStr"/>
      <c r="BL399" t="inlineStr"/>
      <c r="BM399" t="inlineStr"/>
      <c r="BN399" t="n">
        <v>1</v>
      </c>
      <c r="BO399" t="inlineStr"/>
      <c r="BP399" t="inlineStr">
        <is>
          <t>Wellpappe</t>
        </is>
      </c>
      <c r="BQ399" t="inlineStr"/>
      <c r="BR399" t="inlineStr"/>
      <c r="BS399" t="inlineStr"/>
      <c r="BT399" t="inlineStr"/>
      <c r="BU399" t="inlineStr"/>
      <c r="BV399" t="inlineStr"/>
      <c r="BW399" t="inlineStr"/>
      <c r="BX399" t="inlineStr"/>
      <c r="BY399" t="inlineStr"/>
      <c r="BZ399" t="inlineStr"/>
      <c r="CA399" t="inlineStr">
        <is>
          <t>x</t>
        </is>
      </c>
      <c r="CB399" t="inlineStr">
        <is>
          <t>x</t>
        </is>
      </c>
      <c r="CC399" t="inlineStr"/>
      <c r="CD399" t="inlineStr">
        <is>
          <t>v</t>
        </is>
      </c>
      <c r="CE399" t="inlineStr"/>
      <c r="CF399" t="inlineStr"/>
      <c r="CG399" t="inlineStr"/>
      <c r="CH399" t="inlineStr"/>
      <c r="CI399" t="inlineStr"/>
      <c r="CJ399" t="inlineStr"/>
      <c r="CK399" t="inlineStr"/>
      <c r="CL399" t="inlineStr"/>
      <c r="CM399" t="n">
        <v>1</v>
      </c>
      <c r="CN399" t="inlineStr">
        <is>
          <t>nur loses Leder (Restaurierung) fixieren, Gelenk vorn belassen (ist stabil genug)</t>
        </is>
      </c>
      <c r="CO399" t="inlineStr"/>
      <c r="CP399" t="inlineStr"/>
      <c r="CQ399" t="inlineStr"/>
      <c r="CR399" t="inlineStr"/>
      <c r="CS399" t="inlineStr"/>
      <c r="CT399" t="inlineStr"/>
      <c r="CU399" t="inlineStr"/>
      <c r="CV399" t="inlineStr"/>
      <c r="CW399" t="inlineStr"/>
      <c r="CX399" t="inlineStr"/>
      <c r="CY399" t="inlineStr"/>
      <c r="CZ399" t="inlineStr"/>
      <c r="DA399" t="inlineStr"/>
      <c r="DB399" t="inlineStr"/>
      <c r="DC399" t="inlineStr"/>
      <c r="DD399" t="inlineStr"/>
      <c r="DE399" t="inlineStr"/>
      <c r="DF399" t="inlineStr"/>
      <c r="DG399" t="inlineStr"/>
    </row>
    <row r="400">
      <c r="A400" t="inlineStr">
        <is>
          <t>III</t>
        </is>
      </c>
      <c r="B400" t="b">
        <v>1</v>
      </c>
      <c r="C400" t="inlineStr"/>
      <c r="D400" t="inlineStr"/>
      <c r="E400" t="n">
        <v>423</v>
      </c>
      <c r="F400">
        <f>HYPERLINK("https://portal.dnb.de/opac.htm?method=simpleSearch&amp;cqlMode=true&amp;query=idn%3D999014935", "Portal")</f>
        <v/>
      </c>
      <c r="G400" t="inlineStr">
        <is>
          <t>Aal</t>
        </is>
      </c>
      <c r="H400" t="inlineStr">
        <is>
          <t>L-1531-167364022</t>
        </is>
      </c>
      <c r="I400" t="inlineStr">
        <is>
          <t>999014935</t>
        </is>
      </c>
      <c r="J400" t="inlineStr">
        <is>
          <t>III 51, 34</t>
        </is>
      </c>
      <c r="K400" t="inlineStr">
        <is>
          <t>III 51, 34</t>
        </is>
      </c>
      <c r="L400" t="inlineStr">
        <is>
          <t>III 51, 34</t>
        </is>
      </c>
      <c r="M400" t="inlineStr"/>
      <c r="N400" t="inlineStr">
        <is>
          <t xml:space="preserve">Der @ga[n]tz Jüdisch glaub|| mit sampt eyner gruentliche[n] vnd  warhaff||tigen anzeygunge, aller satzungen, Ceremonien, ge||beten, ...|| : </t>
        </is>
      </c>
      <c r="O400" t="inlineStr">
        <is>
          <t xml:space="preserve"> : </t>
        </is>
      </c>
      <c r="P400" t="inlineStr"/>
      <c r="Q400" t="inlineStr"/>
      <c r="R400" t="inlineStr">
        <is>
          <t>Ledereinband</t>
        </is>
      </c>
      <c r="S400" t="inlineStr">
        <is>
          <t>bis 25 cm</t>
        </is>
      </c>
      <c r="T400" t="inlineStr">
        <is>
          <t>180°</t>
        </is>
      </c>
      <c r="U400" t="inlineStr">
        <is>
          <t>fester Rücken mit Schmuckprägung</t>
        </is>
      </c>
      <c r="V400" t="inlineStr"/>
      <c r="W400" t="inlineStr"/>
      <c r="X400" t="inlineStr"/>
      <c r="Y400" t="n">
        <v>0</v>
      </c>
      <c r="Z400" t="inlineStr"/>
      <c r="AA400" t="inlineStr"/>
      <c r="AB400" t="inlineStr"/>
      <c r="AC400" t="inlineStr"/>
      <c r="AD400" t="inlineStr"/>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c r="BD400" t="inlineStr"/>
      <c r="BE400" t="inlineStr"/>
      <c r="BF400" t="inlineStr"/>
      <c r="BG400" t="inlineStr"/>
      <c r="BH400" t="inlineStr"/>
      <c r="BI400" t="inlineStr"/>
      <c r="BJ400" t="inlineStr"/>
      <c r="BK400" t="inlineStr"/>
      <c r="BL400" t="inlineStr"/>
      <c r="BM400" t="inlineStr"/>
      <c r="BN400" t="n">
        <v>0</v>
      </c>
      <c r="BO400" t="inlineStr"/>
      <c r="BP400" t="inlineStr"/>
      <c r="BQ400" t="inlineStr"/>
      <c r="BR400" t="inlineStr"/>
      <c r="BS400" t="inlineStr"/>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c r="DB400" t="inlineStr"/>
      <c r="DC400" t="inlineStr"/>
      <c r="DD400" t="inlineStr"/>
      <c r="DE400" t="inlineStr"/>
      <c r="DF400" t="inlineStr"/>
      <c r="DG400" t="inlineStr"/>
    </row>
    <row r="401">
      <c r="A401" t="inlineStr">
        <is>
          <t>III</t>
        </is>
      </c>
      <c r="B401" t="b">
        <v>1</v>
      </c>
      <c r="C401" t="inlineStr"/>
      <c r="D401" t="inlineStr"/>
      <c r="E401" t="n">
        <v>455</v>
      </c>
      <c r="F401">
        <f>HYPERLINK("https://portal.dnb.de/opac.htm?method=simpleSearch&amp;cqlMode=true&amp;query=idn%3D999640356", "Portal")</f>
        <v/>
      </c>
      <c r="G401" t="inlineStr">
        <is>
          <t>Aal</t>
        </is>
      </c>
      <c r="H401" t="inlineStr">
        <is>
          <t>L-1536-168645327</t>
        </is>
      </c>
      <c r="I401" t="inlineStr">
        <is>
          <t>999640356</t>
        </is>
      </c>
      <c r="J401" t="inlineStr">
        <is>
          <t>III 51, 34a</t>
        </is>
      </c>
      <c r="K401" t="inlineStr">
        <is>
          <t>III 51, 34a</t>
        </is>
      </c>
      <c r="L401" t="inlineStr">
        <is>
          <t>III 51, 34 a</t>
        </is>
      </c>
      <c r="M401" t="inlineStr"/>
      <c r="N401" t="inlineStr">
        <is>
          <t xml:space="preserve">ANTIQVA ET IN||signis Epistola Nicolai Pape. I.|| : </t>
        </is>
      </c>
      <c r="O401" t="inlineStr">
        <is>
          <t xml:space="preserve"> : </t>
        </is>
      </c>
      <c r="P401" t="inlineStr">
        <is>
          <t>X</t>
        </is>
      </c>
      <c r="Q401" t="inlineStr"/>
      <c r="R401" t="inlineStr">
        <is>
          <t>Ledereinband, Schließen, erhabene Buchbeschläge</t>
        </is>
      </c>
      <c r="S401" t="inlineStr">
        <is>
          <t>bis 25 cm</t>
        </is>
      </c>
      <c r="T401" t="inlineStr">
        <is>
          <t>180°</t>
        </is>
      </c>
      <c r="U401" t="inlineStr">
        <is>
          <t>fester Rücken mit Schmuckprägung</t>
        </is>
      </c>
      <c r="V401" t="inlineStr"/>
      <c r="W401" t="inlineStr">
        <is>
          <t>Buchschuh</t>
        </is>
      </c>
      <c r="X401" t="inlineStr">
        <is>
          <t>Nein</t>
        </is>
      </c>
      <c r="Y401" t="n">
        <v>1</v>
      </c>
      <c r="Z401" t="inlineStr"/>
      <c r="AA401" t="inlineStr"/>
      <c r="AB401" t="inlineStr"/>
      <c r="AC401" t="inlineStr"/>
      <c r="AD401" t="inlineStr"/>
      <c r="AE401" t="inlineStr"/>
      <c r="AF401" t="inlineStr"/>
      <c r="AG401" t="inlineStr"/>
      <c r="AH401" t="inlineStr"/>
      <c r="AI401" t="inlineStr"/>
      <c r="AJ401" t="inlineStr"/>
      <c r="AK401" t="inlineStr"/>
      <c r="AL401" t="inlineStr"/>
      <c r="AM401" t="inlineStr"/>
      <c r="AN401" t="inlineStr"/>
      <c r="AO401" t="inlineStr"/>
      <c r="AP401" t="inlineStr"/>
      <c r="AQ401" t="inlineStr"/>
      <c r="AR401" t="inlineStr"/>
      <c r="AS401" t="inlineStr"/>
      <c r="AT401" t="inlineStr"/>
      <c r="AU401" t="inlineStr"/>
      <c r="AV401" t="inlineStr"/>
      <c r="AW401" t="inlineStr"/>
      <c r="AX401" t="inlineStr"/>
      <c r="AY401" t="inlineStr"/>
      <c r="AZ401" t="inlineStr"/>
      <c r="BA401" t="inlineStr"/>
      <c r="BB401" t="inlineStr"/>
      <c r="BC401" t="inlineStr"/>
      <c r="BD401" t="inlineStr"/>
      <c r="BE401" t="inlineStr"/>
      <c r="BF401" t="inlineStr"/>
      <c r="BG401" t="inlineStr"/>
      <c r="BH401" t="inlineStr"/>
      <c r="BI401" t="inlineStr"/>
      <c r="BJ401" t="inlineStr"/>
      <c r="BK401" t="inlineStr"/>
      <c r="BL401" t="inlineStr"/>
      <c r="BM401" t="inlineStr"/>
      <c r="BN401" t="n">
        <v>0</v>
      </c>
      <c r="BO401" t="inlineStr"/>
      <c r="BP401" t="inlineStr"/>
      <c r="BQ401" t="inlineStr"/>
      <c r="BR401" t="inlineStr"/>
      <c r="BS401" t="inlineStr"/>
      <c r="BT401" t="inlineStr"/>
      <c r="BU401" t="inlineStr"/>
      <c r="BV401" t="inlineStr"/>
      <c r="BW401" t="inlineStr"/>
      <c r="BX401" t="inlineStr"/>
      <c r="BY401" t="inlineStr"/>
      <c r="BZ401" t="inlineStr"/>
      <c r="CA401" t="inlineStr"/>
      <c r="CB401" t="inlineStr"/>
      <c r="CC401" t="inlineStr"/>
      <c r="CD401" t="inlineStr"/>
      <c r="CE401" t="inlineStr"/>
      <c r="CF401" t="inlineStr"/>
      <c r="CG401" t="inlineStr"/>
      <c r="CH401" t="inlineStr"/>
      <c r="CI401" t="inlineStr"/>
      <c r="CJ401" t="inlineStr"/>
      <c r="CK401" t="inlineStr"/>
      <c r="CL401" t="inlineStr"/>
      <c r="CM401" t="inlineStr"/>
      <c r="CN401" t="inlineStr"/>
      <c r="CO401" t="inlineStr"/>
      <c r="CP401" t="inlineStr"/>
      <c r="CQ401" t="inlineStr"/>
      <c r="CR401" t="inlineStr"/>
      <c r="CS401" t="inlineStr"/>
      <c r="CT401" t="inlineStr"/>
      <c r="CU401" t="inlineStr"/>
      <c r="CV401" t="inlineStr"/>
      <c r="CW401" t="inlineStr"/>
      <c r="CX401" t="inlineStr"/>
      <c r="CY401" t="inlineStr"/>
      <c r="CZ401" t="inlineStr"/>
      <c r="DA401" t="inlineStr"/>
      <c r="DB401" t="inlineStr"/>
      <c r="DC401" t="inlineStr"/>
      <c r="DD401" t="inlineStr"/>
      <c r="DE401" t="inlineStr"/>
      <c r="DF401" t="inlineStr"/>
      <c r="DG401" t="inlineStr"/>
    </row>
    <row r="402">
      <c r="A402" t="inlineStr">
        <is>
          <t>III</t>
        </is>
      </c>
      <c r="B402" t="b">
        <v>1</v>
      </c>
      <c r="C402" t="inlineStr"/>
      <c r="D402" t="inlineStr"/>
      <c r="E402" t="n">
        <v>424</v>
      </c>
      <c r="F402">
        <f>HYPERLINK("https://portal.dnb.de/opac.htm?method=simpleSearch&amp;cqlMode=true&amp;query=idn%3D1000186962", "Portal")</f>
        <v/>
      </c>
      <c r="G402" t="inlineStr">
        <is>
          <t>Aal</t>
        </is>
      </c>
      <c r="H402" t="inlineStr">
        <is>
          <t>L-1542-170178528</t>
        </is>
      </c>
      <c r="I402" t="inlineStr">
        <is>
          <t>1000186962</t>
        </is>
      </c>
      <c r="J402" t="inlineStr">
        <is>
          <t>III 51, 35</t>
        </is>
      </c>
      <c r="K402" t="inlineStr">
        <is>
          <t>III 51, 35</t>
        </is>
      </c>
      <c r="L402" t="inlineStr">
        <is>
          <t>III 51, 35</t>
        </is>
      </c>
      <c r="M402" t="inlineStr"/>
      <c r="N402" t="inlineStr">
        <is>
          <t>Psalter|| Deudsch|| : mit den Summarien|| D. Mar. Luth.</t>
        </is>
      </c>
      <c r="O402" t="inlineStr">
        <is>
          <t xml:space="preserve"> : </t>
        </is>
      </c>
      <c r="P402" t="inlineStr"/>
      <c r="Q402" t="inlineStr"/>
      <c r="R402" t="inlineStr">
        <is>
          <t>Ledereinband, Schließen, erhabene Buchbeschläge</t>
        </is>
      </c>
      <c r="S402" t="inlineStr">
        <is>
          <t>bis 25 cm</t>
        </is>
      </c>
      <c r="T402" t="inlineStr">
        <is>
          <t>180°</t>
        </is>
      </c>
      <c r="U402" t="inlineStr">
        <is>
          <t>hohler Rücken</t>
        </is>
      </c>
      <c r="V402" t="inlineStr"/>
      <c r="W402" t="inlineStr">
        <is>
          <t>Buchschuh</t>
        </is>
      </c>
      <c r="X402" t="inlineStr">
        <is>
          <t>Nein</t>
        </is>
      </c>
      <c r="Y402" t="n">
        <v>1</v>
      </c>
      <c r="Z402" t="inlineStr"/>
      <c r="AA402" t="inlineStr"/>
      <c r="AB402" t="inlineStr"/>
      <c r="AC402" t="inlineStr"/>
      <c r="AD402" t="inlineStr"/>
      <c r="AE402" t="inlineStr"/>
      <c r="AF402" t="inlineStr"/>
      <c r="AG402" t="inlineStr"/>
      <c r="AH402" t="inlineStr"/>
      <c r="AI402" t="inlineStr">
        <is>
          <t>L</t>
        </is>
      </c>
      <c r="AJ402" t="inlineStr"/>
      <c r="AK402" t="inlineStr"/>
      <c r="AL402" t="inlineStr"/>
      <c r="AM402" t="inlineStr">
        <is>
          <t>h</t>
        </is>
      </c>
      <c r="AN402" t="inlineStr"/>
      <c r="AO402" t="inlineStr"/>
      <c r="AP402" t="inlineStr"/>
      <c r="AQ402" t="inlineStr"/>
      <c r="AR402" t="inlineStr"/>
      <c r="AS402" t="inlineStr">
        <is>
          <t>Pa</t>
        </is>
      </c>
      <c r="AT402" t="inlineStr"/>
      <c r="AU402" t="inlineStr"/>
      <c r="AV402" t="inlineStr"/>
      <c r="AW402" t="inlineStr"/>
      <c r="AX402" t="inlineStr"/>
      <c r="AY402" t="inlineStr"/>
      <c r="AZ402" t="inlineStr"/>
      <c r="BA402" t="inlineStr"/>
      <c r="BB402" t="inlineStr"/>
      <c r="BC402" t="inlineStr"/>
      <c r="BD402" t="inlineStr"/>
      <c r="BE402" t="inlineStr"/>
      <c r="BF402" t="inlineStr"/>
      <c r="BG402" t="n">
        <v>110</v>
      </c>
      <c r="BH402" t="inlineStr"/>
      <c r="BI402" t="inlineStr"/>
      <c r="BJ402" t="inlineStr"/>
      <c r="BK402" t="inlineStr"/>
      <c r="BL402" t="inlineStr"/>
      <c r="BM402" t="inlineStr">
        <is>
          <t>n</t>
        </is>
      </c>
      <c r="BN402" t="n">
        <v>0</v>
      </c>
      <c r="BO402" t="inlineStr"/>
      <c r="BP402" t="inlineStr"/>
      <c r="BQ402" t="inlineStr"/>
      <c r="BR402" t="inlineStr">
        <is>
          <t>x</t>
        </is>
      </c>
      <c r="BS402" t="inlineStr"/>
      <c r="BT402" t="inlineStr"/>
      <c r="BU402" t="inlineStr"/>
      <c r="BV402" t="inlineStr">
        <is>
          <t>fester Rücken inzwischen hohl</t>
        </is>
      </c>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c r="DB402" t="inlineStr"/>
      <c r="DC402" t="inlineStr"/>
      <c r="DD402" t="inlineStr"/>
      <c r="DE402" t="inlineStr"/>
      <c r="DF402" t="inlineStr"/>
      <c r="DG402" t="inlineStr"/>
    </row>
    <row r="403">
      <c r="A403" t="inlineStr">
        <is>
          <t>III</t>
        </is>
      </c>
      <c r="B403" t="b">
        <v>1</v>
      </c>
      <c r="C403" t="inlineStr"/>
      <c r="D403" t="inlineStr"/>
      <c r="E403" t="n">
        <v>460</v>
      </c>
      <c r="F403">
        <f>HYPERLINK("https://portal.dnb.de/opac.htm?method=simpleSearch&amp;cqlMode=true&amp;query=idn%3D1066859388", "Portal")</f>
        <v/>
      </c>
      <c r="G403" t="inlineStr">
        <is>
          <t>Aaf</t>
        </is>
      </c>
      <c r="H403" t="inlineStr">
        <is>
          <t>L-1515-315318082</t>
        </is>
      </c>
      <c r="I403" t="inlineStr">
        <is>
          <t>1066859388</t>
        </is>
      </c>
      <c r="J403" t="inlineStr">
        <is>
          <t>III 52, 1</t>
        </is>
      </c>
      <c r="K403" t="inlineStr">
        <is>
          <t>III 52, 1</t>
        </is>
      </c>
      <c r="L403" t="inlineStr">
        <is>
          <t>III 52, 1</t>
        </is>
      </c>
      <c r="M403" t="inlineStr"/>
      <c r="N403" t="inlineStr">
        <is>
          <t>Questiones Quotlibetice Excellentissimi ... M. Hadriani Florentii de Traiecto: Prepositi insignis ecclesie sancti Saluatoris Traiectensis: atq. precla</t>
        </is>
      </c>
      <c r="O403" t="inlineStr">
        <is>
          <t xml:space="preserve"> : </t>
        </is>
      </c>
      <c r="P403" t="inlineStr">
        <is>
          <t>X</t>
        </is>
      </c>
      <c r="Q403" t="inlineStr"/>
      <c r="R403" t="inlineStr">
        <is>
          <t>Halbledereinband</t>
        </is>
      </c>
      <c r="S403" t="inlineStr">
        <is>
          <t>bis 35 cm</t>
        </is>
      </c>
      <c r="T403" t="inlineStr">
        <is>
          <t>180°</t>
        </is>
      </c>
      <c r="U403" t="inlineStr">
        <is>
          <t>hohler Rücken</t>
        </is>
      </c>
      <c r="V403" t="inlineStr"/>
      <c r="W403" t="inlineStr"/>
      <c r="X403" t="inlineStr"/>
      <c r="Y403" t="n">
        <v>1</v>
      </c>
      <c r="Z403" t="inlineStr"/>
      <c r="AA403" t="inlineStr"/>
      <c r="AB403" t="inlineStr"/>
      <c r="AC403" t="inlineStr"/>
      <c r="AD403" t="inlineStr"/>
      <c r="AE403" t="inlineStr"/>
      <c r="AF403" t="inlineStr"/>
      <c r="AG403" t="inlineStr"/>
      <c r="AH403" t="inlineStr"/>
      <c r="AI403" t="inlineStr">
        <is>
          <t>HL</t>
        </is>
      </c>
      <c r="AJ403" t="inlineStr"/>
      <c r="AK403" t="inlineStr"/>
      <c r="AL403" t="inlineStr"/>
      <c r="AM403" t="inlineStr">
        <is>
          <t>h/E</t>
        </is>
      </c>
      <c r="AN403" t="inlineStr"/>
      <c r="AO403" t="inlineStr"/>
      <c r="AP403" t="inlineStr"/>
      <c r="AQ403" t="inlineStr"/>
      <c r="AR403" t="inlineStr"/>
      <c r="AS403" t="inlineStr">
        <is>
          <t>Pa</t>
        </is>
      </c>
      <c r="AT403" t="inlineStr"/>
      <c r="AU403" t="inlineStr"/>
      <c r="AV403" t="inlineStr"/>
      <c r="AW403" t="inlineStr"/>
      <c r="AX403" t="inlineStr"/>
      <c r="AY403" t="inlineStr"/>
      <c r="AZ403" t="inlineStr"/>
      <c r="BA403" t="inlineStr"/>
      <c r="BB403" t="inlineStr"/>
      <c r="BC403" t="inlineStr"/>
      <c r="BD403" t="inlineStr"/>
      <c r="BE403" t="inlineStr"/>
      <c r="BF403" t="inlineStr"/>
      <c r="BG403" t="n">
        <v>110</v>
      </c>
      <c r="BH403" t="inlineStr"/>
      <c r="BI403" t="inlineStr"/>
      <c r="BJ403" t="inlineStr"/>
      <c r="BK403" t="inlineStr"/>
      <c r="BL403" t="inlineStr"/>
      <c r="BM403" t="inlineStr">
        <is>
          <t>n</t>
        </is>
      </c>
      <c r="BN403" t="n">
        <v>0</v>
      </c>
      <c r="BO403" t="inlineStr"/>
      <c r="BP403" t="inlineStr"/>
      <c r="BQ403" t="inlineStr"/>
      <c r="BR403" t="inlineStr"/>
      <c r="BS403" t="inlineStr"/>
      <c r="BT403" t="inlineStr"/>
      <c r="BU403" t="inlineStr"/>
      <c r="BV403" t="inlineStr">
        <is>
          <t>Schaden stabil</t>
        </is>
      </c>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c r="DB403" t="inlineStr"/>
      <c r="DC403" t="inlineStr"/>
      <c r="DD403" t="inlineStr"/>
      <c r="DE403" t="inlineStr"/>
      <c r="DF403" t="inlineStr"/>
      <c r="DG403" t="inlineStr"/>
    </row>
    <row r="404">
      <c r="A404" t="inlineStr">
        <is>
          <t>III</t>
        </is>
      </c>
      <c r="B404" t="b">
        <v>1</v>
      </c>
      <c r="C404" t="inlineStr">
        <is>
          <t>x</t>
        </is>
      </c>
      <c r="D404" t="inlineStr"/>
      <c r="E404" t="n">
        <v>461</v>
      </c>
      <c r="F404">
        <f>HYPERLINK("https://portal.dnb.de/opac.htm?method=simpleSearch&amp;cqlMode=true&amp;query=idn%3D999973878", "Portal")</f>
        <v/>
      </c>
      <c r="G404" t="inlineStr">
        <is>
          <t>Aal</t>
        </is>
      </c>
      <c r="H404" t="inlineStr">
        <is>
          <t>L-1556-169798941</t>
        </is>
      </c>
      <c r="I404" t="inlineStr">
        <is>
          <t>999973878</t>
        </is>
      </c>
      <c r="J404" t="inlineStr">
        <is>
          <t>III 52, 2</t>
        </is>
      </c>
      <c r="K404" t="inlineStr">
        <is>
          <t>III 52, 2</t>
        </is>
      </c>
      <c r="L404" t="inlineStr">
        <is>
          <t>III 52, 2</t>
        </is>
      </c>
      <c r="M404" t="inlineStr"/>
      <c r="N404" t="inlineStr">
        <is>
          <t>Petri Lombardi|| Episcopi Parisiensis Senten||tiarvm libri IIII|| ... per Ioan. Aleaume Parisien. Theologiae pro||fessorem, pristino suo nitori nunc p</t>
        </is>
      </c>
      <c r="O404" t="inlineStr">
        <is>
          <t xml:space="preserve"> : </t>
        </is>
      </c>
      <c r="P404" t="inlineStr">
        <is>
          <t>X</t>
        </is>
      </c>
      <c r="Q404" t="inlineStr"/>
      <c r="R404" t="inlineStr">
        <is>
          <t>Ledereinband</t>
        </is>
      </c>
      <c r="S404" t="inlineStr">
        <is>
          <t>bis 25 cm</t>
        </is>
      </c>
      <c r="T404" t="inlineStr">
        <is>
          <t>80° bis 110°, einseitig digitalisierbar?</t>
        </is>
      </c>
      <c r="U404" t="inlineStr">
        <is>
          <t>fester Rücken mit Schmuckprägung, welliger Buchblock</t>
        </is>
      </c>
      <c r="V404" t="inlineStr"/>
      <c r="W404" t="inlineStr"/>
      <c r="X404" t="inlineStr"/>
      <c r="Y404" t="n">
        <v>1</v>
      </c>
      <c r="Z404" t="inlineStr"/>
      <c r="AA404" t="inlineStr"/>
      <c r="AB404" t="inlineStr"/>
      <c r="AC404" t="inlineStr"/>
      <c r="AD404" t="inlineStr"/>
      <c r="AE404" t="inlineStr"/>
      <c r="AF404" t="inlineStr"/>
      <c r="AG404" t="inlineStr"/>
      <c r="AH404" t="inlineStr"/>
      <c r="AI404" t="inlineStr">
        <is>
          <t>L</t>
        </is>
      </c>
      <c r="AJ404" t="inlineStr"/>
      <c r="AK404" t="inlineStr"/>
      <c r="AL404" t="inlineStr"/>
      <c r="AM404" t="inlineStr">
        <is>
          <t>f/V</t>
        </is>
      </c>
      <c r="AN404" t="inlineStr"/>
      <c r="AO404" t="inlineStr"/>
      <c r="AP404" t="inlineStr"/>
      <c r="AQ404" t="inlineStr"/>
      <c r="AR404" t="inlineStr"/>
      <c r="AS404" t="inlineStr">
        <is>
          <t>Pa</t>
        </is>
      </c>
      <c r="AT404" t="inlineStr"/>
      <c r="AU404" t="inlineStr"/>
      <c r="AV404" t="inlineStr"/>
      <c r="AW404" t="inlineStr"/>
      <c r="AX404" t="inlineStr"/>
      <c r="AY404" t="inlineStr"/>
      <c r="AZ404" t="inlineStr"/>
      <c r="BA404" t="inlineStr"/>
      <c r="BB404" t="inlineStr"/>
      <c r="BC404" t="inlineStr"/>
      <c r="BD404" t="inlineStr"/>
      <c r="BE404" t="inlineStr"/>
      <c r="BF404" t="inlineStr"/>
      <c r="BG404" t="n">
        <v>60</v>
      </c>
      <c r="BH404" t="inlineStr"/>
      <c r="BI404" t="inlineStr"/>
      <c r="BJ404" t="inlineStr"/>
      <c r="BK404" t="inlineStr"/>
      <c r="BL404" t="inlineStr"/>
      <c r="BM404" t="inlineStr">
        <is>
          <t>ja vor</t>
        </is>
      </c>
      <c r="BN404" t="n">
        <v>1</v>
      </c>
      <c r="BO404" t="inlineStr"/>
      <c r="BP404" t="inlineStr"/>
      <c r="BQ404" t="inlineStr"/>
      <c r="BR404" t="inlineStr"/>
      <c r="BS404" t="inlineStr"/>
      <c r="BT404" t="inlineStr"/>
      <c r="BU404" t="inlineStr"/>
      <c r="BV404" t="inlineStr"/>
      <c r="BW404" t="inlineStr"/>
      <c r="BX404" t="inlineStr"/>
      <c r="BY404" t="inlineStr"/>
      <c r="BZ404" t="inlineStr">
        <is>
          <t>x</t>
        </is>
      </c>
      <c r="CA404" t="inlineStr">
        <is>
          <t>x</t>
        </is>
      </c>
      <c r="CB404" t="inlineStr">
        <is>
          <t>x</t>
        </is>
      </c>
      <c r="CC404" t="inlineStr"/>
      <c r="CD404" t="inlineStr"/>
      <c r="CE404" t="inlineStr"/>
      <c r="CF404" t="inlineStr"/>
      <c r="CG404" t="inlineStr"/>
      <c r="CH404" t="inlineStr"/>
      <c r="CI404" t="inlineStr"/>
      <c r="CJ404" t="inlineStr"/>
      <c r="CK404" t="inlineStr"/>
      <c r="CL404" t="inlineStr"/>
      <c r="CM404" t="n">
        <v>1</v>
      </c>
      <c r="CN404" t="inlineStr">
        <is>
          <t>fixieren und ggf. überfangen mit JP</t>
        </is>
      </c>
      <c r="CO404" t="inlineStr"/>
      <c r="CP404" t="inlineStr"/>
      <c r="CQ404" t="inlineStr"/>
      <c r="CR404" t="inlineStr"/>
      <c r="CS404" t="inlineStr"/>
      <c r="CT404" t="inlineStr"/>
      <c r="CU404" t="inlineStr"/>
      <c r="CV404" t="inlineStr"/>
      <c r="CW404" t="inlineStr"/>
      <c r="CX404" t="inlineStr"/>
      <c r="CY404" t="inlineStr"/>
      <c r="CZ404" t="inlineStr"/>
      <c r="DA404" t="inlineStr"/>
      <c r="DB404" t="inlineStr"/>
      <c r="DC404" t="inlineStr"/>
      <c r="DD404" t="inlineStr"/>
      <c r="DE404" t="inlineStr"/>
      <c r="DF404" t="inlineStr"/>
      <c r="DG404" t="inlineStr"/>
    </row>
    <row r="405">
      <c r="A405" t="inlineStr">
        <is>
          <t>III</t>
        </is>
      </c>
      <c r="B405" t="b">
        <v>1</v>
      </c>
      <c r="C405" t="inlineStr"/>
      <c r="D405" t="inlineStr"/>
      <c r="E405" t="n">
        <v>462</v>
      </c>
      <c r="F405">
        <f>HYPERLINK("https://portal.dnb.de/opac.htm?method=simpleSearch&amp;cqlMode=true&amp;query=idn%3D106696145X", "Portal")</f>
        <v/>
      </c>
      <c r="G405" t="inlineStr">
        <is>
          <t>Aaf</t>
        </is>
      </c>
      <c r="H405" t="inlineStr">
        <is>
          <t>L-1514-315491841</t>
        </is>
      </c>
      <c r="I405" t="inlineStr">
        <is>
          <t>106696145X</t>
        </is>
      </c>
      <c r="J405" t="inlineStr">
        <is>
          <t>III 53, 1</t>
        </is>
      </c>
      <c r="K405" t="inlineStr">
        <is>
          <t>III 53, 1</t>
        </is>
      </c>
      <c r="L405" t="inlineStr">
        <is>
          <t>III 53, 1</t>
        </is>
      </c>
      <c r="M405" t="inlineStr"/>
      <c r="N405" t="inlineStr">
        <is>
          <t xml:space="preserve">Vocabularius gem=||ma gemmarum nouiter|| Jmpressus multa:||rum dictionum|| additione ex||ornatus.|| : </t>
        </is>
      </c>
      <c r="O405" t="inlineStr">
        <is>
          <t xml:space="preserve"> : </t>
        </is>
      </c>
      <c r="P405" t="inlineStr">
        <is>
          <t>X</t>
        </is>
      </c>
      <c r="Q405" t="inlineStr"/>
      <c r="R405" t="inlineStr">
        <is>
          <t>Halbpergamentband</t>
        </is>
      </c>
      <c r="S405" t="inlineStr">
        <is>
          <t>bis 25 cm</t>
        </is>
      </c>
      <c r="T405" t="inlineStr">
        <is>
          <t>180°</t>
        </is>
      </c>
      <c r="U405" t="inlineStr">
        <is>
          <t>hohler Rücken</t>
        </is>
      </c>
      <c r="V405" t="inlineStr"/>
      <c r="W405" t="inlineStr"/>
      <c r="X405" t="inlineStr"/>
      <c r="Y405" t="n">
        <v>0</v>
      </c>
      <c r="Z405" t="inlineStr"/>
      <c r="AA405" t="inlineStr"/>
      <c r="AB405" t="inlineStr"/>
      <c r="AC405" t="inlineStr"/>
      <c r="AD405" t="inlineStr"/>
      <c r="AE405" t="inlineStr"/>
      <c r="AF405" t="inlineStr"/>
      <c r="AG405" t="inlineStr"/>
      <c r="AH405" t="inlineStr"/>
      <c r="AI405" t="inlineStr"/>
      <c r="AJ405" t="inlineStr"/>
      <c r="AK405" t="inlineStr"/>
      <c r="AL405" t="inlineStr"/>
      <c r="AM405" t="inlineStr"/>
      <c r="AN405" t="inlineStr"/>
      <c r="AO405" t="inlineStr"/>
      <c r="AP405" t="inlineStr"/>
      <c r="AQ405" t="inlineStr"/>
      <c r="AR405" t="inlineStr"/>
      <c r="AS405" t="inlineStr"/>
      <c r="AT405" t="inlineStr"/>
      <c r="AU405" t="inlineStr"/>
      <c r="AV405" t="inlineStr"/>
      <c r="AW405" t="inlineStr"/>
      <c r="AX405" t="inlineStr"/>
      <c r="AY405" t="inlineStr"/>
      <c r="AZ405" t="inlineStr"/>
      <c r="BA405" t="inlineStr"/>
      <c r="BB405" t="inlineStr"/>
      <c r="BC405" t="inlineStr"/>
      <c r="BD405" t="inlineStr"/>
      <c r="BE405" t="inlineStr"/>
      <c r="BF405" t="inlineStr"/>
      <c r="BG405" t="inlineStr"/>
      <c r="BH405" t="inlineStr"/>
      <c r="BI405" t="inlineStr"/>
      <c r="BJ405" t="inlineStr"/>
      <c r="BK405" t="inlineStr"/>
      <c r="BL405" t="inlineStr"/>
      <c r="BM405" t="inlineStr"/>
      <c r="BN405" t="n">
        <v>0</v>
      </c>
      <c r="BO405" t="inlineStr"/>
      <c r="BP405" t="inlineStr"/>
      <c r="BQ405" t="inlineStr"/>
      <c r="BR405" t="inlineStr"/>
      <c r="BS405" t="inlineStr"/>
      <c r="BT405" t="inlineStr"/>
      <c r="BU405" t="inlineStr"/>
      <c r="BV405" t="inlineStr"/>
      <c r="BW405" t="inlineStr"/>
      <c r="BX405" t="inlineStr"/>
      <c r="BY405" t="inlineStr"/>
      <c r="BZ405" t="inlineStr"/>
      <c r="CA405" t="inlineStr"/>
      <c r="CB405" t="inlineStr"/>
      <c r="CC405" t="inlineStr"/>
      <c r="CD405" t="inlineStr"/>
      <c r="CE405" t="inlineStr"/>
      <c r="CF405" t="inlineStr"/>
      <c r="CG405" t="inlineStr"/>
      <c r="CH405" t="inlineStr"/>
      <c r="CI405" t="inlineStr"/>
      <c r="CJ405" t="inlineStr"/>
      <c r="CK405" t="inlineStr"/>
      <c r="CL405" t="inlineStr"/>
      <c r="CM405" t="inlineStr"/>
      <c r="CN405" t="inlineStr"/>
      <c r="CO405" t="inlineStr"/>
      <c r="CP405" t="inlineStr"/>
      <c r="CQ405" t="inlineStr"/>
      <c r="CR405" t="inlineStr"/>
      <c r="CS405" t="inlineStr"/>
      <c r="CT405" t="inlineStr"/>
      <c r="CU405" t="inlineStr"/>
      <c r="CV405" t="inlineStr"/>
      <c r="CW405" t="inlineStr"/>
      <c r="CX405" t="inlineStr"/>
      <c r="CY405" t="inlineStr"/>
      <c r="CZ405" t="inlineStr"/>
      <c r="DA405" t="inlineStr"/>
      <c r="DB405" t="inlineStr"/>
      <c r="DC405" t="inlineStr"/>
      <c r="DD405" t="inlineStr"/>
      <c r="DE405" t="inlineStr"/>
      <c r="DF405" t="inlineStr"/>
      <c r="DG405" t="inlineStr"/>
    </row>
    <row r="406">
      <c r="A406" t="inlineStr">
        <is>
          <t>III</t>
        </is>
      </c>
      <c r="B406" t="b">
        <v>1</v>
      </c>
      <c r="C406" t="inlineStr"/>
      <c r="D406" t="inlineStr"/>
      <c r="E406" t="n">
        <v>463</v>
      </c>
      <c r="F406">
        <f>HYPERLINK("https://portal.dnb.de/opac.htm?method=simpleSearch&amp;cqlMode=true&amp;query=idn%3D1066786194", "Portal")</f>
        <v/>
      </c>
      <c r="G406" t="inlineStr">
        <is>
          <t>Aaf</t>
        </is>
      </c>
      <c r="H406" t="inlineStr">
        <is>
          <t>L-1551-315207787</t>
        </is>
      </c>
      <c r="I406" t="inlineStr">
        <is>
          <t>1066786194</t>
        </is>
      </c>
      <c r="J406" t="inlineStr">
        <is>
          <t>III 54, 1</t>
        </is>
      </c>
      <c r="K406" t="inlineStr">
        <is>
          <t>III 54, 1</t>
        </is>
      </c>
      <c r="L406" t="inlineStr">
        <is>
          <t>III 54, 1</t>
        </is>
      </c>
      <c r="M406" t="inlineStr"/>
      <c r="N406" t="inlineStr">
        <is>
          <t xml:space="preserve">Ristretto delle Historie Genovesi : </t>
        </is>
      </c>
      <c r="O406" t="inlineStr">
        <is>
          <t xml:space="preserve"> : </t>
        </is>
      </c>
      <c r="P406" t="inlineStr">
        <is>
          <t>X</t>
        </is>
      </c>
      <c r="Q406" t="inlineStr"/>
      <c r="R406" t="inlineStr">
        <is>
          <t>Halbledereinband</t>
        </is>
      </c>
      <c r="S406" t="inlineStr">
        <is>
          <t>bis 25 cm</t>
        </is>
      </c>
      <c r="T406" t="inlineStr">
        <is>
          <t>180°</t>
        </is>
      </c>
      <c r="U406" t="inlineStr">
        <is>
          <t>hohler Rücken</t>
        </is>
      </c>
      <c r="V406" t="inlineStr"/>
      <c r="W406" t="inlineStr"/>
      <c r="X406" t="inlineStr"/>
      <c r="Y406" t="n">
        <v>0</v>
      </c>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inlineStr"/>
      <c r="BI406" t="inlineStr"/>
      <c r="BJ406" t="inlineStr"/>
      <c r="BK406" t="inlineStr"/>
      <c r="BL406" t="inlineStr"/>
      <c r="BM406" t="inlineStr"/>
      <c r="BN406" t="n">
        <v>0</v>
      </c>
      <c r="BO406" t="inlineStr"/>
      <c r="BP406" t="inlineStr"/>
      <c r="BQ406" t="inlineStr"/>
      <c r="BR406" t="inlineStr"/>
      <c r="BS406" t="inlineStr"/>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c r="CV406" t="inlineStr"/>
      <c r="CW406" t="inlineStr"/>
      <c r="CX406" t="inlineStr"/>
      <c r="CY406" t="inlineStr"/>
      <c r="CZ406" t="inlineStr"/>
      <c r="DA406" t="inlineStr"/>
      <c r="DB406" t="inlineStr"/>
      <c r="DC406" t="inlineStr"/>
      <c r="DD406" t="inlineStr"/>
      <c r="DE406" t="inlineStr"/>
      <c r="DF406" t="inlineStr"/>
      <c r="DG406" t="inlineStr"/>
    </row>
    <row r="407">
      <c r="A407" t="inlineStr">
        <is>
          <t>III</t>
        </is>
      </c>
      <c r="B407" t="b">
        <v>1</v>
      </c>
      <c r="C407" t="inlineStr"/>
      <c r="D407" t="inlineStr"/>
      <c r="E407" t="inlineStr"/>
      <c r="F407">
        <f>HYPERLINK("https://portal.dnb.de/opac.htm?method=simpleSearch&amp;cqlMode=true&amp;query=idn%3D1137969016", "Portal")</f>
        <v/>
      </c>
      <c r="G407" t="inlineStr">
        <is>
          <t>Qd</t>
        </is>
      </c>
      <c r="H407" t="inlineStr">
        <is>
          <t>L-9999-414283511</t>
        </is>
      </c>
      <c r="I407" t="inlineStr">
        <is>
          <t>1137969016</t>
        </is>
      </c>
      <c r="J407" t="inlineStr">
        <is>
          <t>III 55, 2</t>
        </is>
      </c>
      <c r="K407" t="inlineStr">
        <is>
          <t>III 55, 2</t>
        </is>
      </c>
      <c r="L407" t="inlineStr">
        <is>
          <t>III 55, 2</t>
        </is>
      </c>
      <c r="M407" t="inlineStr"/>
      <c r="N407" t="inlineStr">
        <is>
          <t xml:space="preserve">Sammelband mit vier Werken von Johannes Draconites : </t>
        </is>
      </c>
      <c r="O407" t="inlineStr">
        <is>
          <t xml:space="preserve"> : </t>
        </is>
      </c>
      <c r="P407" t="inlineStr">
        <is>
          <t>X</t>
        </is>
      </c>
      <c r="Q407" t="inlineStr"/>
      <c r="R407" t="inlineStr">
        <is>
          <t>Halbledereinband, Schließen, erhabene Buchbeschläge</t>
        </is>
      </c>
      <c r="S407" t="inlineStr">
        <is>
          <t>bis 35 cm</t>
        </is>
      </c>
      <c r="T407" t="inlineStr">
        <is>
          <t>180°</t>
        </is>
      </c>
      <c r="U407" t="inlineStr">
        <is>
          <t>hohler Rücken</t>
        </is>
      </c>
      <c r="V407" t="inlineStr"/>
      <c r="W407" t="inlineStr">
        <is>
          <t>Buchschuh</t>
        </is>
      </c>
      <c r="X407" t="inlineStr">
        <is>
          <t>Nein</t>
        </is>
      </c>
      <c r="Y407" t="n">
        <v>0</v>
      </c>
      <c r="Z407" t="inlineStr"/>
      <c r="AA407" t="inlineStr"/>
      <c r="AB407" t="inlineStr"/>
      <c r="AC407" t="inlineStr"/>
      <c r="AD407" t="inlineStr"/>
      <c r="AE407" t="inlineStr"/>
      <c r="AF407" t="inlineStr"/>
      <c r="AG407" t="inlineStr"/>
      <c r="AH407" t="inlineStr"/>
      <c r="AI407" t="inlineStr"/>
      <c r="AJ407" t="inlineStr"/>
      <c r="AK407" t="inlineStr"/>
      <c r="AL407" t="inlineStr"/>
      <c r="AM407" t="inlineStr"/>
      <c r="AN407" t="inlineStr"/>
      <c r="AO407" t="inlineStr"/>
      <c r="AP407" t="inlineStr"/>
      <c r="AQ407" t="inlineStr"/>
      <c r="AR407" t="inlineStr"/>
      <c r="AS407" t="inlineStr"/>
      <c r="AT407" t="inlineStr"/>
      <c r="AU407" t="inlineStr"/>
      <c r="AV407" t="inlineStr"/>
      <c r="AW407" t="inlineStr"/>
      <c r="AX407" t="inlineStr"/>
      <c r="AY407" t="inlineStr"/>
      <c r="AZ407" t="inlineStr"/>
      <c r="BA407" t="inlineStr"/>
      <c r="BB407" t="inlineStr"/>
      <c r="BC407" t="inlineStr"/>
      <c r="BD407" t="inlineStr"/>
      <c r="BE407" t="inlineStr"/>
      <c r="BF407" t="inlineStr"/>
      <c r="BG407" t="inlineStr"/>
      <c r="BH407" t="inlineStr"/>
      <c r="BI407" t="inlineStr"/>
      <c r="BJ407" t="inlineStr"/>
      <c r="BK407" t="inlineStr"/>
      <c r="BL407" t="inlineStr"/>
      <c r="BM407" t="inlineStr"/>
      <c r="BN407" t="n">
        <v>0</v>
      </c>
      <c r="BO407" t="inlineStr"/>
      <c r="BP407" t="inlineStr"/>
      <c r="BQ407" t="inlineStr"/>
      <c r="BR407" t="inlineStr"/>
      <c r="BS407" t="inlineStr"/>
      <c r="BT407" t="inlineStr"/>
      <c r="BU407" t="inlineStr"/>
      <c r="BV407" t="inlineStr"/>
      <c r="BW407" t="inlineStr"/>
      <c r="BX407" t="inlineStr"/>
      <c r="BY407" t="inlineStr"/>
      <c r="BZ407" t="inlineStr"/>
      <c r="CA407" t="inlineStr"/>
      <c r="CB407" t="inlineStr"/>
      <c r="CC407" t="inlineStr"/>
      <c r="CD407" t="inlineStr"/>
      <c r="CE407" t="inlineStr"/>
      <c r="CF407" t="inlineStr"/>
      <c r="CG407" t="inlineStr"/>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c r="DA407" t="inlineStr"/>
      <c r="DB407" t="inlineStr"/>
      <c r="DC407" t="inlineStr"/>
      <c r="DD407" t="inlineStr"/>
      <c r="DE407" t="inlineStr"/>
      <c r="DF407" t="inlineStr"/>
      <c r="DG407" t="inlineStr"/>
    </row>
    <row r="408">
      <c r="A408" t="inlineStr">
        <is>
          <t>III</t>
        </is>
      </c>
      <c r="B408" t="b">
        <v>1</v>
      </c>
      <c r="C408" t="inlineStr"/>
      <c r="D408" t="inlineStr"/>
      <c r="E408" t="inlineStr"/>
      <c r="F408">
        <f>HYPERLINK("https://portal.dnb.de/opac.htm?method=simpleSearch&amp;cqlMode=true&amp;query=idn%3D1137969253", "Portal")</f>
        <v/>
      </c>
      <c r="G408" t="inlineStr">
        <is>
          <t>Qd</t>
        </is>
      </c>
      <c r="H408" t="inlineStr">
        <is>
          <t>L-9999-414283635</t>
        </is>
      </c>
      <c r="I408" t="inlineStr">
        <is>
          <t>1137969253</t>
        </is>
      </c>
      <c r="J408" t="inlineStr">
        <is>
          <t>III 55, 3</t>
        </is>
      </c>
      <c r="K408" t="inlineStr">
        <is>
          <t>III 55, 3</t>
        </is>
      </c>
      <c r="L408" t="inlineStr">
        <is>
          <t>III 55, 3</t>
        </is>
      </c>
      <c r="M408" t="inlineStr"/>
      <c r="N408" t="inlineStr">
        <is>
          <t xml:space="preserve">Sammelband mit drei Werken von Johannes Draconites : </t>
        </is>
      </c>
      <c r="O408" t="inlineStr">
        <is>
          <t xml:space="preserve"> : </t>
        </is>
      </c>
      <c r="P408" t="inlineStr">
        <is>
          <t>X</t>
        </is>
      </c>
      <c r="Q408" t="inlineStr"/>
      <c r="R408" t="inlineStr">
        <is>
          <t>Halbledereinband, Schließen, erhabene Buchbeschläge</t>
        </is>
      </c>
      <c r="S408" t="inlineStr">
        <is>
          <t>bis 35 cm</t>
        </is>
      </c>
      <c r="T408" t="inlineStr">
        <is>
          <t>180°</t>
        </is>
      </c>
      <c r="U408" t="inlineStr">
        <is>
          <t>hohler Rücken</t>
        </is>
      </c>
      <c r="V408" t="inlineStr"/>
      <c r="W408" t="inlineStr">
        <is>
          <t>Buchschuh</t>
        </is>
      </c>
      <c r="X408" t="inlineStr">
        <is>
          <t>Nein</t>
        </is>
      </c>
      <c r="Y408" t="n">
        <v>0</v>
      </c>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c r="BD408" t="inlineStr"/>
      <c r="BE408" t="inlineStr"/>
      <c r="BF408" t="inlineStr"/>
      <c r="BG408" t="inlineStr"/>
      <c r="BH408" t="inlineStr"/>
      <c r="BI408" t="inlineStr"/>
      <c r="BJ408" t="inlineStr"/>
      <c r="BK408" t="inlineStr"/>
      <c r="BL408" t="inlineStr"/>
      <c r="BM408" t="inlineStr"/>
      <c r="BN408" t="n">
        <v>0</v>
      </c>
      <c r="BO408" t="inlineStr"/>
      <c r="BP408" t="inlineStr"/>
      <c r="BQ408" t="inlineStr"/>
      <c r="BR408" t="inlineStr"/>
      <c r="BS408" t="inlineStr"/>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c r="DB408" t="inlineStr"/>
      <c r="DC408" t="inlineStr"/>
      <c r="DD408" t="inlineStr"/>
      <c r="DE408" t="inlineStr"/>
      <c r="DF408" t="inlineStr"/>
      <c r="DG408" t="inlineStr"/>
    </row>
    <row r="409">
      <c r="A409" t="inlineStr">
        <is>
          <t>III</t>
        </is>
      </c>
      <c r="B409" t="b">
        <v>1</v>
      </c>
      <c r="C409" t="inlineStr"/>
      <c r="D409" t="inlineStr"/>
      <c r="E409" t="n">
        <v>471</v>
      </c>
      <c r="F409">
        <f>HYPERLINK("https://portal.dnb.de/opac.htm?method=simpleSearch&amp;cqlMode=true&amp;query=idn%3D1066959412", "Portal")</f>
        <v/>
      </c>
      <c r="G409" t="inlineStr">
        <is>
          <t>Aaf</t>
        </is>
      </c>
      <c r="H409" t="inlineStr">
        <is>
          <t>L-1527-315489995</t>
        </is>
      </c>
      <c r="I409" t="inlineStr">
        <is>
          <t>1066959412</t>
        </is>
      </c>
      <c r="J409" t="inlineStr">
        <is>
          <t>III 56, 1</t>
        </is>
      </c>
      <c r="K409" t="inlineStr">
        <is>
          <t>III 56, 1</t>
        </is>
      </c>
      <c r="L409" t="inlineStr">
        <is>
          <t>III 56, 1</t>
        </is>
      </c>
      <c r="M409" t="inlineStr"/>
      <c r="N409" t="inlineStr">
        <is>
          <t xml:space="preserve">Die @disputacion vor den xij orten || einer loblich? eidtgnoschafft nlich|| Bern Lutzern Ury Schvuytz Un=||dervualden ob vnnd nidt dem kern||walt Zug </t>
        </is>
      </c>
      <c r="O409" t="inlineStr">
        <is>
          <t xml:space="preserve"> : </t>
        </is>
      </c>
      <c r="P409" t="inlineStr">
        <is>
          <t>X</t>
        </is>
      </c>
      <c r="Q409" t="inlineStr"/>
      <c r="R409" t="inlineStr">
        <is>
          <t>Halbledereinband, Schließen, erhabene Buchbeschläge</t>
        </is>
      </c>
      <c r="S409" t="inlineStr">
        <is>
          <t>bis 25 cm</t>
        </is>
      </c>
      <c r="T409" t="inlineStr">
        <is>
          <t>80° bis 110°, einseitig digitalisierbar?</t>
        </is>
      </c>
      <c r="U409" t="inlineStr">
        <is>
          <t>hohler Rücken</t>
        </is>
      </c>
      <c r="V409" t="inlineStr"/>
      <c r="W409" t="inlineStr">
        <is>
          <t>Buchschuh</t>
        </is>
      </c>
      <c r="X409" t="inlineStr">
        <is>
          <t>Nein</t>
        </is>
      </c>
      <c r="Y409" t="n">
        <v>0</v>
      </c>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inlineStr"/>
      <c r="BI409" t="inlineStr"/>
      <c r="BJ409" t="inlineStr"/>
      <c r="BK409" t="inlineStr"/>
      <c r="BL409" t="inlineStr"/>
      <c r="BM409" t="inlineStr"/>
      <c r="BN409" t="n">
        <v>0</v>
      </c>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c r="DA409" t="inlineStr"/>
      <c r="DB409" t="inlineStr"/>
      <c r="DC409" t="inlineStr"/>
      <c r="DD409" t="inlineStr"/>
      <c r="DE409" t="inlineStr"/>
      <c r="DF409" t="inlineStr"/>
      <c r="DG409" t="inlineStr"/>
    </row>
    <row r="410">
      <c r="A410" t="inlineStr">
        <is>
          <t>III</t>
        </is>
      </c>
      <c r="B410" t="b">
        <v>1</v>
      </c>
      <c r="C410" t="inlineStr"/>
      <c r="D410" t="inlineStr"/>
      <c r="E410" t="n">
        <v>472</v>
      </c>
      <c r="F410">
        <f>HYPERLINK("https://portal.dnb.de/opac.htm?method=simpleSearch&amp;cqlMode=true&amp;query=idn%3D1066940452", "Portal")</f>
        <v/>
      </c>
      <c r="G410" t="inlineStr">
        <is>
          <t>Aaf</t>
        </is>
      </c>
      <c r="H410" t="inlineStr">
        <is>
          <t>L-1509-315468238</t>
        </is>
      </c>
      <c r="I410" t="inlineStr">
        <is>
          <t>1066940452</t>
        </is>
      </c>
      <c r="J410" t="inlineStr">
        <is>
          <t>III 57, 1</t>
        </is>
      </c>
      <c r="K410" t="inlineStr">
        <is>
          <t>III 57, 1</t>
        </is>
      </c>
      <c r="L410" t="inlineStr">
        <is>
          <t>III 57, 1</t>
        </is>
      </c>
      <c r="M410" t="inlineStr"/>
      <c r="N410" t="inlineStr">
        <is>
          <t>Digestum vetus summis elucubratum ac castigatum vigilis vna cum additionibus ... de recenti insertis et concordantiis iuris canonici : egregie et quad</t>
        </is>
      </c>
      <c r="O410" t="inlineStr">
        <is>
          <t xml:space="preserve"> : </t>
        </is>
      </c>
      <c r="P410" t="inlineStr">
        <is>
          <t>X</t>
        </is>
      </c>
      <c r="Q410" t="inlineStr"/>
      <c r="R410" t="inlineStr">
        <is>
          <t>Ledereinband, Schließen, erhabene Buchbeschläge</t>
        </is>
      </c>
      <c r="S410" t="inlineStr">
        <is>
          <t>&gt; 42 cm</t>
        </is>
      </c>
      <c r="T410" t="inlineStr">
        <is>
          <t>80° bis 110°, einseitig digitalisierbar?</t>
        </is>
      </c>
      <c r="U410" t="inlineStr">
        <is>
          <t>Schrift bis in den Falz</t>
        </is>
      </c>
      <c r="V410" t="inlineStr"/>
      <c r="W410" t="inlineStr">
        <is>
          <t>Kassette</t>
        </is>
      </c>
      <c r="X410" t="inlineStr">
        <is>
          <t>Nein</t>
        </is>
      </c>
      <c r="Y410" t="n">
        <v>0</v>
      </c>
      <c r="Z410" t="inlineStr"/>
      <c r="AA410" t="inlineStr"/>
      <c r="AB410" t="inlineStr"/>
      <c r="AC410" t="inlineStr"/>
      <c r="AD410" t="inlineStr"/>
      <c r="AE410" t="inlineStr"/>
      <c r="AF410" t="inlineStr"/>
      <c r="AG410" t="inlineStr"/>
      <c r="AH410" t="inlineStr"/>
      <c r="AI410" t="inlineStr">
        <is>
          <t>HD</t>
        </is>
      </c>
      <c r="AJ410" t="inlineStr"/>
      <c r="AK410" t="inlineStr"/>
      <c r="AL410" t="inlineStr">
        <is>
          <t>x</t>
        </is>
      </c>
      <c r="AM410" t="inlineStr">
        <is>
          <t>f</t>
        </is>
      </c>
      <c r="AN410" t="inlineStr"/>
      <c r="AO410" t="inlineStr"/>
      <c r="AP410" t="inlineStr"/>
      <c r="AQ410" t="inlineStr"/>
      <c r="AR410" t="inlineStr">
        <is>
          <t>x</t>
        </is>
      </c>
      <c r="AS410" t="inlineStr">
        <is>
          <t>Pa</t>
        </is>
      </c>
      <c r="AT410" t="inlineStr"/>
      <c r="AU410" t="inlineStr"/>
      <c r="AV410" t="inlineStr"/>
      <c r="AW410" t="inlineStr"/>
      <c r="AX410" t="inlineStr"/>
      <c r="AY410" t="inlineStr"/>
      <c r="AZ410" t="inlineStr"/>
      <c r="BA410" t="inlineStr"/>
      <c r="BB410" t="inlineStr"/>
      <c r="BC410" t="inlineStr">
        <is>
          <t>I/R</t>
        </is>
      </c>
      <c r="BD410" t="inlineStr">
        <is>
          <t>x</t>
        </is>
      </c>
      <c r="BE410" t="n">
        <v>0</v>
      </c>
      <c r="BF410" t="inlineStr">
        <is>
          <t>x</t>
        </is>
      </c>
      <c r="BG410" t="n">
        <v>110</v>
      </c>
      <c r="BH410" t="inlineStr"/>
      <c r="BI410" t="inlineStr"/>
      <c r="BJ410" t="inlineStr"/>
      <c r="BK410" t="inlineStr"/>
      <c r="BL410" t="inlineStr"/>
      <c r="BM410" t="inlineStr">
        <is>
          <t>n</t>
        </is>
      </c>
      <c r="BN410" t="n">
        <v>0</v>
      </c>
      <c r="BO410" t="inlineStr"/>
      <c r="BP410" t="inlineStr">
        <is>
          <t>Gewebe mit Papier</t>
        </is>
      </c>
      <c r="BQ410" t="inlineStr"/>
      <c r="BR410" t="inlineStr"/>
      <c r="BS410" t="inlineStr"/>
      <c r="BT410" t="inlineStr"/>
      <c r="BU410" t="inlineStr"/>
      <c r="BV410" t="inlineStr"/>
      <c r="BW410" t="inlineStr"/>
      <c r="BX410" t="inlineStr"/>
      <c r="BY410" t="inlineStr"/>
      <c r="BZ410" t="inlineStr"/>
      <c r="CA410" t="inlineStr"/>
      <c r="CB410" t="inlineStr"/>
      <c r="CC410" t="inlineStr"/>
      <c r="CD410" t="inlineStr"/>
      <c r="CE410" t="inlineStr"/>
      <c r="CF410" t="inlineStr"/>
      <c r="CG410" t="inlineStr"/>
      <c r="CH410" t="inlineStr"/>
      <c r="CI410" t="inlineStr"/>
      <c r="CJ410" t="inlineStr"/>
      <c r="CK410" t="inlineStr"/>
      <c r="CL410" t="inlineStr"/>
      <c r="CM410" t="inlineStr"/>
      <c r="CN410" t="inlineStr"/>
      <c r="CO410" t="inlineStr"/>
      <c r="CP410" t="inlineStr"/>
      <c r="CQ410" t="inlineStr"/>
      <c r="CR410" t="inlineStr"/>
      <c r="CS410" t="inlineStr"/>
      <c r="CT410" t="inlineStr"/>
      <c r="CU410" t="inlineStr"/>
      <c r="CV410" t="inlineStr"/>
      <c r="CW410" t="inlineStr"/>
      <c r="CX410" t="inlineStr"/>
      <c r="CY410" t="inlineStr"/>
      <c r="CZ410" t="inlineStr"/>
      <c r="DA410" t="inlineStr"/>
      <c r="DB410" t="inlineStr"/>
      <c r="DC410" t="inlineStr"/>
      <c r="DD410" t="inlineStr"/>
      <c r="DE410" t="inlineStr"/>
      <c r="DF410" t="inlineStr"/>
      <c r="DG410" t="inlineStr"/>
    </row>
    <row r="411">
      <c r="A411" t="inlineStr">
        <is>
          <t>III</t>
        </is>
      </c>
      <c r="B411" t="b">
        <v>1</v>
      </c>
      <c r="C411" t="inlineStr"/>
      <c r="D411" t="inlineStr"/>
      <c r="E411" t="inlineStr"/>
      <c r="F411">
        <f>HYPERLINK("https://portal.dnb.de/opac.htm?method=simpleSearch&amp;cqlMode=true&amp;query=idn%3D1137895519", "Portal")</f>
        <v/>
      </c>
      <c r="G411" t="inlineStr">
        <is>
          <t>Qd</t>
        </is>
      </c>
      <c r="H411" t="inlineStr">
        <is>
          <t>L-9999-414174534</t>
        </is>
      </c>
      <c r="I411" t="inlineStr">
        <is>
          <t>1137895519</t>
        </is>
      </c>
      <c r="J411" t="inlineStr">
        <is>
          <t>III 57, 2</t>
        </is>
      </c>
      <c r="K411" t="inlineStr">
        <is>
          <t>III 57, 2</t>
        </is>
      </c>
      <c r="L411" t="inlineStr">
        <is>
          <t>III 57, 2</t>
        </is>
      </c>
      <c r="M411" t="inlineStr"/>
      <c r="N411" t="inlineStr">
        <is>
          <t xml:space="preserve">Sammelband : </t>
        </is>
      </c>
      <c r="O411" t="inlineStr">
        <is>
          <t xml:space="preserve"> : </t>
        </is>
      </c>
      <c r="P411" t="inlineStr">
        <is>
          <t>X</t>
        </is>
      </c>
      <c r="Q411" t="inlineStr"/>
      <c r="R411" t="inlineStr">
        <is>
          <t>Ledereinband, Schließen, erhabene Buchbeschläge</t>
        </is>
      </c>
      <c r="S411" t="inlineStr">
        <is>
          <t>bis 25 cm</t>
        </is>
      </c>
      <c r="T411" t="inlineStr">
        <is>
          <t>80° bis 110°, einseitig digitalisierbar?</t>
        </is>
      </c>
      <c r="U411" t="inlineStr">
        <is>
          <t>fester Rücken mit Schmuckprägung, Schrift bis in den Falz</t>
        </is>
      </c>
      <c r="V411" t="inlineStr"/>
      <c r="W411" t="inlineStr">
        <is>
          <t>Kassette</t>
        </is>
      </c>
      <c r="X411" t="inlineStr">
        <is>
          <t>Nein</t>
        </is>
      </c>
      <c r="Y411" t="n">
        <v>0</v>
      </c>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c r="BD411" t="inlineStr"/>
      <c r="BE411" t="inlineStr"/>
      <c r="BF411" t="inlineStr"/>
      <c r="BG411" t="inlineStr"/>
      <c r="BH411" t="inlineStr"/>
      <c r="BI411" t="inlineStr"/>
      <c r="BJ411" t="inlineStr"/>
      <c r="BK411" t="inlineStr"/>
      <c r="BL411" t="inlineStr"/>
      <c r="BM411" t="inlineStr"/>
      <c r="BN411" t="n">
        <v>0</v>
      </c>
      <c r="BO411" t="inlineStr"/>
      <c r="BP411" t="inlineStr"/>
      <c r="BQ411" t="inlineStr"/>
      <c r="BR411" t="inlineStr"/>
      <c r="BS411" t="inlineStr"/>
      <c r="BT411" t="inlineStr"/>
      <c r="BU411" t="inlineStr"/>
      <c r="BV411" t="inlineStr"/>
      <c r="BW411" t="inlineStr"/>
      <c r="BX411" t="inlineStr"/>
      <c r="BY411" t="inlineStr"/>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c r="DA411" t="inlineStr"/>
      <c r="DB411" t="inlineStr"/>
      <c r="DC411" t="inlineStr"/>
      <c r="DD411" t="inlineStr"/>
      <c r="DE411" t="inlineStr"/>
      <c r="DF411" t="inlineStr"/>
      <c r="DG411" t="inlineStr"/>
    </row>
    <row r="412">
      <c r="A412" t="inlineStr">
        <is>
          <t>III</t>
        </is>
      </c>
      <c r="B412" t="b">
        <v>1</v>
      </c>
      <c r="C412" t="inlineStr"/>
      <c r="D412" t="inlineStr"/>
      <c r="E412" t="n">
        <v>496</v>
      </c>
      <c r="F412">
        <f>HYPERLINK("https://portal.dnb.de/opac.htm?method=simpleSearch&amp;cqlMode=true&amp;query=idn%3D1001987322", "Portal")</f>
        <v/>
      </c>
      <c r="G412" t="inlineStr">
        <is>
          <t>Aal</t>
        </is>
      </c>
      <c r="H412" t="inlineStr">
        <is>
          <t>L-1536-17596596X</t>
        </is>
      </c>
      <c r="I412" t="inlineStr">
        <is>
          <t>1001987322</t>
        </is>
      </c>
      <c r="J412" t="inlineStr">
        <is>
          <t>III 57, 2a</t>
        </is>
      </c>
      <c r="K412" t="inlineStr">
        <is>
          <t>III 57, 2a</t>
        </is>
      </c>
      <c r="L412" t="inlineStr">
        <is>
          <t>III 57, 2 a</t>
        </is>
      </c>
      <c r="M412" t="inlineStr"/>
      <c r="N412" t="inlineStr">
        <is>
          <t>De re hortensi libellvs, vvlgaria herbarvm, florvm, ac fruticum, qui in hortis conseri solent, nomina latinis uocibus efferre docens ex probatis autor</t>
        </is>
      </c>
      <c r="O412" t="inlineStr">
        <is>
          <t xml:space="preserve"> : </t>
        </is>
      </c>
      <c r="P412" t="inlineStr"/>
      <c r="Q412" t="inlineStr"/>
      <c r="R412" t="inlineStr">
        <is>
          <t>Papier- oder Pappeinband</t>
        </is>
      </c>
      <c r="S412" t="inlineStr">
        <is>
          <t>bis 25 cm</t>
        </is>
      </c>
      <c r="T412" t="inlineStr">
        <is>
          <t>180°</t>
        </is>
      </c>
      <c r="U412" t="inlineStr">
        <is>
          <t>hohler Rücken</t>
        </is>
      </c>
      <c r="V412" t="inlineStr"/>
      <c r="W412" t="inlineStr">
        <is>
          <t>Kassette</t>
        </is>
      </c>
      <c r="X412" t="inlineStr">
        <is>
          <t>Nein</t>
        </is>
      </c>
      <c r="Y412" t="n">
        <v>0</v>
      </c>
      <c r="Z412" t="inlineStr"/>
      <c r="AA412" t="inlineStr"/>
      <c r="AB412" t="inlineStr"/>
      <c r="AC412" t="inlineStr"/>
      <c r="AD412" t="inlineStr"/>
      <c r="AE412" t="inlineStr"/>
      <c r="AF412" t="inlineStr"/>
      <c r="AG412" t="inlineStr"/>
      <c r="AH412" t="inlineStr"/>
      <c r="AI412" t="inlineStr"/>
      <c r="AJ412" t="inlineStr"/>
      <c r="AK412" t="inlineStr"/>
      <c r="AL412" t="inlineStr"/>
      <c r="AM412" t="inlineStr"/>
      <c r="AN412" t="inlineStr"/>
      <c r="AO412" t="inlineStr"/>
      <c r="AP412" t="inlineStr"/>
      <c r="AQ412" t="inlineStr"/>
      <c r="AR412" t="inlineStr"/>
      <c r="AS412" t="inlineStr"/>
      <c r="AT412" t="inlineStr"/>
      <c r="AU412" t="inlineStr"/>
      <c r="AV412" t="inlineStr"/>
      <c r="AW412" t="inlineStr"/>
      <c r="AX412" t="inlineStr"/>
      <c r="AY412" t="inlineStr"/>
      <c r="AZ412" t="inlineStr"/>
      <c r="BA412" t="inlineStr"/>
      <c r="BB412" t="inlineStr"/>
      <c r="BC412" t="inlineStr"/>
      <c r="BD412" t="inlineStr"/>
      <c r="BE412" t="inlineStr"/>
      <c r="BF412" t="inlineStr"/>
      <c r="BG412" t="inlineStr"/>
      <c r="BH412" t="inlineStr"/>
      <c r="BI412" t="inlineStr"/>
      <c r="BJ412" t="inlineStr"/>
      <c r="BK412" t="inlineStr"/>
      <c r="BL412" t="inlineStr"/>
      <c r="BM412" t="inlineStr"/>
      <c r="BN412" t="n">
        <v>0</v>
      </c>
      <c r="BO412" t="inlineStr"/>
      <c r="BP412" t="inlineStr"/>
      <c r="BQ412" t="inlineStr"/>
      <c r="BR412" t="inlineStr"/>
      <c r="BS412" t="inlineStr"/>
      <c r="BT412" t="inlineStr"/>
      <c r="BU412" t="inlineStr"/>
      <c r="BV412" t="inlineStr"/>
      <c r="BW412" t="inlineStr"/>
      <c r="BX412" t="inlineStr"/>
      <c r="BY412" t="inlineStr"/>
      <c r="BZ412" t="inlineStr"/>
      <c r="CA412" t="inlineStr"/>
      <c r="CB412" t="inlineStr"/>
      <c r="CC412" t="inlineStr"/>
      <c r="CD412" t="inlineStr"/>
      <c r="CE412" t="inlineStr"/>
      <c r="CF412" t="inlineStr"/>
      <c r="CG412" t="inlineStr"/>
      <c r="CH412" t="inlineStr"/>
      <c r="CI412" t="inlineStr"/>
      <c r="CJ412" t="inlineStr"/>
      <c r="CK412" t="inlineStr"/>
      <c r="CL412" t="inlineStr"/>
      <c r="CM412" t="inlineStr"/>
      <c r="CN412" t="inlineStr"/>
      <c r="CO412" t="inlineStr"/>
      <c r="CP412" t="inlineStr"/>
      <c r="CQ412" t="inlineStr"/>
      <c r="CR412" t="inlineStr"/>
      <c r="CS412" t="inlineStr"/>
      <c r="CT412" t="inlineStr"/>
      <c r="CU412" t="inlineStr"/>
      <c r="CV412" t="inlineStr"/>
      <c r="CW412" t="inlineStr"/>
      <c r="CX412" t="inlineStr"/>
      <c r="CY412" t="inlineStr"/>
      <c r="CZ412" t="inlineStr"/>
      <c r="DA412" t="inlineStr"/>
      <c r="DB412" t="inlineStr"/>
      <c r="DC412" t="inlineStr"/>
      <c r="DD412" t="inlineStr"/>
      <c r="DE412" t="inlineStr"/>
      <c r="DF412" t="inlineStr"/>
      <c r="DG412" t="inlineStr"/>
    </row>
    <row r="413">
      <c r="A413" t="inlineStr">
        <is>
          <t>III</t>
        </is>
      </c>
      <c r="B413" t="b">
        <v>1</v>
      </c>
      <c r="C413" t="inlineStr"/>
      <c r="D413" t="inlineStr"/>
      <c r="E413" t="inlineStr"/>
      <c r="F413">
        <f>HYPERLINK("https://portal.dnb.de/opac.htm?method=simpleSearch&amp;cqlMode=true&amp;query=idn%3D1137896175", "Portal")</f>
        <v/>
      </c>
      <c r="G413" t="inlineStr">
        <is>
          <t>Qd</t>
        </is>
      </c>
      <c r="H413" t="inlineStr">
        <is>
          <t>L-9999-414174925</t>
        </is>
      </c>
      <c r="I413" t="inlineStr">
        <is>
          <t>1137896175</t>
        </is>
      </c>
      <c r="J413" t="inlineStr">
        <is>
          <t>III 57, 3</t>
        </is>
      </c>
      <c r="K413" t="inlineStr">
        <is>
          <t>III 57, 3</t>
        </is>
      </c>
      <c r="L413" t="inlineStr">
        <is>
          <t>III 57, 3</t>
        </is>
      </c>
      <c r="M413" t="inlineStr"/>
      <c r="N413" t="inlineStr">
        <is>
          <t xml:space="preserve">Sammelband mit zwei Werken von Pelbartus de Themeswar : </t>
        </is>
      </c>
      <c r="O413" t="inlineStr">
        <is>
          <t xml:space="preserve"> : </t>
        </is>
      </c>
      <c r="P413" t="inlineStr">
        <is>
          <t>X</t>
        </is>
      </c>
      <c r="Q413" t="inlineStr"/>
      <c r="R413" t="inlineStr">
        <is>
          <t>Halbledereinband, Schließen, erhabene Buchbeschläge</t>
        </is>
      </c>
      <c r="S413" t="inlineStr">
        <is>
          <t>bis 35 cm</t>
        </is>
      </c>
      <c r="T413" t="inlineStr">
        <is>
          <t>180°</t>
        </is>
      </c>
      <c r="U413" t="inlineStr">
        <is>
          <t>hohler Rücken</t>
        </is>
      </c>
      <c r="V413" t="inlineStr"/>
      <c r="W413" t="inlineStr">
        <is>
          <t>Buchschuh</t>
        </is>
      </c>
      <c r="X413" t="inlineStr">
        <is>
          <t>Nein</t>
        </is>
      </c>
      <c r="Y413" t="n">
        <v>0</v>
      </c>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inlineStr"/>
      <c r="BI413" t="inlineStr"/>
      <c r="BJ413" t="inlineStr"/>
      <c r="BK413" t="inlineStr"/>
      <c r="BL413" t="inlineStr"/>
      <c r="BM413" t="inlineStr"/>
      <c r="BN413" t="n">
        <v>0</v>
      </c>
      <c r="BO413" t="inlineStr"/>
      <c r="BP413" t="inlineStr"/>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c r="DB413" t="inlineStr"/>
      <c r="DC413" t="inlineStr"/>
      <c r="DD413" t="inlineStr"/>
      <c r="DE413" t="inlineStr"/>
      <c r="DF413" t="inlineStr"/>
      <c r="DG413" t="inlineStr"/>
    </row>
    <row r="414">
      <c r="A414" t="inlineStr">
        <is>
          <t>III</t>
        </is>
      </c>
      <c r="B414" t="b">
        <v>1</v>
      </c>
      <c r="C414" t="inlineStr"/>
      <c r="D414" t="inlineStr"/>
      <c r="E414" t="n">
        <v>475</v>
      </c>
      <c r="F414">
        <f>HYPERLINK("https://portal.dnb.de/opac.htm?method=simpleSearch&amp;cqlMode=true&amp;query=idn%3D1066849633", "Portal")</f>
        <v/>
      </c>
      <c r="G414" t="inlineStr">
        <is>
          <t>Aaf</t>
        </is>
      </c>
      <c r="H414" t="inlineStr">
        <is>
          <t>L-1531-31530863X</t>
        </is>
      </c>
      <c r="I414" t="inlineStr">
        <is>
          <t>1066849633</t>
        </is>
      </c>
      <c r="J414" t="inlineStr">
        <is>
          <t>III 57, 4</t>
        </is>
      </c>
      <c r="K414" t="inlineStr">
        <is>
          <t>III 57, 4</t>
        </is>
      </c>
      <c r="L414" t="inlineStr">
        <is>
          <t>III 57, 4</t>
        </is>
      </c>
      <c r="M414" t="inlineStr"/>
      <c r="N414" t="inlineStr">
        <is>
          <t xml:space="preserve">Tractatus singulares aurei et in praxi contingibiles domini Guidonis Pape consulis Dalphinalis apprime tersi et emuncti : </t>
        </is>
      </c>
      <c r="O414" t="inlineStr">
        <is>
          <t xml:space="preserve"> : </t>
        </is>
      </c>
      <c r="P414" t="inlineStr">
        <is>
          <t>X</t>
        </is>
      </c>
      <c r="Q414" t="inlineStr"/>
      <c r="R414" t="inlineStr">
        <is>
          <t>Gewebeeinband</t>
        </is>
      </c>
      <c r="S414" t="inlineStr">
        <is>
          <t>bis 25 cm</t>
        </is>
      </c>
      <c r="T414" t="inlineStr">
        <is>
          <t>80° bis 110°, einseitig digitalisierbar?</t>
        </is>
      </c>
      <c r="U414" t="inlineStr">
        <is>
          <t>hohler Rücken</t>
        </is>
      </c>
      <c r="V414" t="inlineStr"/>
      <c r="W414" t="inlineStr"/>
      <c r="X414" t="inlineStr"/>
      <c r="Y414" t="n">
        <v>0</v>
      </c>
      <c r="Z414" t="inlineStr"/>
      <c r="AA414" t="inlineStr">
        <is>
          <t>enth. Blindlagen</t>
        </is>
      </c>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c r="BH414" t="inlineStr"/>
      <c r="BI414" t="inlineStr"/>
      <c r="BJ414" t="inlineStr"/>
      <c r="BK414" t="inlineStr"/>
      <c r="BL414" t="inlineStr"/>
      <c r="BM414" t="inlineStr"/>
      <c r="BN414" t="n">
        <v>0</v>
      </c>
      <c r="BO414" t="inlineStr"/>
      <c r="BP414" t="inlineStr"/>
      <c r="BQ414" t="inlineStr"/>
      <c r="BR414" t="inlineStr"/>
      <c r="BS414" t="inlineStr"/>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c r="DA414" t="inlineStr"/>
      <c r="DB414" t="inlineStr"/>
      <c r="DC414" t="inlineStr"/>
      <c r="DD414" t="inlineStr"/>
      <c r="DE414" t="inlineStr"/>
      <c r="DF414" t="inlineStr"/>
      <c r="DG414" t="inlineStr"/>
    </row>
    <row r="415">
      <c r="A415" t="inlineStr">
        <is>
          <t>III</t>
        </is>
      </c>
      <c r="B415" t="b">
        <v>1</v>
      </c>
      <c r="C415" t="inlineStr"/>
      <c r="D415" t="inlineStr"/>
      <c r="E415" t="n">
        <v>476</v>
      </c>
      <c r="F415">
        <f>HYPERLINK("https://portal.dnb.de/opac.htm?method=simpleSearch&amp;cqlMode=true&amp;query=idn%3D1066940851", "Portal")</f>
        <v/>
      </c>
      <c r="G415" t="inlineStr">
        <is>
          <t>Aaf</t>
        </is>
      </c>
      <c r="H415" t="inlineStr">
        <is>
          <t>L-1532-315468602</t>
        </is>
      </c>
      <c r="I415" t="inlineStr">
        <is>
          <t>1066940851</t>
        </is>
      </c>
      <c r="J415" t="inlineStr">
        <is>
          <t>III 57, 5</t>
        </is>
      </c>
      <c r="K415" t="inlineStr">
        <is>
          <t>III 57, 5</t>
        </is>
      </c>
      <c r="L415" t="inlineStr">
        <is>
          <t>III 57, 5</t>
        </is>
      </c>
      <c r="M415" t="inlineStr"/>
      <c r="N415" t="inlineStr">
        <is>
          <t xml:space="preserve">Tractatus perutilis et quotidianus de iure patronatus : </t>
        </is>
      </c>
      <c r="O415" t="inlineStr">
        <is>
          <t xml:space="preserve"> : </t>
        </is>
      </c>
      <c r="P415" t="inlineStr">
        <is>
          <t>X</t>
        </is>
      </c>
      <c r="Q415" t="inlineStr"/>
      <c r="R415" t="inlineStr">
        <is>
          <t>Gewebeeinband</t>
        </is>
      </c>
      <c r="S415" t="inlineStr">
        <is>
          <t>bis 25 cm</t>
        </is>
      </c>
      <c r="T415" t="inlineStr">
        <is>
          <t>80° bis 110°, einseitig digitalisierbar?</t>
        </is>
      </c>
      <c r="U415" t="inlineStr">
        <is>
          <t>hohler Rücken, Schrift bis in den Falz</t>
        </is>
      </c>
      <c r="V415" t="inlineStr"/>
      <c r="W415" t="inlineStr"/>
      <c r="X415" t="inlineStr"/>
      <c r="Y415" t="n">
        <v>0</v>
      </c>
      <c r="Z415" t="inlineStr"/>
      <c r="AA415" t="inlineStr">
        <is>
          <t>enth. Blindlagen</t>
        </is>
      </c>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inlineStr"/>
      <c r="BI415" t="inlineStr"/>
      <c r="BJ415" t="inlineStr"/>
      <c r="BK415" t="inlineStr"/>
      <c r="BL415" t="inlineStr"/>
      <c r="BM415" t="inlineStr"/>
      <c r="BN415" t="n">
        <v>0</v>
      </c>
      <c r="BO415" t="inlineStr"/>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c r="DB415" t="inlineStr"/>
      <c r="DC415" t="inlineStr"/>
      <c r="DD415" t="inlineStr"/>
      <c r="DE415" t="inlineStr"/>
      <c r="DF415" t="inlineStr"/>
      <c r="DG415" t="inlineStr"/>
    </row>
    <row r="416">
      <c r="A416" t="inlineStr">
        <is>
          <t>III</t>
        </is>
      </c>
      <c r="B416" t="b">
        <v>1</v>
      </c>
      <c r="C416" t="inlineStr"/>
      <c r="D416" t="inlineStr"/>
      <c r="E416" t="n">
        <v>477</v>
      </c>
      <c r="F416">
        <f>HYPERLINK("https://portal.dnb.de/opac.htm?method=simpleSearch&amp;cqlMode=true&amp;query=idn%3D1066935866", "Portal")</f>
        <v/>
      </c>
      <c r="G416" t="inlineStr">
        <is>
          <t>Aaf</t>
        </is>
      </c>
      <c r="H416" t="inlineStr">
        <is>
          <t>L-1533-315463775</t>
        </is>
      </c>
      <c r="I416" t="inlineStr">
        <is>
          <t>1066935866</t>
        </is>
      </c>
      <c r="J416" t="inlineStr">
        <is>
          <t>III 57, 6</t>
        </is>
      </c>
      <c r="K416" t="inlineStr">
        <is>
          <t>III 57, 6</t>
        </is>
      </c>
      <c r="L416" t="inlineStr">
        <is>
          <t>III 57, 6</t>
        </is>
      </c>
      <c r="M416" t="inlineStr"/>
      <c r="N416" t="inlineStr">
        <is>
          <t xml:space="preserve">Successionum ab intestato respectu tam clericorum quam laicorum tractatus beatissimus Do. Nicolai de Ubaldis de Perusio : ... Quem super eodem titulo </t>
        </is>
      </c>
      <c r="O416" t="inlineStr">
        <is>
          <t xml:space="preserve"> : </t>
        </is>
      </c>
      <c r="P416" t="inlineStr">
        <is>
          <t>X</t>
        </is>
      </c>
      <c r="Q416" t="inlineStr"/>
      <c r="R416" t="inlineStr">
        <is>
          <t>Gewebeeinband</t>
        </is>
      </c>
      <c r="S416" t="inlineStr">
        <is>
          <t>bis 25 cm</t>
        </is>
      </c>
      <c r="T416" t="inlineStr">
        <is>
          <t>80° bis 110°, einseitig digitalisierbar?</t>
        </is>
      </c>
      <c r="U416" t="inlineStr">
        <is>
          <t>hohler Rücken, Schrift bis in den Falz</t>
        </is>
      </c>
      <c r="V416" t="inlineStr"/>
      <c r="W416" t="inlineStr"/>
      <c r="X416" t="inlineStr"/>
      <c r="Y416" t="n">
        <v>0</v>
      </c>
      <c r="Z416" t="inlineStr"/>
      <c r="AA416" t="inlineStr">
        <is>
          <t>enth. Blindlagen</t>
        </is>
      </c>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c r="BD416" t="inlineStr"/>
      <c r="BE416" t="inlineStr"/>
      <c r="BF416" t="inlineStr"/>
      <c r="BG416" t="inlineStr"/>
      <c r="BH416" t="inlineStr"/>
      <c r="BI416" t="inlineStr"/>
      <c r="BJ416" t="inlineStr"/>
      <c r="BK416" t="inlineStr"/>
      <c r="BL416" t="inlineStr"/>
      <c r="BM416" t="inlineStr"/>
      <c r="BN416" t="n">
        <v>0</v>
      </c>
      <c r="BO416" t="inlineStr"/>
      <c r="BP416" t="inlineStr"/>
      <c r="BQ416" t="inlineStr"/>
      <c r="BR416" t="inlineStr"/>
      <c r="BS416" t="inlineStr"/>
      <c r="BT416" t="inlineStr"/>
      <c r="BU416" t="inlineStr"/>
      <c r="BV416" t="inlineStr"/>
      <c r="BW416" t="inlineStr"/>
      <c r="BX416" t="inlineStr"/>
      <c r="BY416" t="inlineStr"/>
      <c r="BZ416" t="inlineStr"/>
      <c r="CA416" t="inlineStr"/>
      <c r="CB416" t="inlineStr"/>
      <c r="CC416" t="inlineStr"/>
      <c r="CD416" t="inlineStr"/>
      <c r="CE416" t="inlineStr"/>
      <c r="CF416" t="inlineStr"/>
      <c r="CG416" t="inlineStr"/>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c r="CV416" t="inlineStr"/>
      <c r="CW416" t="inlineStr"/>
      <c r="CX416" t="inlineStr"/>
      <c r="CY416" t="inlineStr"/>
      <c r="CZ416" t="inlineStr"/>
      <c r="DA416" t="inlineStr"/>
      <c r="DB416" t="inlineStr"/>
      <c r="DC416" t="inlineStr"/>
      <c r="DD416" t="inlineStr"/>
      <c r="DE416" t="inlineStr"/>
      <c r="DF416" t="inlineStr"/>
      <c r="DG416" t="inlineStr"/>
    </row>
    <row r="417">
      <c r="A417" t="inlineStr">
        <is>
          <t>III</t>
        </is>
      </c>
      <c r="B417" t="b">
        <v>1</v>
      </c>
      <c r="C417" t="inlineStr"/>
      <c r="D417" t="inlineStr"/>
      <c r="E417" t="inlineStr"/>
      <c r="F417">
        <f>HYPERLINK("https://portal.dnb.de/opac.htm?method=simpleSearch&amp;cqlMode=true&amp;query=idn%3D1137888539", "Portal")</f>
        <v/>
      </c>
      <c r="G417" t="inlineStr">
        <is>
          <t>Qd</t>
        </is>
      </c>
      <c r="H417" t="inlineStr">
        <is>
          <t>L-9999-414171144</t>
        </is>
      </c>
      <c r="I417" t="inlineStr">
        <is>
          <t>1137888539</t>
        </is>
      </c>
      <c r="J417" t="inlineStr">
        <is>
          <t>III 57, 7</t>
        </is>
      </c>
      <c r="K417" t="inlineStr">
        <is>
          <t>III 57, 7</t>
        </is>
      </c>
      <c r="L417" t="inlineStr">
        <is>
          <t>III 57, 7</t>
        </is>
      </c>
      <c r="M417" t="inlineStr"/>
      <c r="N417" t="inlineStr">
        <is>
          <t xml:space="preserve">Sammelband : </t>
        </is>
      </c>
      <c r="O417" t="inlineStr">
        <is>
          <t xml:space="preserve"> : </t>
        </is>
      </c>
      <c r="P417" t="inlineStr">
        <is>
          <t>X</t>
        </is>
      </c>
      <c r="Q417" t="inlineStr"/>
      <c r="R417" t="inlineStr">
        <is>
          <t>Ledereinband</t>
        </is>
      </c>
      <c r="S417" t="inlineStr">
        <is>
          <t>bis 25 cm</t>
        </is>
      </c>
      <c r="T417" t="inlineStr">
        <is>
          <t>80° bis 110°, einseitig digitalisierbar?</t>
        </is>
      </c>
      <c r="U417" t="inlineStr">
        <is>
          <t>fester Rücken mit Schmuckprägung, Schrift bis in den Falz</t>
        </is>
      </c>
      <c r="V417" t="inlineStr"/>
      <c r="W417" t="inlineStr">
        <is>
          <t>Kassette</t>
        </is>
      </c>
      <c r="X417" t="inlineStr">
        <is>
          <t>Nein</t>
        </is>
      </c>
      <c r="Y417" t="n">
        <v>0</v>
      </c>
      <c r="Z417" t="inlineStr"/>
      <c r="AA417" t="inlineStr"/>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c r="BH417" t="inlineStr"/>
      <c r="BI417" t="inlineStr"/>
      <c r="BJ417" t="inlineStr"/>
      <c r="BK417" t="inlineStr"/>
      <c r="BL417" t="inlineStr"/>
      <c r="BM417" t="inlineStr"/>
      <c r="BN417" t="n">
        <v>0</v>
      </c>
      <c r="BO417" t="inlineStr"/>
      <c r="BP417" t="inlineStr"/>
      <c r="BQ417" t="inlineStr"/>
      <c r="BR417" t="inlineStr"/>
      <c r="BS417" t="inlineStr"/>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c r="DB417" t="inlineStr"/>
      <c r="DC417" t="inlineStr"/>
      <c r="DD417" t="inlineStr"/>
      <c r="DE417" t="inlineStr"/>
      <c r="DF417" t="inlineStr"/>
      <c r="DG417" t="inlineStr"/>
    </row>
    <row r="418">
      <c r="A418" t="inlineStr">
        <is>
          <t>III</t>
        </is>
      </c>
      <c r="B418" t="b">
        <v>1</v>
      </c>
      <c r="C418" t="inlineStr"/>
      <c r="D418" t="inlineStr"/>
      <c r="E418" t="n">
        <v>499</v>
      </c>
      <c r="F418">
        <f>HYPERLINK("https://portal.dnb.de/opac.htm?method=simpleSearch&amp;cqlMode=true&amp;query=idn%3D994509766", "Portal")</f>
        <v/>
      </c>
      <c r="G418" t="inlineStr">
        <is>
          <t>Afl</t>
        </is>
      </c>
      <c r="H418" t="inlineStr">
        <is>
          <t>L-1550-156068516</t>
        </is>
      </c>
      <c r="I418" t="inlineStr">
        <is>
          <t>994509766</t>
        </is>
      </c>
      <c r="J418" t="inlineStr">
        <is>
          <t>III 57, 7a</t>
        </is>
      </c>
      <c r="K418" t="inlineStr">
        <is>
          <t>III 57, 7a</t>
        </is>
      </c>
      <c r="L418" t="inlineStr">
        <is>
          <t>III 57, 7 a</t>
        </is>
      </c>
      <c r="M418" t="inlineStr"/>
      <c r="N418" t="inlineStr">
        <is>
          <t>ORATIO-||NVM M. T.|| CICERO-||NIS, VOLVMEN ...||</t>
        </is>
      </c>
      <c r="O418" t="inlineStr">
        <is>
          <t xml:space="preserve">Vol. 3 : </t>
        </is>
      </c>
      <c r="P418" t="inlineStr">
        <is>
          <t>X</t>
        </is>
      </c>
      <c r="Q418" t="inlineStr">
        <is>
          <t>500,00 EUR</t>
        </is>
      </c>
      <c r="R418" t="inlineStr">
        <is>
          <t>Ledereinband</t>
        </is>
      </c>
      <c r="S418" t="inlineStr">
        <is>
          <t>bis 25 cm</t>
        </is>
      </c>
      <c r="T418" t="inlineStr">
        <is>
          <t>80° bis 110°, einseitig digitalisierbar?</t>
        </is>
      </c>
      <c r="U418" t="inlineStr">
        <is>
          <t>fester Rücken mit Schmuckprägung</t>
        </is>
      </c>
      <c r="V418" t="inlineStr"/>
      <c r="W418" t="inlineStr">
        <is>
          <t>Kassette</t>
        </is>
      </c>
      <c r="X418" t="inlineStr">
        <is>
          <t>Nein</t>
        </is>
      </c>
      <c r="Y418" t="n">
        <v>0</v>
      </c>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c r="BD418" t="inlineStr"/>
      <c r="BE418" t="inlineStr"/>
      <c r="BF418" t="inlineStr"/>
      <c r="BG418" t="inlineStr"/>
      <c r="BH418" t="inlineStr"/>
      <c r="BI418" t="inlineStr"/>
      <c r="BJ418" t="inlineStr"/>
      <c r="BK418" t="inlineStr"/>
      <c r="BL418" t="inlineStr"/>
      <c r="BM418" t="inlineStr"/>
      <c r="BN418" t="n">
        <v>0</v>
      </c>
      <c r="BO418" t="inlineStr"/>
      <c r="BP418" t="inlineStr"/>
      <c r="BQ418" t="inlineStr"/>
      <c r="BR418" t="inlineStr"/>
      <c r="BS418" t="inlineStr"/>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c r="DA418" t="inlineStr"/>
      <c r="DB418" t="inlineStr"/>
      <c r="DC418" t="inlineStr"/>
      <c r="DD418" t="inlineStr"/>
      <c r="DE418" t="inlineStr"/>
      <c r="DF418" t="inlineStr"/>
      <c r="DG418" t="inlineStr"/>
    </row>
    <row r="419">
      <c r="A419" t="inlineStr">
        <is>
          <t>III</t>
        </is>
      </c>
      <c r="B419" t="b">
        <v>1</v>
      </c>
      <c r="C419" t="inlineStr"/>
      <c r="D419" t="inlineStr"/>
      <c r="E419" t="n">
        <v>500</v>
      </c>
      <c r="F419">
        <f>HYPERLINK("https://portal.dnb.de/opac.htm?method=simpleSearch&amp;cqlMode=true&amp;query=idn%3D100231917X", "Portal")</f>
        <v/>
      </c>
      <c r="G419" t="inlineStr">
        <is>
          <t>Afl</t>
        </is>
      </c>
      <c r="H419" t="inlineStr">
        <is>
          <t>L-1551-177021470</t>
        </is>
      </c>
      <c r="I419" t="inlineStr">
        <is>
          <t>100231917X</t>
        </is>
      </c>
      <c r="J419" t="inlineStr">
        <is>
          <t>III 57, 7b</t>
        </is>
      </c>
      <c r="K419" t="inlineStr">
        <is>
          <t>III 57, 7b</t>
        </is>
      </c>
      <c r="L419" t="inlineStr">
        <is>
          <t>III 57, 7 b</t>
        </is>
      </c>
      <c r="M419" t="inlineStr"/>
      <c r="N419" t="inlineStr">
        <is>
          <t>TESTA-||MENTI|| NOVI,|| EDITIO VVLGATA</t>
        </is>
      </c>
      <c r="O419" t="inlineStr">
        <is>
          <t xml:space="preserve">[1] : </t>
        </is>
      </c>
      <c r="P419" t="inlineStr"/>
      <c r="Q419" t="inlineStr"/>
      <c r="R419" t="inlineStr"/>
      <c r="S419" t="inlineStr"/>
      <c r="T419" t="inlineStr"/>
      <c r="U419" t="inlineStr"/>
      <c r="V419" t="inlineStr"/>
      <c r="W419" t="inlineStr"/>
      <c r="X419" t="inlineStr"/>
      <c r="Y419" t="inlineStr"/>
      <c r="Z419" t="inlineStr"/>
      <c r="AA419" t="inlineStr"/>
      <c r="AB419" t="inlineStr"/>
      <c r="AC419" t="inlineStr"/>
      <c r="AD419" t="inlineStr"/>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c r="BB419" t="inlineStr"/>
      <c r="BC419" t="inlineStr"/>
      <c r="BD419" t="inlineStr"/>
      <c r="BE419" t="inlineStr"/>
      <c r="BF419" t="inlineStr"/>
      <c r="BG419" t="inlineStr"/>
      <c r="BH419" t="inlineStr"/>
      <c r="BI419" t="inlineStr"/>
      <c r="BJ419" t="inlineStr"/>
      <c r="BK419" t="inlineStr"/>
      <c r="BL419" t="inlineStr"/>
      <c r="BM419" t="inlineStr"/>
      <c r="BN419" t="n">
        <v>0</v>
      </c>
      <c r="BO419" t="inlineStr"/>
      <c r="BP419" t="inlineStr"/>
      <c r="BQ419" t="inlineStr"/>
      <c r="BR419" t="inlineStr"/>
      <c r="BS419" t="inlineStr"/>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c r="CV419" t="inlineStr"/>
      <c r="CW419" t="inlineStr"/>
      <c r="CX419" t="inlineStr"/>
      <c r="CY419" t="inlineStr"/>
      <c r="CZ419" t="inlineStr"/>
      <c r="DA419" t="inlineStr"/>
      <c r="DB419" t="inlineStr"/>
      <c r="DC419" t="inlineStr"/>
      <c r="DD419" t="inlineStr"/>
      <c r="DE419" t="inlineStr"/>
      <c r="DF419" t="inlineStr"/>
      <c r="DG419" t="inlineStr"/>
    </row>
    <row r="420">
      <c r="A420" t="inlineStr">
        <is>
          <t>III</t>
        </is>
      </c>
      <c r="B420" t="b">
        <v>1</v>
      </c>
      <c r="C420" t="inlineStr">
        <is>
          <t>x</t>
        </is>
      </c>
      <c r="D420" t="inlineStr"/>
      <c r="E420" t="n">
        <v>479</v>
      </c>
      <c r="F420">
        <f>HYPERLINK("https://portal.dnb.de/opac.htm?method=simpleSearch&amp;cqlMode=true&amp;query=idn%3D1132616654", "Portal")</f>
        <v/>
      </c>
      <c r="G420" t="inlineStr">
        <is>
          <t>Aaf</t>
        </is>
      </c>
      <c r="H420" t="inlineStr">
        <is>
          <t>L-1522-681003790</t>
        </is>
      </c>
      <c r="I420" t="inlineStr">
        <is>
          <t>1132616654</t>
        </is>
      </c>
      <c r="J420" t="inlineStr">
        <is>
          <t>III 57, 8</t>
        </is>
      </c>
      <c r="K420" t="inlineStr">
        <is>
          <t>III 57, 8</t>
        </is>
      </c>
      <c r="L420" t="inlineStr">
        <is>
          <t>III 57, 8</t>
        </is>
      </c>
      <c r="M420" t="inlineStr"/>
      <c r="N420" t="inlineStr">
        <is>
          <t xml:space="preserve">De mysteriis Aegyptiorvm, Chaldaeorum, Assyriorum : </t>
        </is>
      </c>
      <c r="O420" t="inlineStr">
        <is>
          <t xml:space="preserve"> : </t>
        </is>
      </c>
      <c r="P420" t="inlineStr">
        <is>
          <t>X</t>
        </is>
      </c>
      <c r="Q420" t="inlineStr"/>
      <c r="R420" t="inlineStr">
        <is>
          <t>Ledereinband</t>
        </is>
      </c>
      <c r="S420" t="inlineStr">
        <is>
          <t>bis 25 cm</t>
        </is>
      </c>
      <c r="T420" t="inlineStr">
        <is>
          <t>80° bis 110°, einseitig digitalisierbar?</t>
        </is>
      </c>
      <c r="U420" t="inlineStr">
        <is>
          <t>fester Rücken mit Schmuckprägung</t>
        </is>
      </c>
      <c r="V420" t="inlineStr"/>
      <c r="W420" t="inlineStr">
        <is>
          <t>Kassette im Schuber</t>
        </is>
      </c>
      <c r="X420" t="inlineStr">
        <is>
          <t>Nein</t>
        </is>
      </c>
      <c r="Y420" t="n">
        <v>2</v>
      </c>
      <c r="Z420" t="inlineStr"/>
      <c r="AA420" t="inlineStr"/>
      <c r="AB420" t="inlineStr"/>
      <c r="AC420" t="inlineStr"/>
      <c r="AD420" t="inlineStr"/>
      <c r="AE420" t="inlineStr"/>
      <c r="AF420" t="inlineStr"/>
      <c r="AG420" t="inlineStr"/>
      <c r="AH420" t="inlineStr">
        <is>
          <t>x</t>
        </is>
      </c>
      <c r="AI420" t="inlineStr">
        <is>
          <t>L</t>
        </is>
      </c>
      <c r="AJ420" t="inlineStr"/>
      <c r="AK420" t="inlineStr"/>
      <c r="AL420" t="inlineStr"/>
      <c r="AM420" t="inlineStr">
        <is>
          <t>f/V</t>
        </is>
      </c>
      <c r="AN420" t="inlineStr"/>
      <c r="AO420" t="inlineStr"/>
      <c r="AP420" t="inlineStr"/>
      <c r="AQ420" t="inlineStr"/>
      <c r="AR420" t="inlineStr"/>
      <c r="AS420" t="inlineStr">
        <is>
          <t>Pa</t>
        </is>
      </c>
      <c r="AT420" t="inlineStr"/>
      <c r="AU420" t="inlineStr"/>
      <c r="AV420" t="inlineStr"/>
      <c r="AW420" t="inlineStr"/>
      <c r="AX420" t="inlineStr"/>
      <c r="AY420" t="inlineStr"/>
      <c r="AZ420" t="inlineStr"/>
      <c r="BA420" t="inlineStr"/>
      <c r="BB420" t="inlineStr"/>
      <c r="BC420" t="inlineStr"/>
      <c r="BD420" t="inlineStr"/>
      <c r="BE420" t="inlineStr"/>
      <c r="BF420" t="inlineStr"/>
      <c r="BG420" t="n">
        <v>0</v>
      </c>
      <c r="BH420" t="inlineStr">
        <is>
          <t xml:space="preserve">
wegen Rücken, auch nach Rest. sehr ws. nicht möglich/ratsam</t>
        </is>
      </c>
      <c r="BI420" t="inlineStr"/>
      <c r="BJ420" t="inlineStr"/>
      <c r="BK420" t="inlineStr"/>
      <c r="BL420" t="inlineStr"/>
      <c r="BM420" t="inlineStr">
        <is>
          <t>ja ÖW=0</t>
        </is>
      </c>
      <c r="BN420" t="n">
        <v>6</v>
      </c>
      <c r="BO420" t="inlineStr"/>
      <c r="BP420" t="inlineStr">
        <is>
          <t>Gewebe</t>
        </is>
      </c>
      <c r="BQ420" t="inlineStr"/>
      <c r="BR420" t="inlineStr"/>
      <c r="BS420" t="inlineStr"/>
      <c r="BT420" t="inlineStr"/>
      <c r="BU420" t="inlineStr"/>
      <c r="BV420" t="inlineStr">
        <is>
          <t>Restaurieren, wenn ÖW =0° ?</t>
        </is>
      </c>
      <c r="BW420" t="inlineStr"/>
      <c r="BX420" t="inlineStr"/>
      <c r="BY420" t="inlineStr"/>
      <c r="BZ420" t="inlineStr">
        <is>
          <t>x</t>
        </is>
      </c>
      <c r="CA420" t="inlineStr">
        <is>
          <t>x</t>
        </is>
      </c>
      <c r="CB420" t="inlineStr">
        <is>
          <t>x</t>
        </is>
      </c>
      <c r="CC420" t="inlineStr"/>
      <c r="CD420" t="inlineStr">
        <is>
          <t>v</t>
        </is>
      </c>
      <c r="CE420" t="inlineStr"/>
      <c r="CF420" t="inlineStr"/>
      <c r="CG420" t="inlineStr"/>
      <c r="CH420" t="inlineStr"/>
      <c r="CI420" t="inlineStr"/>
      <c r="CJ420" t="inlineStr"/>
      <c r="CK420" t="inlineStr"/>
      <c r="CL420" t="inlineStr"/>
      <c r="CM420" t="n">
        <v>6</v>
      </c>
      <c r="CN420" t="inlineStr">
        <is>
          <t>Rücken vollständig ablösen, neu einledern und alten Rücken übertragen, auf hohlen Rücken arbeiten, da Rückenleder sehr brüchig</t>
        </is>
      </c>
      <c r="CO420" t="inlineStr"/>
      <c r="CP420" t="inlineStr"/>
      <c r="CQ420" t="inlineStr"/>
      <c r="CR420" t="inlineStr"/>
      <c r="CS420" t="inlineStr"/>
      <c r="CT420" t="inlineStr"/>
      <c r="CU420" t="inlineStr"/>
      <c r="CV420" t="inlineStr"/>
      <c r="CW420" t="inlineStr"/>
      <c r="CX420" t="inlineStr"/>
      <c r="CY420" t="inlineStr"/>
      <c r="CZ420" t="inlineStr"/>
      <c r="DA420" t="inlineStr"/>
      <c r="DB420" t="inlineStr"/>
      <c r="DC420" t="inlineStr"/>
      <c r="DD420" t="inlineStr"/>
      <c r="DE420" t="inlineStr"/>
      <c r="DF420" t="inlineStr"/>
      <c r="DG420" t="inlineStr"/>
    </row>
    <row r="421">
      <c r="A421" t="inlineStr">
        <is>
          <t>III</t>
        </is>
      </c>
      <c r="B421" t="b">
        <v>1</v>
      </c>
      <c r="C421" t="inlineStr"/>
      <c r="D421" t="inlineStr"/>
      <c r="E421" t="n">
        <v>480</v>
      </c>
      <c r="F421">
        <f>HYPERLINK("https://portal.dnb.de/opac.htm?method=simpleSearch&amp;cqlMode=true&amp;query=idn%3D994214782", "Portal")</f>
        <v/>
      </c>
      <c r="G421" t="inlineStr">
        <is>
          <t>Aal</t>
        </is>
      </c>
      <c r="H421" t="inlineStr">
        <is>
          <t>L-1519-154739588</t>
        </is>
      </c>
      <c r="I421" t="inlineStr">
        <is>
          <t>994214782</t>
        </is>
      </c>
      <c r="J421" t="inlineStr">
        <is>
          <t>III 57, 9</t>
        </is>
      </c>
      <c r="K421" t="inlineStr">
        <is>
          <t>III 57, 9</t>
        </is>
      </c>
      <c r="L421" t="inlineStr">
        <is>
          <t>III 57, 9</t>
        </is>
      </c>
      <c r="M421" t="inlineStr"/>
      <c r="N421" t="inlineStr">
        <is>
          <t xml:space="preserve">Biblia cum concordantijs veteris &amp; noui testamenti sa-||crorum canonum: necnon &amp; additionibus in marginibus va||rietatis diuersorum textuum: ac etiam </t>
        </is>
      </c>
      <c r="O421" t="inlineStr">
        <is>
          <t xml:space="preserve"> : </t>
        </is>
      </c>
      <c r="P421" t="inlineStr"/>
      <c r="Q421" t="inlineStr"/>
      <c r="R421" t="inlineStr">
        <is>
          <t>Ledereinband, Schließen, erhabene Buchbeschläge</t>
        </is>
      </c>
      <c r="S421" t="inlineStr">
        <is>
          <t>bis 42 cm</t>
        </is>
      </c>
      <c r="T421" t="inlineStr">
        <is>
          <t>80° bis 110°, einseitig digitalisierbar?</t>
        </is>
      </c>
      <c r="U421" t="inlineStr">
        <is>
          <t>Schrift bis in den Falz</t>
        </is>
      </c>
      <c r="V421" t="inlineStr"/>
      <c r="W421" t="inlineStr">
        <is>
          <t>Schuber</t>
        </is>
      </c>
      <c r="X421" t="inlineStr">
        <is>
          <t>Nein</t>
        </is>
      </c>
      <c r="Y421" t="n">
        <v>0</v>
      </c>
      <c r="Z421" t="inlineStr"/>
      <c r="AA421" t="inlineStr"/>
      <c r="AB421" t="inlineStr"/>
      <c r="AC421" t="inlineStr"/>
      <c r="AD421" t="inlineStr"/>
      <c r="AE421" t="inlineStr"/>
      <c r="AF421" t="inlineStr"/>
      <c r="AG421" t="inlineStr"/>
      <c r="AH421" t="inlineStr"/>
      <c r="AI421" t="inlineStr">
        <is>
          <t>HD</t>
        </is>
      </c>
      <c r="AJ421" t="inlineStr"/>
      <c r="AK421" t="inlineStr"/>
      <c r="AL421" t="inlineStr">
        <is>
          <t>x</t>
        </is>
      </c>
      <c r="AM421" t="inlineStr">
        <is>
          <t>f</t>
        </is>
      </c>
      <c r="AN421" t="inlineStr"/>
      <c r="AO421" t="inlineStr"/>
      <c r="AP421" t="inlineStr"/>
      <c r="AQ421" t="inlineStr"/>
      <c r="AR421" t="inlineStr"/>
      <c r="AS421" t="inlineStr">
        <is>
          <t>Pa</t>
        </is>
      </c>
      <c r="AT421" t="inlineStr"/>
      <c r="AU421" t="inlineStr"/>
      <c r="AV421" t="inlineStr"/>
      <c r="AW421" t="inlineStr"/>
      <c r="AX421" t="inlineStr"/>
      <c r="AY421" t="inlineStr"/>
      <c r="AZ421" t="inlineStr"/>
      <c r="BA421" t="inlineStr"/>
      <c r="BB421" t="inlineStr"/>
      <c r="BC421" t="inlineStr"/>
      <c r="BD421" t="inlineStr"/>
      <c r="BE421" t="n">
        <v>0</v>
      </c>
      <c r="BF421" t="inlineStr">
        <is>
          <t>x</t>
        </is>
      </c>
      <c r="BG421" t="inlineStr">
        <is>
          <t>max 110</t>
        </is>
      </c>
      <c r="BH421" t="inlineStr"/>
      <c r="BI421" t="inlineStr"/>
      <c r="BJ421" t="inlineStr"/>
      <c r="BK421" t="inlineStr"/>
      <c r="BL421" t="inlineStr"/>
      <c r="BM421" t="inlineStr">
        <is>
          <t>n</t>
        </is>
      </c>
      <c r="BN421" t="n">
        <v>0</v>
      </c>
      <c r="BO421" t="inlineStr"/>
      <c r="BP421" t="inlineStr"/>
      <c r="BQ421" t="inlineStr">
        <is>
          <t>x</t>
        </is>
      </c>
      <c r="BR421" t="inlineStr"/>
      <c r="BS421" t="inlineStr"/>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c r="DB421" t="inlineStr"/>
      <c r="DC421" t="inlineStr"/>
      <c r="DD421" t="inlineStr"/>
      <c r="DE421" t="inlineStr"/>
      <c r="DF421" t="inlineStr"/>
      <c r="DG421" t="inlineStr"/>
    </row>
    <row r="422">
      <c r="A422" t="inlineStr">
        <is>
          <t>III</t>
        </is>
      </c>
      <c r="B422" t="b">
        <v>1</v>
      </c>
      <c r="C422" t="inlineStr"/>
      <c r="D422" t="inlineStr"/>
      <c r="E422" t="n">
        <v>481</v>
      </c>
      <c r="F422">
        <f>HYPERLINK("https://portal.dnb.de/opac.htm?method=simpleSearch&amp;cqlMode=true&amp;query=idn%3D100264612X", "Portal")</f>
        <v/>
      </c>
      <c r="G422" t="inlineStr">
        <is>
          <t>Aal</t>
        </is>
      </c>
      <c r="H422" t="inlineStr">
        <is>
          <t>L-1503-177752726</t>
        </is>
      </c>
      <c r="I422" t="inlineStr">
        <is>
          <t>100264612X</t>
        </is>
      </c>
      <c r="J422" t="inlineStr">
        <is>
          <t>III 57, 10</t>
        </is>
      </c>
      <c r="K422" t="inlineStr">
        <is>
          <t>III 57, 10</t>
        </is>
      </c>
      <c r="L422" t="inlineStr">
        <is>
          <t>III 57, 10</t>
        </is>
      </c>
      <c r="M422" t="inlineStr"/>
      <c r="N422" t="inlineStr">
        <is>
          <t xml:space="preserve">Valerii Maximi Dicto||rvm et Factorum|| Memorabilivm|| Libri No=||Vem|| : </t>
        </is>
      </c>
      <c r="O422" t="inlineStr">
        <is>
          <t xml:space="preserve"> : </t>
        </is>
      </c>
      <c r="P422" t="inlineStr"/>
      <c r="Q422" t="inlineStr"/>
      <c r="R422" t="inlineStr"/>
      <c r="S422" t="inlineStr"/>
      <c r="T422" t="inlineStr"/>
      <c r="U422" t="inlineStr"/>
      <c r="V422" t="inlineStr"/>
      <c r="W422" t="inlineStr"/>
      <c r="X422" t="inlineStr"/>
      <c r="Y422" t="inlineStr"/>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c r="BH422" t="inlineStr"/>
      <c r="BI422" t="inlineStr"/>
      <c r="BJ422" t="inlineStr"/>
      <c r="BK422" t="inlineStr"/>
      <c r="BL422" t="inlineStr"/>
      <c r="BM422" t="inlineStr"/>
      <c r="BN422" t="n">
        <v>0</v>
      </c>
      <c r="BO422" t="inlineStr"/>
      <c r="BP422" t="inlineStr"/>
      <c r="BQ422" t="inlineStr"/>
      <c r="BR422" t="inlineStr"/>
      <c r="BS422" t="inlineStr"/>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c r="DA422" t="inlineStr"/>
      <c r="DB422" t="inlineStr"/>
      <c r="DC422" t="inlineStr"/>
      <c r="DD422" t="inlineStr"/>
      <c r="DE422" t="inlineStr"/>
      <c r="DF422" t="inlineStr"/>
      <c r="DG422" t="inlineStr"/>
    </row>
    <row r="423">
      <c r="A423" t="inlineStr">
        <is>
          <t>III</t>
        </is>
      </c>
      <c r="B423" t="b">
        <v>1</v>
      </c>
      <c r="C423" t="inlineStr"/>
      <c r="D423" t="inlineStr"/>
      <c r="E423" t="n">
        <v>482</v>
      </c>
      <c r="F423">
        <f>HYPERLINK("https://portal.dnb.de/opac.htm?method=simpleSearch&amp;cqlMode=true&amp;query=idn%3D994458029", "Portal")</f>
        <v/>
      </c>
      <c r="G423" t="inlineStr">
        <is>
          <t>Afl</t>
        </is>
      </c>
      <c r="H423" t="inlineStr">
        <is>
          <t>L-1532-155962353</t>
        </is>
      </c>
      <c r="I423" t="inlineStr">
        <is>
          <t>994458029</t>
        </is>
      </c>
      <c r="J423" t="inlineStr">
        <is>
          <t>III 57, 11</t>
        </is>
      </c>
      <c r="K423" t="inlineStr">
        <is>
          <t>III 57, 11</t>
        </is>
      </c>
      <c r="L423" t="inlineStr">
        <is>
          <t>III 57, 11 - 1</t>
        </is>
      </c>
      <c r="M423" t="inlineStr"/>
      <c r="N423" t="inlineStr">
        <is>
          <t>[Super V libris decretalium] ... cum summariis omnem materiam ... Flori de Sura</t>
        </is>
      </c>
      <c r="O423" t="inlineStr">
        <is>
          <t>1,2 : Super secunda parte primi decretalium</t>
        </is>
      </c>
      <c r="P423" t="inlineStr"/>
      <c r="Q423" t="inlineStr"/>
      <c r="R423" t="inlineStr"/>
      <c r="S423" t="inlineStr">
        <is>
          <t>bis 42 cm</t>
        </is>
      </c>
      <c r="T423" t="inlineStr"/>
      <c r="U423" t="inlineStr"/>
      <c r="V423" t="inlineStr"/>
      <c r="W423" t="inlineStr"/>
      <c r="X423" t="inlineStr"/>
      <c r="Y423" t="inlineStr"/>
      <c r="Z423" t="inlineStr"/>
      <c r="AA423" t="inlineStr"/>
      <c r="AB423" t="inlineStr"/>
      <c r="AC423" t="inlineStr"/>
      <c r="AD423" t="inlineStr"/>
      <c r="AE423" t="inlineStr"/>
      <c r="AF423" t="inlineStr"/>
      <c r="AG423" t="inlineStr"/>
      <c r="AH423" t="inlineStr"/>
      <c r="AI423" t="inlineStr">
        <is>
          <t>HPg</t>
        </is>
      </c>
      <c r="AJ423" t="inlineStr"/>
      <c r="AK423" t="inlineStr"/>
      <c r="AL423" t="inlineStr">
        <is>
          <t>x</t>
        </is>
      </c>
      <c r="AM423" t="inlineStr">
        <is>
          <t>h/E</t>
        </is>
      </c>
      <c r="AN423" t="inlineStr"/>
      <c r="AO423" t="inlineStr"/>
      <c r="AP423" t="inlineStr"/>
      <c r="AQ423" t="inlineStr"/>
      <c r="AR423" t="inlineStr"/>
      <c r="AS423" t="inlineStr">
        <is>
          <t>Pa</t>
        </is>
      </c>
      <c r="AT423" t="inlineStr"/>
      <c r="AU423" t="inlineStr"/>
      <c r="AV423" t="inlineStr"/>
      <c r="AW423" t="inlineStr"/>
      <c r="AX423" t="inlineStr"/>
      <c r="AY423" t="inlineStr"/>
      <c r="AZ423" t="inlineStr"/>
      <c r="BA423" t="inlineStr"/>
      <c r="BB423" t="inlineStr"/>
      <c r="BC423" t="inlineStr"/>
      <c r="BD423" t="inlineStr"/>
      <c r="BE423" t="inlineStr"/>
      <c r="BF423" t="inlineStr"/>
      <c r="BG423" t="n">
        <v>110</v>
      </c>
      <c r="BH423" t="inlineStr"/>
      <c r="BI423" t="inlineStr"/>
      <c r="BJ423" t="inlineStr"/>
      <c r="BK423" t="inlineStr"/>
      <c r="BL423" t="inlineStr">
        <is>
          <t>x</t>
        </is>
      </c>
      <c r="BM423" t="inlineStr">
        <is>
          <t>n</t>
        </is>
      </c>
      <c r="BN423" t="n">
        <v>0</v>
      </c>
      <c r="BO423" t="inlineStr"/>
      <c r="BP423" t="inlineStr"/>
      <c r="BQ423" t="inlineStr"/>
      <c r="BR423" t="inlineStr"/>
      <c r="BS423" t="inlineStr"/>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inlineStr"/>
      <c r="DA423" t="inlineStr"/>
      <c r="DB423" t="inlineStr"/>
      <c r="DC423" t="inlineStr"/>
      <c r="DD423" t="inlineStr"/>
      <c r="DE423" t="inlineStr"/>
      <c r="DF423" t="inlineStr"/>
      <c r="DG423" t="inlineStr"/>
    </row>
    <row r="424">
      <c r="A424" t="inlineStr">
        <is>
          <t>III</t>
        </is>
      </c>
      <c r="B424" t="b">
        <v>1</v>
      </c>
      <c r="C424" t="inlineStr"/>
      <c r="D424" t="inlineStr"/>
      <c r="E424" t="n">
        <v>483</v>
      </c>
      <c r="F424">
        <f>HYPERLINK("https://portal.dnb.de/opac.htm?method=simpleSearch&amp;cqlMode=true&amp;query=idn%3D99445807X", "Portal")</f>
        <v/>
      </c>
      <c r="G424" t="inlineStr">
        <is>
          <t>Afl</t>
        </is>
      </c>
      <c r="H424" t="inlineStr">
        <is>
          <t>L-1532-155962426</t>
        </is>
      </c>
      <c r="I424" t="inlineStr">
        <is>
          <t>99445807X</t>
        </is>
      </c>
      <c r="J424" t="inlineStr">
        <is>
          <t>III 57, 11</t>
        </is>
      </c>
      <c r="K424" t="inlineStr">
        <is>
          <t>III 57, 11</t>
        </is>
      </c>
      <c r="L424" t="inlineStr">
        <is>
          <t>III 57, 11 - 2</t>
        </is>
      </c>
      <c r="M424" t="inlineStr"/>
      <c r="N424" t="inlineStr">
        <is>
          <t>[Super V libris decretalium] ... cum summariis omnem materiam ... Flori de Sura</t>
        </is>
      </c>
      <c r="O424" t="inlineStr">
        <is>
          <t>2,2 : Super secunda parte secundi decretalium</t>
        </is>
      </c>
      <c r="P424" t="inlineStr"/>
      <c r="Q424" t="inlineStr"/>
      <c r="R424" t="inlineStr"/>
      <c r="S424" t="inlineStr">
        <is>
          <t>bis 42 cm</t>
        </is>
      </c>
      <c r="T424" t="inlineStr"/>
      <c r="U424" t="inlineStr"/>
      <c r="V424" t="inlineStr"/>
      <c r="W424" t="inlineStr"/>
      <c r="X424" t="inlineStr"/>
      <c r="Y424" t="inlineStr"/>
      <c r="Z424" t="inlineStr"/>
      <c r="AA424" t="inlineStr"/>
      <c r="AB424" t="inlineStr"/>
      <c r="AC424" t="inlineStr"/>
      <c r="AD424" t="inlineStr"/>
      <c r="AE424" t="inlineStr"/>
      <c r="AF424" t="inlineStr"/>
      <c r="AG424" t="inlineStr"/>
      <c r="AH424" t="inlineStr"/>
      <c r="AI424" t="inlineStr">
        <is>
          <t>HPg</t>
        </is>
      </c>
      <c r="AJ424" t="inlineStr"/>
      <c r="AK424" t="inlineStr"/>
      <c r="AL424" t="inlineStr">
        <is>
          <t>x</t>
        </is>
      </c>
      <c r="AM424" t="inlineStr">
        <is>
          <t>h/E</t>
        </is>
      </c>
      <c r="AN424" t="inlineStr"/>
      <c r="AO424" t="inlineStr"/>
      <c r="AP424" t="inlineStr"/>
      <c r="AQ424" t="inlineStr"/>
      <c r="AR424" t="inlineStr"/>
      <c r="AS424" t="inlineStr">
        <is>
          <t>Pa</t>
        </is>
      </c>
      <c r="AT424" t="inlineStr"/>
      <c r="AU424" t="inlineStr"/>
      <c r="AV424" t="inlineStr"/>
      <c r="AW424" t="inlineStr"/>
      <c r="AX424" t="inlineStr"/>
      <c r="AY424" t="inlineStr"/>
      <c r="AZ424" t="inlineStr"/>
      <c r="BA424" t="inlineStr"/>
      <c r="BB424" t="inlineStr"/>
      <c r="BC424" t="inlineStr"/>
      <c r="BD424" t="inlineStr"/>
      <c r="BE424" t="inlineStr"/>
      <c r="BF424" t="inlineStr"/>
      <c r="BG424" t="n">
        <v>110</v>
      </c>
      <c r="BH424" t="inlineStr"/>
      <c r="BI424" t="inlineStr"/>
      <c r="BJ424" t="inlineStr"/>
      <c r="BK424" t="inlineStr"/>
      <c r="BL424" t="inlineStr">
        <is>
          <t>x</t>
        </is>
      </c>
      <c r="BM424" t="inlineStr">
        <is>
          <t>n</t>
        </is>
      </c>
      <c r="BN424" t="n">
        <v>0</v>
      </c>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c r="DB424" t="inlineStr"/>
      <c r="DC424" t="inlineStr"/>
      <c r="DD424" t="inlineStr"/>
      <c r="DE424" t="inlineStr"/>
      <c r="DF424" t="inlineStr"/>
      <c r="DG424" t="inlineStr"/>
    </row>
    <row r="425">
      <c r="A425" t="inlineStr">
        <is>
          <t>III</t>
        </is>
      </c>
      <c r="B425" t="b">
        <v>1</v>
      </c>
      <c r="C425" t="inlineStr"/>
      <c r="D425" t="inlineStr"/>
      <c r="E425" t="n">
        <v>491</v>
      </c>
      <c r="F425">
        <f>HYPERLINK("https://portal.dnb.de/opac.htm?method=simpleSearch&amp;cqlMode=true&amp;query=idn%3D994684444", "Portal")</f>
        <v/>
      </c>
      <c r="G425" t="inlineStr">
        <is>
          <t>Afl</t>
        </is>
      </c>
      <c r="H425" t="inlineStr">
        <is>
          <t>L-1552-157516458</t>
        </is>
      </c>
      <c r="I425" t="inlineStr">
        <is>
          <t>994684444</t>
        </is>
      </c>
      <c r="J425" t="inlineStr">
        <is>
          <t>III 57, 11a</t>
        </is>
      </c>
      <c r="K425" t="inlineStr">
        <is>
          <t>III 57, 11a</t>
        </is>
      </c>
      <c r="L425" t="inlineStr">
        <is>
          <t>III 57, 11 a - 1</t>
        </is>
      </c>
      <c r="M425" t="inlineStr"/>
      <c r="N425" t="inlineStr">
        <is>
          <t>[Corpus iuris civilis]</t>
        </is>
      </c>
      <c r="O425" t="inlineStr">
        <is>
          <t>Bd 1. : DIGESTVM VETVS</t>
        </is>
      </c>
      <c r="P425" t="inlineStr">
        <is>
          <t>X</t>
        </is>
      </c>
      <c r="Q425" t="inlineStr"/>
      <c r="R425" t="inlineStr">
        <is>
          <t>Halbpergamentband</t>
        </is>
      </c>
      <c r="S425" t="inlineStr">
        <is>
          <t>bis 42 cm</t>
        </is>
      </c>
      <c r="T425" t="inlineStr">
        <is>
          <t>80° bis 110°, einseitig digitalisierbar?</t>
        </is>
      </c>
      <c r="U425" t="inlineStr">
        <is>
          <t>hohler Rücken, welliger Buchblock</t>
        </is>
      </c>
      <c r="V425" t="inlineStr"/>
      <c r="W425" t="inlineStr"/>
      <c r="X425" t="inlineStr"/>
      <c r="Y425" t="n">
        <v>0</v>
      </c>
      <c r="Z425" t="inlineStr"/>
      <c r="AA425" t="inlineStr"/>
      <c r="AB425" t="inlineStr"/>
      <c r="AC425" t="inlineStr"/>
      <c r="AD425" t="inlineStr"/>
      <c r="AE425" t="inlineStr"/>
      <c r="AF425" t="inlineStr"/>
      <c r="AG425" t="inlineStr"/>
      <c r="AH425" t="inlineStr"/>
      <c r="AI425" t="inlineStr">
        <is>
          <t>HD</t>
        </is>
      </c>
      <c r="AJ425" t="inlineStr"/>
      <c r="AK425" t="inlineStr"/>
      <c r="AL425" t="inlineStr">
        <is>
          <t>x</t>
        </is>
      </c>
      <c r="AM425" t="inlineStr">
        <is>
          <t>f</t>
        </is>
      </c>
      <c r="AN425" t="inlineStr"/>
      <c r="AO425" t="inlineStr"/>
      <c r="AP425" t="inlineStr"/>
      <c r="AQ425" t="inlineStr"/>
      <c r="AR425" t="inlineStr"/>
      <c r="AS425" t="inlineStr">
        <is>
          <t>Pa</t>
        </is>
      </c>
      <c r="AT425" t="inlineStr"/>
      <c r="AU425" t="inlineStr"/>
      <c r="AV425" t="inlineStr"/>
      <c r="AW425" t="inlineStr"/>
      <c r="AX425" t="inlineStr">
        <is>
          <t>x</t>
        </is>
      </c>
      <c r="AY425" t="inlineStr"/>
      <c r="AZ425" t="inlineStr"/>
      <c r="BA425" t="inlineStr"/>
      <c r="BB425" t="inlineStr"/>
      <c r="BC425" t="inlineStr">
        <is>
          <t>I/R</t>
        </is>
      </c>
      <c r="BD425" t="inlineStr">
        <is>
          <t>x</t>
        </is>
      </c>
      <c r="BE425" t="n">
        <v>0</v>
      </c>
      <c r="BF425" t="inlineStr">
        <is>
          <t>x</t>
        </is>
      </c>
      <c r="BG425" t="n">
        <v>60</v>
      </c>
      <c r="BH425" t="inlineStr"/>
      <c r="BI425" t="inlineStr"/>
      <c r="BJ425" t="inlineStr"/>
      <c r="BK425" t="inlineStr"/>
      <c r="BL425" t="inlineStr"/>
      <c r="BM425" t="inlineStr">
        <is>
          <t>n</t>
        </is>
      </c>
      <c r="BN425" t="n">
        <v>0</v>
      </c>
      <c r="BO425" t="inlineStr"/>
      <c r="BP425" t="inlineStr">
        <is>
          <t>Gewebe</t>
        </is>
      </c>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c r="DB425" t="inlineStr"/>
      <c r="DC425" t="inlineStr"/>
      <c r="DD425" t="inlineStr"/>
      <c r="DE425" t="inlineStr"/>
      <c r="DF425" t="inlineStr"/>
      <c r="DG425" t="inlineStr"/>
    </row>
    <row r="426">
      <c r="A426" t="inlineStr">
        <is>
          <t>III</t>
        </is>
      </c>
      <c r="B426" t="b">
        <v>1</v>
      </c>
      <c r="C426" t="inlineStr"/>
      <c r="D426" t="inlineStr"/>
      <c r="E426" t="n">
        <v>490</v>
      </c>
      <c r="F426">
        <f>HYPERLINK("https://portal.dnb.de/opac.htm?method=simpleSearch&amp;cqlMode=true&amp;query=idn%3D994684622", "Portal")</f>
        <v/>
      </c>
      <c r="G426" t="inlineStr">
        <is>
          <t>Afl</t>
        </is>
      </c>
      <c r="H426" t="inlineStr">
        <is>
          <t>L-1552-157516660</t>
        </is>
      </c>
      <c r="I426" t="inlineStr">
        <is>
          <t>994684622</t>
        </is>
      </c>
      <c r="J426" t="inlineStr">
        <is>
          <t>III 57, 11a</t>
        </is>
      </c>
      <c r="K426" t="inlineStr">
        <is>
          <t>III 57, 11a</t>
        </is>
      </c>
      <c r="L426" t="inlineStr">
        <is>
          <t>III 57, 11 a - 2</t>
        </is>
      </c>
      <c r="M426" t="inlineStr"/>
      <c r="N426" t="inlineStr">
        <is>
          <t>[Corpus iuris civilis]</t>
        </is>
      </c>
      <c r="O426" t="inlineStr">
        <is>
          <t>Bd 2. : INFORTIATVM,||Pandectarum Iuris Ciuilis, Tomus Secundus||QVARTAE PARTIS RELIQVVM, ITEMQVE||QVINTAM DIGESTORVM PARTEM, AC SEXTAE PARTIS LIBROS||duos continens, ex Pandectis Florentinis ita in vniuersum reco-||gnitus ac emendatus ...||ADIECIMVS PLVRIBVS ANNOTATIONES ...||Accesserunt praeterea Responsa aliquot Graeca Modestini Iurisconsulti, nul-||libi antehaec excusa...||</t>
        </is>
      </c>
      <c r="P426" t="inlineStr"/>
      <c r="Q426" t="inlineStr"/>
      <c r="R426" t="inlineStr">
        <is>
          <t>Halbpergamentband</t>
        </is>
      </c>
      <c r="S426" t="inlineStr">
        <is>
          <t>bis 42 cm</t>
        </is>
      </c>
      <c r="T426" t="inlineStr">
        <is>
          <t>80° bis 110°, einseitig digitalisierbar?</t>
        </is>
      </c>
      <c r="U426" t="inlineStr">
        <is>
          <t>welliger Buchblock, hohler Rücken</t>
        </is>
      </c>
      <c r="V426" t="inlineStr"/>
      <c r="W426" t="inlineStr"/>
      <c r="X426" t="inlineStr"/>
      <c r="Y426" t="n">
        <v>1</v>
      </c>
      <c r="Z426" t="inlineStr"/>
      <c r="AA426" t="inlineStr"/>
      <c r="AB426" t="inlineStr"/>
      <c r="AC426" t="inlineStr"/>
      <c r="AD426" t="inlineStr"/>
      <c r="AE426" t="inlineStr"/>
      <c r="AF426" t="inlineStr"/>
      <c r="AG426" t="inlineStr"/>
      <c r="AH426" t="inlineStr"/>
      <c r="AI426" t="inlineStr">
        <is>
          <t>HD</t>
        </is>
      </c>
      <c r="AJ426" t="inlineStr"/>
      <c r="AK426" t="inlineStr"/>
      <c r="AL426" t="inlineStr">
        <is>
          <t>x</t>
        </is>
      </c>
      <c r="AM426" t="inlineStr">
        <is>
          <t>f</t>
        </is>
      </c>
      <c r="AN426" t="inlineStr"/>
      <c r="AO426" t="inlineStr"/>
      <c r="AP426" t="inlineStr"/>
      <c r="AQ426" t="inlineStr"/>
      <c r="AR426" t="inlineStr"/>
      <c r="AS426" t="inlineStr">
        <is>
          <t>Pa</t>
        </is>
      </c>
      <c r="AT426" t="inlineStr"/>
      <c r="AU426" t="inlineStr"/>
      <c r="AV426" t="inlineStr"/>
      <c r="AW426" t="inlineStr"/>
      <c r="AX426" t="inlineStr">
        <is>
          <t>x</t>
        </is>
      </c>
      <c r="AY426" t="inlineStr"/>
      <c r="AZ426" t="inlineStr"/>
      <c r="BA426" t="inlineStr"/>
      <c r="BB426" t="inlineStr"/>
      <c r="BC426" t="inlineStr">
        <is>
          <t>I/R</t>
        </is>
      </c>
      <c r="BD426" t="inlineStr">
        <is>
          <t>x</t>
        </is>
      </c>
      <c r="BE426" t="n">
        <v>0</v>
      </c>
      <c r="BF426" t="inlineStr">
        <is>
          <t>x</t>
        </is>
      </c>
      <c r="BG426" t="n">
        <v>80</v>
      </c>
      <c r="BH426" t="inlineStr"/>
      <c r="BI426" t="inlineStr"/>
      <c r="BJ426" t="inlineStr"/>
      <c r="BK426" t="inlineStr"/>
      <c r="BL426" t="inlineStr"/>
      <c r="BM426" t="inlineStr">
        <is>
          <t>n</t>
        </is>
      </c>
      <c r="BN426" t="n">
        <v>0</v>
      </c>
      <c r="BO426" t="inlineStr"/>
      <c r="BP426" t="inlineStr">
        <is>
          <t>Gewebe</t>
        </is>
      </c>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c r="DA426" t="inlineStr"/>
      <c r="DB426" t="inlineStr"/>
      <c r="DC426" t="inlineStr"/>
      <c r="DD426" t="inlineStr"/>
      <c r="DE426" t="inlineStr"/>
      <c r="DF426" t="inlineStr"/>
      <c r="DG426" t="inlineStr"/>
    </row>
    <row r="427">
      <c r="A427" t="inlineStr">
        <is>
          <t>III</t>
        </is>
      </c>
      <c r="B427" t="b">
        <v>1</v>
      </c>
      <c r="C427" t="inlineStr"/>
      <c r="D427" t="inlineStr"/>
      <c r="E427" t="n">
        <v>493</v>
      </c>
      <c r="F427">
        <f>HYPERLINK("https://portal.dnb.de/opac.htm?method=simpleSearch&amp;cqlMode=true&amp;query=idn%3D994684754", "Portal")</f>
        <v/>
      </c>
      <c r="G427" t="inlineStr">
        <is>
          <t>Afl</t>
        </is>
      </c>
      <c r="H427" t="inlineStr">
        <is>
          <t>L-1551-157516830</t>
        </is>
      </c>
      <c r="I427" t="inlineStr">
        <is>
          <t>994684754</t>
        </is>
      </c>
      <c r="J427" t="inlineStr">
        <is>
          <t>III 57, 11a</t>
        </is>
      </c>
      <c r="K427" t="inlineStr">
        <is>
          <t>III 57, 11a</t>
        </is>
      </c>
      <c r="L427" t="inlineStr">
        <is>
          <t>III 57, 11 a - 3</t>
        </is>
      </c>
      <c r="M427" t="inlineStr"/>
      <c r="N427" t="inlineStr">
        <is>
          <t>[Corpus iuris civilis]</t>
        </is>
      </c>
      <c r="O427" t="inlineStr">
        <is>
          <t>Bd 3. : DIGESTVM VOVVM.||Pandectarum Iuris Ciuilis Tomus Tertius||SEXTAE PARTIS RELIQVVM, AC SEPTI=||MAM, EANDEM'QVE NOVISSIMAM DIGESRORVM PARTEM||contenens, ex Pandectis Florentinis ita in vniuersum recognitus, ac</t>
        </is>
      </c>
      <c r="P427" t="inlineStr"/>
      <c r="Q427" t="inlineStr"/>
      <c r="R427" t="inlineStr">
        <is>
          <t>Ledereinband, Schließen, erhabene Buchbeschläge</t>
        </is>
      </c>
      <c r="S427" t="inlineStr">
        <is>
          <t>&gt; 42 cm</t>
        </is>
      </c>
      <c r="T427" t="inlineStr">
        <is>
          <t>80° bis 110°, einseitig digitalisierbar?</t>
        </is>
      </c>
      <c r="U427" t="inlineStr">
        <is>
          <t>Schrift bis in den Falz</t>
        </is>
      </c>
      <c r="V427" t="inlineStr"/>
      <c r="W427" t="inlineStr">
        <is>
          <t>Kassette</t>
        </is>
      </c>
      <c r="X427" t="inlineStr">
        <is>
          <t>Nein</t>
        </is>
      </c>
      <c r="Y427" t="n">
        <v>0</v>
      </c>
      <c r="Z427" t="inlineStr"/>
      <c r="AA427" t="inlineStr"/>
      <c r="AB427" t="inlineStr"/>
      <c r="AC427" t="inlineStr"/>
      <c r="AD427" t="inlineStr"/>
      <c r="AE427" t="inlineStr"/>
      <c r="AF427" t="inlineStr"/>
      <c r="AG427" t="inlineStr"/>
      <c r="AH427" t="inlineStr"/>
      <c r="AI427" t="inlineStr">
        <is>
          <t>HD</t>
        </is>
      </c>
      <c r="AJ427" t="inlineStr"/>
      <c r="AK427" t="inlineStr"/>
      <c r="AL427" t="inlineStr">
        <is>
          <t>x</t>
        </is>
      </c>
      <c r="AM427" t="inlineStr">
        <is>
          <t>f</t>
        </is>
      </c>
      <c r="AN427" t="inlineStr"/>
      <c r="AO427" t="inlineStr"/>
      <c r="AP427" t="inlineStr"/>
      <c r="AQ427" t="inlineStr"/>
      <c r="AR427" t="inlineStr"/>
      <c r="AS427" t="inlineStr">
        <is>
          <t>Pa</t>
        </is>
      </c>
      <c r="AT427" t="inlineStr"/>
      <c r="AU427" t="inlineStr"/>
      <c r="AV427" t="inlineStr"/>
      <c r="AW427" t="inlineStr"/>
      <c r="AX427" t="inlineStr">
        <is>
          <t>x</t>
        </is>
      </c>
      <c r="AY427" t="inlineStr"/>
      <c r="AZ427" t="inlineStr"/>
      <c r="BA427" t="inlineStr"/>
      <c r="BB427" t="inlineStr"/>
      <c r="BC427" t="inlineStr">
        <is>
          <t>I/R</t>
        </is>
      </c>
      <c r="BD427" t="inlineStr">
        <is>
          <t>x</t>
        </is>
      </c>
      <c r="BE427" t="n">
        <v>0</v>
      </c>
      <c r="BF427" t="inlineStr">
        <is>
          <t>x</t>
        </is>
      </c>
      <c r="BG427" t="n">
        <v>80</v>
      </c>
      <c r="BH427" t="inlineStr"/>
      <c r="BI427" t="inlineStr"/>
      <c r="BJ427" t="inlineStr"/>
      <c r="BK427" t="inlineStr"/>
      <c r="BL427" t="inlineStr"/>
      <c r="BM427" t="inlineStr">
        <is>
          <t>n</t>
        </is>
      </c>
      <c r="BN427" t="n">
        <v>0</v>
      </c>
      <c r="BO427" t="inlineStr"/>
      <c r="BP427" t="inlineStr">
        <is>
          <t>Gewebe</t>
        </is>
      </c>
      <c r="BQ427" t="inlineStr"/>
      <c r="BR427" t="inlineStr"/>
      <c r="BS427" t="inlineStr"/>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inlineStr"/>
      <c r="DA427" t="inlineStr"/>
      <c r="DB427" t="inlineStr"/>
      <c r="DC427" t="inlineStr"/>
      <c r="DD427" t="inlineStr"/>
      <c r="DE427" t="inlineStr"/>
      <c r="DF427" t="inlineStr"/>
      <c r="DG427" t="inlineStr"/>
    </row>
    <row r="428">
      <c r="A428" t="inlineStr">
        <is>
          <t>III</t>
        </is>
      </c>
      <c r="B428" t="b">
        <v>1</v>
      </c>
      <c r="C428" t="inlineStr"/>
      <c r="D428" t="inlineStr"/>
      <c r="E428" t="n">
        <v>492</v>
      </c>
      <c r="F428">
        <f>HYPERLINK("https://portal.dnb.de/opac.htm?method=simpleSearch&amp;cqlMode=true&amp;query=idn%3D994685009", "Portal")</f>
        <v/>
      </c>
      <c r="G428" t="inlineStr">
        <is>
          <t>Afl</t>
        </is>
      </c>
      <c r="H428" t="inlineStr">
        <is>
          <t>L-1553-157517098</t>
        </is>
      </c>
      <c r="I428" t="inlineStr">
        <is>
          <t>994685009</t>
        </is>
      </c>
      <c r="J428" t="inlineStr">
        <is>
          <t>III 57, 11a</t>
        </is>
      </c>
      <c r="K428" t="inlineStr">
        <is>
          <t>III 57, 11a</t>
        </is>
      </c>
      <c r="L428" t="inlineStr">
        <is>
          <t>III 57, 11 a - 4</t>
        </is>
      </c>
      <c r="M428" t="inlineStr"/>
      <c r="N428" t="inlineStr">
        <is>
          <t>[Corpus iuris civilis]</t>
        </is>
      </c>
      <c r="O428" t="inlineStr">
        <is>
          <t>Bd 4. : CODICIS||DN. IVSTINIANI SA-||CRATISSIMI PRINCIPIS EX||REPETITA PRAELECTIONE LI-||BRI NOVEM PRIORES, AD VETSTIS-||SIMORVM EXEMPLARIVM, ATQVE AD IPSIVS||ETIAM NORDICAE EDITIONIS [QVAM HALOAN-||DEO DEBEMVS] FIDEM RECOGNITI||ET EMENDATI.||Adiactae sunt huic editioni Sanctiones aliquot Graecae ... vnáque cum illis Fran-||cisci Hotomani Latina interpretatio ...||Catalogum Consulum ...</t>
        </is>
      </c>
      <c r="P428" t="inlineStr"/>
      <c r="Q428" t="inlineStr"/>
      <c r="R428" t="inlineStr">
        <is>
          <t>Ledereinband, Schließen, erhabene Buchbeschläge</t>
        </is>
      </c>
      <c r="S428" t="inlineStr">
        <is>
          <t>&gt; 42 cm</t>
        </is>
      </c>
      <c r="T428" t="inlineStr">
        <is>
          <t>80° bis 110°, einseitig digitalisierbar?</t>
        </is>
      </c>
      <c r="U428" t="inlineStr">
        <is>
          <t>Schrift bis in den Falz</t>
        </is>
      </c>
      <c r="V428" t="inlineStr"/>
      <c r="W428" t="inlineStr">
        <is>
          <t>Kassette</t>
        </is>
      </c>
      <c r="X428" t="inlineStr">
        <is>
          <t>Nein</t>
        </is>
      </c>
      <c r="Y428" t="n">
        <v>0</v>
      </c>
      <c r="Z428" t="inlineStr"/>
      <c r="AA428" t="inlineStr"/>
      <c r="AB428" t="inlineStr"/>
      <c r="AC428" t="inlineStr"/>
      <c r="AD428" t="inlineStr"/>
      <c r="AE428" t="inlineStr"/>
      <c r="AF428" t="inlineStr"/>
      <c r="AG428" t="inlineStr"/>
      <c r="AH428" t="inlineStr"/>
      <c r="AI428" t="inlineStr">
        <is>
          <t>HD</t>
        </is>
      </c>
      <c r="AJ428" t="inlineStr"/>
      <c r="AK428" t="inlineStr"/>
      <c r="AL428" t="inlineStr">
        <is>
          <t>x</t>
        </is>
      </c>
      <c r="AM428" t="inlineStr">
        <is>
          <t>f</t>
        </is>
      </c>
      <c r="AN428" t="inlineStr"/>
      <c r="AO428" t="inlineStr"/>
      <c r="AP428" t="inlineStr"/>
      <c r="AQ428" t="inlineStr"/>
      <c r="AR428" t="inlineStr"/>
      <c r="AS428" t="inlineStr">
        <is>
          <t>Pa</t>
        </is>
      </c>
      <c r="AT428" t="inlineStr"/>
      <c r="AU428" t="inlineStr"/>
      <c r="AV428" t="inlineStr"/>
      <c r="AW428" t="inlineStr"/>
      <c r="AX428" t="inlineStr">
        <is>
          <t>x</t>
        </is>
      </c>
      <c r="AY428" t="inlineStr"/>
      <c r="AZ428" t="inlineStr"/>
      <c r="BA428" t="inlineStr"/>
      <c r="BB428" t="inlineStr"/>
      <c r="BC428" t="inlineStr">
        <is>
          <t>I/R</t>
        </is>
      </c>
      <c r="BD428" t="inlineStr">
        <is>
          <t>x</t>
        </is>
      </c>
      <c r="BE428" t="n">
        <v>0</v>
      </c>
      <c r="BF428" t="inlineStr">
        <is>
          <t>x</t>
        </is>
      </c>
      <c r="BG428" t="n">
        <v>80</v>
      </c>
      <c r="BH428" t="inlineStr"/>
      <c r="BI428" t="inlineStr"/>
      <c r="BJ428" t="inlineStr"/>
      <c r="BK428" t="inlineStr"/>
      <c r="BL428" t="inlineStr"/>
      <c r="BM428" t="inlineStr">
        <is>
          <t>n</t>
        </is>
      </c>
      <c r="BN428" t="n">
        <v>0</v>
      </c>
      <c r="BO428" t="inlineStr"/>
      <c r="BP428" t="inlineStr">
        <is>
          <t>Gewebe</t>
        </is>
      </c>
      <c r="BQ428" t="inlineStr"/>
      <c r="BR428" t="inlineStr"/>
      <c r="BS428" t="inlineStr"/>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c r="DB428" t="inlineStr"/>
      <c r="DC428" t="inlineStr"/>
      <c r="DD428" t="inlineStr"/>
      <c r="DE428" t="inlineStr"/>
      <c r="DF428" t="inlineStr"/>
      <c r="DG428" t="inlineStr"/>
    </row>
    <row r="429">
      <c r="A429" t="inlineStr">
        <is>
          <t>III</t>
        </is>
      </c>
      <c r="B429" t="b">
        <v>1</v>
      </c>
      <c r="C429" t="inlineStr"/>
      <c r="D429" t="inlineStr"/>
      <c r="E429" t="n">
        <v>485</v>
      </c>
      <c r="F429">
        <f>HYPERLINK("https://portal.dnb.de/opac.htm?method=simpleSearch&amp;cqlMode=true&amp;query=idn%3D100028736X", "Portal")</f>
        <v/>
      </c>
      <c r="G429" t="inlineStr">
        <is>
          <t>Afl</t>
        </is>
      </c>
      <c r="H429" t="inlineStr">
        <is>
          <t>L-1519-170340236</t>
        </is>
      </c>
      <c r="I429" t="inlineStr">
        <is>
          <t>100028736X</t>
        </is>
      </c>
      <c r="J429" t="inlineStr">
        <is>
          <t>III 57, 12</t>
        </is>
      </c>
      <c r="K429" t="inlineStr">
        <is>
          <t>III 57, 12</t>
        </is>
      </c>
      <c r="L429" t="inlineStr">
        <is>
          <t>III 57, 12</t>
        </is>
      </c>
      <c r="M429" t="inlineStr"/>
      <c r="N429" t="inlineStr">
        <is>
          <t>Pa[n]theologia id est toti[us] theologie|| summa i[n]comp[ar]abilis Reuere[n]di patris Raynerii|| Pisani diui ordinis predicator[um] ... recognitione|</t>
        </is>
      </c>
      <c r="O429" t="inlineStr">
        <is>
          <t xml:space="preserve">1 : </t>
        </is>
      </c>
      <c r="P429" t="inlineStr"/>
      <c r="Q429" t="inlineStr"/>
      <c r="R429" t="inlineStr"/>
      <c r="S429" t="inlineStr"/>
      <c r="T429" t="inlineStr"/>
      <c r="U429" t="inlineStr"/>
      <c r="V429" t="inlineStr"/>
      <c r="W429" t="inlineStr"/>
      <c r="X429" t="inlineStr"/>
      <c r="Y429" t="inlineStr"/>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c r="BD429" t="inlineStr"/>
      <c r="BE429" t="inlineStr"/>
      <c r="BF429" t="inlineStr"/>
      <c r="BG429" t="inlineStr"/>
      <c r="BH429" t="inlineStr"/>
      <c r="BI429" t="inlineStr"/>
      <c r="BJ429" t="inlineStr"/>
      <c r="BK429" t="inlineStr"/>
      <c r="BL429" t="inlineStr"/>
      <c r="BM429" t="inlineStr"/>
      <c r="BN429" t="n">
        <v>0</v>
      </c>
      <c r="BO429" t="inlineStr"/>
      <c r="BP429" t="inlineStr"/>
      <c r="BQ429" t="inlineStr"/>
      <c r="BR429" t="inlineStr"/>
      <c r="BS429" t="inlineStr"/>
      <c r="BT429" t="inlineStr"/>
      <c r="BU429" t="inlineStr"/>
      <c r="BV429" t="inlineStr"/>
      <c r="BW429" t="inlineStr"/>
      <c r="BX429" t="inlineStr"/>
      <c r="BY429" t="inlineStr"/>
      <c r="BZ429" t="inlineStr"/>
      <c r="CA429" t="inlineStr"/>
      <c r="CB429" t="inlineStr"/>
      <c r="CC429" t="inlineStr"/>
      <c r="CD429" t="inlineStr"/>
      <c r="CE429" t="inlineStr"/>
      <c r="CF429" t="inlineStr"/>
      <c r="CG429" t="inlineStr"/>
      <c r="CH429" t="inlineStr"/>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c r="DA429" t="inlineStr"/>
      <c r="DB429" t="inlineStr"/>
      <c r="DC429" t="inlineStr"/>
      <c r="DD429" t="inlineStr"/>
      <c r="DE429" t="inlineStr"/>
      <c r="DF429" t="inlineStr"/>
      <c r="DG429" t="inlineStr"/>
    </row>
    <row r="430">
      <c r="A430" t="inlineStr">
        <is>
          <t>III</t>
        </is>
      </c>
      <c r="B430" t="b">
        <v>1</v>
      </c>
      <c r="C430" t="inlineStr"/>
      <c r="D430" t="inlineStr"/>
      <c r="E430" t="n">
        <v>484</v>
      </c>
      <c r="F430">
        <f>HYPERLINK("https://portal.dnb.de/opac.htm?method=simpleSearch&amp;cqlMode=true&amp;query=idn%3D1000287688", "Portal")</f>
        <v/>
      </c>
      <c r="G430" t="inlineStr">
        <is>
          <t>Afl</t>
        </is>
      </c>
      <c r="H430" t="inlineStr">
        <is>
          <t>L-1519-170340473</t>
        </is>
      </c>
      <c r="I430" t="inlineStr">
        <is>
          <t>1000287688</t>
        </is>
      </c>
      <c r="J430" t="inlineStr">
        <is>
          <t>III 57, 12</t>
        </is>
      </c>
      <c r="K430" t="inlineStr">
        <is>
          <t>III 57, 12</t>
        </is>
      </c>
      <c r="L430" t="inlineStr">
        <is>
          <t>III 57, 12 - 2</t>
        </is>
      </c>
      <c r="M430" t="inlineStr"/>
      <c r="N430" t="inlineStr">
        <is>
          <t>Pa[n]theologia id est toti[us] theologie|| summa i[n]comp[ar]abilis Reuere[n]di patris Raynerii|| Pisani diui ordinis predicator[um] ... recognitione|</t>
        </is>
      </c>
      <c r="O430" t="inlineStr">
        <is>
          <t xml:space="preserve">2 : </t>
        </is>
      </c>
      <c r="P430" t="inlineStr"/>
      <c r="Q430" t="inlineStr"/>
      <c r="R430" t="inlineStr">
        <is>
          <t>Ledereinband</t>
        </is>
      </c>
      <c r="S430" t="inlineStr">
        <is>
          <t>bis 35 cm</t>
        </is>
      </c>
      <c r="T430" t="inlineStr">
        <is>
          <t>80° bis 110°, einseitig digitalisierbar?</t>
        </is>
      </c>
      <c r="U430" t="inlineStr">
        <is>
          <t>fester Rücken mit Schmuckprägung, Schrift bis in den Falz</t>
        </is>
      </c>
      <c r="V430" t="inlineStr"/>
      <c r="W430" t="inlineStr">
        <is>
          <t>Kassette</t>
        </is>
      </c>
      <c r="X430" t="inlineStr">
        <is>
          <t>Nein</t>
        </is>
      </c>
      <c r="Y430" t="n">
        <v>0</v>
      </c>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inlineStr"/>
      <c r="BI430" t="inlineStr"/>
      <c r="BJ430" t="inlineStr"/>
      <c r="BK430" t="inlineStr"/>
      <c r="BL430" t="inlineStr"/>
      <c r="BM430" t="inlineStr"/>
      <c r="BN430" t="n">
        <v>0</v>
      </c>
      <c r="BO430" t="inlineStr"/>
      <c r="BP430" t="inlineStr"/>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c r="DB430" t="inlineStr"/>
      <c r="DC430" t="inlineStr"/>
      <c r="DD430" t="inlineStr"/>
      <c r="DE430" t="inlineStr"/>
      <c r="DF430" t="inlineStr"/>
      <c r="DG430" t="inlineStr"/>
    </row>
    <row r="431">
      <c r="A431" t="inlineStr">
        <is>
          <t>III</t>
        </is>
      </c>
      <c r="B431" t="b">
        <v>1</v>
      </c>
      <c r="C431" t="inlineStr"/>
      <c r="D431" t="inlineStr"/>
      <c r="E431" t="n">
        <v>486</v>
      </c>
      <c r="F431">
        <f>HYPERLINK("https://portal.dnb.de/opac.htm?method=simpleSearch&amp;cqlMode=true&amp;query=idn%3D993865046", "Portal")</f>
        <v/>
      </c>
      <c r="G431" t="inlineStr">
        <is>
          <t>Aal</t>
        </is>
      </c>
      <c r="H431" t="inlineStr">
        <is>
          <t>L-1551-153918721</t>
        </is>
      </c>
      <c r="I431" t="inlineStr">
        <is>
          <t>993865046</t>
        </is>
      </c>
      <c r="J431" t="inlineStr">
        <is>
          <t>III 57, 13</t>
        </is>
      </c>
      <c r="K431" t="inlineStr">
        <is>
          <t>III 57, 13</t>
        </is>
      </c>
      <c r="L431" t="inlineStr">
        <is>
          <t>III 57, 13</t>
        </is>
      </c>
      <c r="M431" t="inlineStr"/>
      <c r="N431" t="inlineStr">
        <is>
          <t>EMBLEMATA|| D. A. ALCIATI,|| denuo ab ipso Autorre|| recognita, ac quae desi||derabatur imagini||bus locupletata,|| Accesserunt noua aliquot ab|| Auto</t>
        </is>
      </c>
      <c r="O431" t="inlineStr">
        <is>
          <t xml:space="preserve"> : </t>
        </is>
      </c>
      <c r="P431" t="inlineStr"/>
      <c r="Q431" t="inlineStr"/>
      <c r="R431" t="inlineStr"/>
      <c r="S431" t="inlineStr"/>
      <c r="T431" t="inlineStr"/>
      <c r="U431" t="inlineStr"/>
      <c r="V431" t="inlineStr"/>
      <c r="W431" t="inlineStr"/>
      <c r="X431" t="inlineStr"/>
      <c r="Y431" t="inlineStr"/>
      <c r="Z431" t="inlineStr"/>
      <c r="AA431" t="inlineStr"/>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inlineStr"/>
      <c r="BI431" t="inlineStr"/>
      <c r="BJ431" t="inlineStr"/>
      <c r="BK431" t="inlineStr"/>
      <c r="BL431" t="inlineStr"/>
      <c r="BM431" t="inlineStr"/>
      <c r="BN431" t="n">
        <v>0</v>
      </c>
      <c r="BO431" t="inlineStr"/>
      <c r="BP431" t="inlineStr"/>
      <c r="BQ431" t="inlineStr"/>
      <c r="BR431" t="inlineStr"/>
      <c r="BS431" t="inlineStr"/>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c r="DB431" t="inlineStr"/>
      <c r="DC431" t="inlineStr"/>
      <c r="DD431" t="inlineStr"/>
      <c r="DE431" t="inlineStr"/>
      <c r="DF431" t="inlineStr"/>
      <c r="DG431" t="inlineStr"/>
    </row>
    <row r="432">
      <c r="A432" t="inlineStr">
        <is>
          <t>III</t>
        </is>
      </c>
      <c r="B432" t="b">
        <v>1</v>
      </c>
      <c r="C432" t="inlineStr">
        <is>
          <t>x</t>
        </is>
      </c>
      <c r="D432" t="inlineStr"/>
      <c r="E432" t="inlineStr"/>
      <c r="F432">
        <f>HYPERLINK("https://portal.dnb.de/opac.htm?method=simpleSearch&amp;cqlMode=true&amp;query=idn%3D1250541085", "Portal")</f>
        <v/>
      </c>
      <c r="G432" t="inlineStr">
        <is>
          <t>Qd</t>
        </is>
      </c>
      <c r="H432" t="inlineStr">
        <is>
          <t>L-1556-760221472</t>
        </is>
      </c>
      <c r="I432" t="inlineStr">
        <is>
          <t>1250541085</t>
        </is>
      </c>
      <c r="J432" t="inlineStr">
        <is>
          <t>III 57, 14</t>
        </is>
      </c>
      <c r="K432" t="inlineStr">
        <is>
          <t>III 57, 14</t>
        </is>
      </c>
      <c r="L432" t="inlineStr">
        <is>
          <t>III 57, 14</t>
        </is>
      </c>
      <c r="M432" t="inlineStr"/>
      <c r="N432" t="inlineStr">
        <is>
          <t xml:space="preserve">Sammelband mit zwei Drucken von Guillaume Rouille : </t>
        </is>
      </c>
      <c r="O432" t="inlineStr">
        <is>
          <t xml:space="preserve"> : </t>
        </is>
      </c>
      <c r="P432" t="inlineStr">
        <is>
          <t>X</t>
        </is>
      </c>
      <c r="Q432" t="inlineStr">
        <is>
          <t>9000,00 EUR</t>
        </is>
      </c>
      <c r="R432" t="inlineStr">
        <is>
          <t>Ledereinband</t>
        </is>
      </c>
      <c r="S432" t="inlineStr">
        <is>
          <t>bis 35 cm</t>
        </is>
      </c>
      <c r="T432" t="inlineStr">
        <is>
          <t>80° bis 110°, einseitig digitalisierbar?</t>
        </is>
      </c>
      <c r="U432" t="inlineStr">
        <is>
          <t>fester Rücken mit Schmuckprägung, gefaltete Blätter</t>
        </is>
      </c>
      <c r="V432" t="inlineStr"/>
      <c r="W432" t="inlineStr">
        <is>
          <t>Kassette</t>
        </is>
      </c>
      <c r="X432" t="inlineStr">
        <is>
          <t>Nein</t>
        </is>
      </c>
      <c r="Y432" t="n">
        <v>0</v>
      </c>
      <c r="Z432" t="inlineStr"/>
      <c r="AA432" t="inlineStr"/>
      <c r="AB432" t="inlineStr"/>
      <c r="AC432" t="inlineStr"/>
      <c r="AD432" t="inlineStr"/>
      <c r="AE432" t="inlineStr"/>
      <c r="AF432" t="inlineStr"/>
      <c r="AG432" t="inlineStr"/>
      <c r="AH432" t="inlineStr"/>
      <c r="AI432" t="inlineStr">
        <is>
          <t>L</t>
        </is>
      </c>
      <c r="AJ432" t="inlineStr"/>
      <c r="AK432" t="inlineStr"/>
      <c r="AL432" t="inlineStr">
        <is>
          <t>x</t>
        </is>
      </c>
      <c r="AM432" t="inlineStr">
        <is>
          <t>h/E</t>
        </is>
      </c>
      <c r="AN432" t="inlineStr"/>
      <c r="AO432" t="inlineStr"/>
      <c r="AP432" t="inlineStr"/>
      <c r="AQ432" t="inlineStr"/>
      <c r="AR432" t="inlineStr"/>
      <c r="AS432" t="inlineStr">
        <is>
          <t>Pa</t>
        </is>
      </c>
      <c r="AT432" t="inlineStr"/>
      <c r="AU432" t="inlineStr"/>
      <c r="AV432" t="inlineStr"/>
      <c r="AW432" t="inlineStr"/>
      <c r="AX432" t="inlineStr"/>
      <c r="AY432" t="inlineStr"/>
      <c r="AZ432" t="inlineStr">
        <is>
          <t>x</t>
        </is>
      </c>
      <c r="BA432" t="inlineStr">
        <is>
          <t>B: 22x32
F: 38x42</t>
        </is>
      </c>
      <c r="BB432" t="inlineStr"/>
      <c r="BC432" t="inlineStr"/>
      <c r="BD432" t="inlineStr"/>
      <c r="BE432" t="inlineStr"/>
      <c r="BF432" t="inlineStr"/>
      <c r="BG432" t="n">
        <v>110</v>
      </c>
      <c r="BH432" t="inlineStr"/>
      <c r="BI432" t="inlineStr"/>
      <c r="BJ432" t="inlineStr"/>
      <c r="BK432" t="inlineStr">
        <is>
          <t>x</t>
        </is>
      </c>
      <c r="BL432" t="inlineStr"/>
      <c r="BM432" t="inlineStr">
        <is>
          <t>ja vor</t>
        </is>
      </c>
      <c r="BN432" t="n">
        <v>0.5</v>
      </c>
      <c r="BO432" t="inlineStr"/>
      <c r="BP432" t="inlineStr">
        <is>
          <t>Gewebe</t>
        </is>
      </c>
      <c r="BQ432" t="inlineStr"/>
      <c r="BR432" t="inlineStr"/>
      <c r="BS432" t="inlineStr"/>
      <c r="BT432" t="inlineStr"/>
      <c r="BU432" t="inlineStr"/>
      <c r="BV432" t="inlineStr"/>
      <c r="BW432" t="inlineStr"/>
      <c r="BX432" t="inlineStr"/>
      <c r="BY432" t="inlineStr"/>
      <c r="BZ432" t="inlineStr"/>
      <c r="CA432" t="inlineStr"/>
      <c r="CB432" t="inlineStr"/>
      <c r="CC432" t="inlineStr"/>
      <c r="CD432" t="inlineStr"/>
      <c r="CE432" t="inlineStr"/>
      <c r="CF432" t="inlineStr"/>
      <c r="CG432" t="inlineStr"/>
      <c r="CH432" t="inlineStr"/>
      <c r="CI432" t="inlineStr"/>
      <c r="CJ432" t="inlineStr"/>
      <c r="CK432" t="inlineStr"/>
      <c r="CL432" t="inlineStr"/>
      <c r="CM432" t="inlineStr"/>
      <c r="CN432" t="inlineStr"/>
      <c r="CO432" t="inlineStr"/>
      <c r="CP432" t="inlineStr"/>
      <c r="CQ432" t="inlineStr"/>
      <c r="CR432" t="inlineStr"/>
      <c r="CS432" t="inlineStr"/>
      <c r="CT432" t="inlineStr"/>
      <c r="CU432" t="inlineStr"/>
      <c r="CV432" t="inlineStr"/>
      <c r="CW432" t="inlineStr">
        <is>
          <t>x</t>
        </is>
      </c>
      <c r="CX432" t="inlineStr"/>
      <c r="CY432" t="inlineStr"/>
      <c r="CZ432" t="inlineStr"/>
      <c r="DA432" t="inlineStr"/>
      <c r="DB432" t="inlineStr"/>
      <c r="DC432" t="inlineStr"/>
      <c r="DD432" t="inlineStr"/>
      <c r="DE432" t="inlineStr"/>
      <c r="DF432" t="n">
        <v>0.5</v>
      </c>
      <c r="DG432" t="inlineStr">
        <is>
          <t>Falttafel mit Rissen</t>
        </is>
      </c>
    </row>
    <row r="433">
      <c r="A433" t="inlineStr">
        <is>
          <t>III</t>
        </is>
      </c>
      <c r="B433" t="b">
        <v>1</v>
      </c>
      <c r="C433" t="inlineStr"/>
      <c r="D433" t="inlineStr"/>
      <c r="E433" t="n">
        <v>489</v>
      </c>
      <c r="F433">
        <f>HYPERLINK("https://portal.dnb.de/opac.htm?method=simpleSearch&amp;cqlMode=true&amp;query=idn%3D1066800626", "Portal")</f>
        <v/>
      </c>
      <c r="G433" t="inlineStr">
        <is>
          <t>Aaf</t>
        </is>
      </c>
      <c r="H433" t="inlineStr">
        <is>
          <t>L-1555-315220481</t>
        </is>
      </c>
      <c r="I433" t="inlineStr">
        <is>
          <t>1066800626</t>
        </is>
      </c>
      <c r="J433" t="inlineStr">
        <is>
          <t>III 57, 15</t>
        </is>
      </c>
      <c r="K433" t="inlineStr">
        <is>
          <t>III 57, 15</t>
        </is>
      </c>
      <c r="L433" t="inlineStr">
        <is>
          <t>III 57, 15</t>
        </is>
      </c>
      <c r="M433" t="inlineStr"/>
      <c r="N433" t="inlineStr">
        <is>
          <t xml:space="preserve">Breviarivm Romanvm, ex sacra potissimum scriptura, &amp; probatis sanctorum historiis nuper confectum, ac denuo per eundem authorem accuratius recognitum </t>
        </is>
      </c>
      <c r="O433" t="inlineStr">
        <is>
          <t xml:space="preserve"> : </t>
        </is>
      </c>
      <c r="P433" t="inlineStr">
        <is>
          <t>X</t>
        </is>
      </c>
      <c r="Q433" t="inlineStr">
        <is>
          <t>500,00 EUR</t>
        </is>
      </c>
      <c r="R433" t="inlineStr">
        <is>
          <t>Ledereinband</t>
        </is>
      </c>
      <c r="S433" t="inlineStr">
        <is>
          <t>bis 25 cm</t>
        </is>
      </c>
      <c r="T433" t="inlineStr">
        <is>
          <t>nur sehr geringer Öffnungswinkel</t>
        </is>
      </c>
      <c r="U433" t="inlineStr">
        <is>
          <t>fester Rücken mit Schmuckprägung</t>
        </is>
      </c>
      <c r="V433" t="inlineStr"/>
      <c r="W433" t="inlineStr">
        <is>
          <t>Kassette</t>
        </is>
      </c>
      <c r="X433" t="inlineStr">
        <is>
          <t>Nein</t>
        </is>
      </c>
      <c r="Y433" t="n">
        <v>0</v>
      </c>
      <c r="Z433" t="inlineStr"/>
      <c r="AA433" t="inlineStr"/>
      <c r="AB433" t="inlineStr"/>
      <c r="AC433" t="inlineStr"/>
      <c r="AD433" t="inlineStr"/>
      <c r="AE433" t="inlineStr"/>
      <c r="AF433" t="inlineStr"/>
      <c r="AG433" t="inlineStr"/>
      <c r="AH433" t="inlineStr"/>
      <c r="AI433" t="inlineStr">
        <is>
          <t>L</t>
        </is>
      </c>
      <c r="AJ433" t="inlineStr"/>
      <c r="AK433" t="inlineStr"/>
      <c r="AL433" t="inlineStr">
        <is>
          <t>x</t>
        </is>
      </c>
      <c r="AM433" t="inlineStr">
        <is>
          <t>f/V</t>
        </is>
      </c>
      <c r="AN433" t="inlineStr"/>
      <c r="AO433" t="inlineStr"/>
      <c r="AP433" t="inlineStr"/>
      <c r="AQ433" t="inlineStr"/>
      <c r="AR433" t="inlineStr"/>
      <c r="AS433" t="inlineStr">
        <is>
          <t>Pa</t>
        </is>
      </c>
      <c r="AT433" t="inlineStr"/>
      <c r="AU433" t="inlineStr"/>
      <c r="AV433" t="inlineStr"/>
      <c r="AW433" t="inlineStr"/>
      <c r="AX433" t="inlineStr"/>
      <c r="AY433" t="inlineStr"/>
      <c r="AZ433" t="inlineStr"/>
      <c r="BA433" t="inlineStr"/>
      <c r="BB433" t="inlineStr"/>
      <c r="BC433" t="inlineStr"/>
      <c r="BD433" t="inlineStr"/>
      <c r="BE433" t="n">
        <v>4</v>
      </c>
      <c r="BF433" t="inlineStr"/>
      <c r="BG433" t="n">
        <v>0</v>
      </c>
      <c r="BH433" t="inlineStr">
        <is>
          <t xml:space="preserve">
weniger als 45° zu öffnen</t>
        </is>
      </c>
      <c r="BI433" t="inlineStr"/>
      <c r="BJ433" t="inlineStr"/>
      <c r="BK433" t="inlineStr"/>
      <c r="BL433" t="inlineStr"/>
      <c r="BM433" t="inlineStr">
        <is>
          <t>n</t>
        </is>
      </c>
      <c r="BN433" t="n">
        <v>0</v>
      </c>
      <c r="BO433" t="inlineStr"/>
      <c r="BP433" t="inlineStr">
        <is>
          <t>Gewebe</t>
        </is>
      </c>
      <c r="BQ433" t="inlineStr"/>
      <c r="BR433" t="inlineStr"/>
      <c r="BS433" t="inlineStr"/>
      <c r="BT433" t="inlineStr"/>
      <c r="BU433" t="inlineStr"/>
      <c r="BV433" t="inlineStr"/>
      <c r="BW433" t="inlineStr"/>
      <c r="BX433" t="inlineStr"/>
      <c r="BY433" t="inlineStr"/>
      <c r="BZ433" t="inlineStr"/>
      <c r="CA433" t="inlineStr"/>
      <c r="CB433" t="inlineStr"/>
      <c r="CC433" t="inlineStr"/>
      <c r="CD433" t="inlineStr"/>
      <c r="CE433" t="inlineStr"/>
      <c r="CF433" t="inlineStr"/>
      <c r="CG433" t="inlineStr"/>
      <c r="CH433" t="inlineStr"/>
      <c r="CI433" t="inlineStr"/>
      <c r="CJ433" t="inlineStr"/>
      <c r="CK433" t="inlineStr"/>
      <c r="CL433" t="inlineStr"/>
      <c r="CM433" t="inlineStr"/>
      <c r="CN433" t="inlineStr"/>
      <c r="CO433" t="inlineStr"/>
      <c r="CP433" t="inlineStr"/>
      <c r="CQ433" t="inlineStr"/>
      <c r="CR433" t="inlineStr"/>
      <c r="CS433" t="inlineStr"/>
      <c r="CT433" t="inlineStr"/>
      <c r="CU433" t="inlineStr"/>
      <c r="CV433" t="inlineStr"/>
      <c r="CW433" t="inlineStr"/>
      <c r="CX433" t="inlineStr"/>
      <c r="CY433" t="inlineStr"/>
      <c r="CZ433" t="inlineStr"/>
      <c r="DA433" t="inlineStr"/>
      <c r="DB433" t="inlineStr"/>
      <c r="DC433" t="inlineStr"/>
      <c r="DD433" t="inlineStr"/>
      <c r="DE433" t="inlineStr"/>
      <c r="DF433" t="inlineStr"/>
      <c r="DG433" t="inlineStr"/>
    </row>
    <row r="434">
      <c r="A434" t="inlineStr">
        <is>
          <t>III</t>
        </is>
      </c>
      <c r="B434" t="b">
        <v>1</v>
      </c>
      <c r="C434" t="inlineStr"/>
      <c r="D434" t="inlineStr"/>
      <c r="E434" t="inlineStr"/>
      <c r="F434">
        <f>HYPERLINK("https://portal.dnb.de/opac.htm?method=simpleSearch&amp;cqlMode=true&amp;query=idn%3D1138316458", "Portal")</f>
        <v/>
      </c>
      <c r="G434" t="inlineStr">
        <is>
          <t>Qd</t>
        </is>
      </c>
      <c r="H434" t="inlineStr">
        <is>
          <t>L-9999-414833384</t>
        </is>
      </c>
      <c r="I434" t="inlineStr">
        <is>
          <t>1138316458</t>
        </is>
      </c>
      <c r="J434" t="inlineStr">
        <is>
          <t>III 58, 1</t>
        </is>
      </c>
      <c r="K434" t="inlineStr">
        <is>
          <t>III 58, 1</t>
        </is>
      </c>
      <c r="L434" t="inlineStr">
        <is>
          <t>III 58, 1</t>
        </is>
      </c>
      <c r="M434" t="inlineStr"/>
      <c r="N434" t="inlineStr">
        <is>
          <t xml:space="preserve">Sammelband mit "Füllmaterial" : </t>
        </is>
      </c>
      <c r="O434" t="inlineStr">
        <is>
          <t xml:space="preserve"> : </t>
        </is>
      </c>
      <c r="P434" t="inlineStr"/>
      <c r="Q434" t="inlineStr"/>
      <c r="R434" t="inlineStr"/>
      <c r="S434" t="inlineStr"/>
      <c r="T434" t="inlineStr"/>
      <c r="U434" t="inlineStr"/>
      <c r="V434" t="inlineStr"/>
      <c r="W434" t="inlineStr"/>
      <c r="X434" t="inlineStr"/>
      <c r="Y434" t="inlineStr"/>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c r="BD434" t="inlineStr"/>
      <c r="BE434" t="inlineStr"/>
      <c r="BF434" t="inlineStr"/>
      <c r="BG434" t="inlineStr"/>
      <c r="BH434" t="inlineStr"/>
      <c r="BI434" t="inlineStr"/>
      <c r="BJ434" t="inlineStr"/>
      <c r="BK434" t="inlineStr"/>
      <c r="BL434" t="inlineStr"/>
      <c r="BM434" t="inlineStr"/>
      <c r="BN434" t="n">
        <v>0</v>
      </c>
      <c r="BO434" t="inlineStr"/>
      <c r="BP434" t="inlineStr"/>
      <c r="BQ434" t="inlineStr"/>
      <c r="BR434" t="inlineStr"/>
      <c r="BS434" t="inlineStr"/>
      <c r="BT434" t="inlineStr"/>
      <c r="BU434" t="inlineStr"/>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c r="DA434" t="inlineStr"/>
      <c r="DB434" t="inlineStr"/>
      <c r="DC434" t="inlineStr"/>
      <c r="DD434" t="inlineStr"/>
      <c r="DE434" t="inlineStr"/>
      <c r="DF434" t="inlineStr"/>
      <c r="DG434" t="inlineStr"/>
    </row>
    <row r="435">
      <c r="A435" t="inlineStr">
        <is>
          <t>III</t>
        </is>
      </c>
      <c r="B435" t="b">
        <v>1</v>
      </c>
      <c r="C435" t="inlineStr"/>
      <c r="D435" t="inlineStr"/>
      <c r="E435" t="n">
        <v>502</v>
      </c>
      <c r="F435">
        <f>HYPERLINK("https://portal.dnb.de/opac.htm?method=simpleSearch&amp;cqlMode=true&amp;query=idn%3D993918859", "Portal")</f>
        <v/>
      </c>
      <c r="G435" t="inlineStr">
        <is>
          <t>Aal</t>
        </is>
      </c>
      <c r="H435" t="inlineStr">
        <is>
          <t>L-1534-154007358</t>
        </is>
      </c>
      <c r="I435" t="inlineStr">
        <is>
          <t>993918859</t>
        </is>
      </c>
      <c r="J435" t="inlineStr">
        <is>
          <t>III 58, 2</t>
        </is>
      </c>
      <c r="K435" t="inlineStr">
        <is>
          <t>III 58, 2</t>
        </is>
      </c>
      <c r="L435" t="inlineStr">
        <is>
          <t>III 58, 2</t>
        </is>
      </c>
      <c r="M435" t="inlineStr"/>
      <c r="N435" t="inlineStr">
        <is>
          <t xml:space="preserve">Ein @kurtzer|| auszog, aus der|| Cronica Naucle-||ri, wie vntreulich vnd ver||reterlich die Bebste zu|| Rom mit den Romi-||schen Keysern gehan-||delt </t>
        </is>
      </c>
      <c r="O435" t="inlineStr">
        <is>
          <t xml:space="preserve"> : </t>
        </is>
      </c>
      <c r="P435" t="inlineStr">
        <is>
          <t>X</t>
        </is>
      </c>
      <c r="Q435" t="inlineStr"/>
      <c r="R435" t="inlineStr">
        <is>
          <t>Gewebeeinband</t>
        </is>
      </c>
      <c r="S435" t="inlineStr">
        <is>
          <t>bis 25 cm</t>
        </is>
      </c>
      <c r="T435" t="inlineStr">
        <is>
          <t>80° bis 110°, einseitig digitalisierbar?</t>
        </is>
      </c>
      <c r="U435" t="inlineStr">
        <is>
          <t>hohler Rücken</t>
        </is>
      </c>
      <c r="V435" t="inlineStr"/>
      <c r="W435" t="inlineStr"/>
      <c r="X435" t="inlineStr"/>
      <c r="Y435" t="n">
        <v>0</v>
      </c>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inlineStr"/>
      <c r="BI435" t="inlineStr"/>
      <c r="BJ435" t="inlineStr"/>
      <c r="BK435" t="inlineStr"/>
      <c r="BL435" t="inlineStr"/>
      <c r="BM435" t="inlineStr"/>
      <c r="BN435" t="n">
        <v>0</v>
      </c>
      <c r="BO435" t="inlineStr"/>
      <c r="BP435" t="inlineStr"/>
      <c r="BQ435" t="inlineStr"/>
      <c r="BR435" t="inlineStr"/>
      <c r="BS435" t="inlineStr"/>
      <c r="BT435" t="inlineStr"/>
      <c r="BU435" t="inlineStr"/>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c r="DA435" t="inlineStr"/>
      <c r="DB435" t="inlineStr"/>
      <c r="DC435" t="inlineStr"/>
      <c r="DD435" t="inlineStr"/>
      <c r="DE435" t="inlineStr"/>
      <c r="DF435" t="inlineStr"/>
      <c r="DG435" t="inlineStr"/>
    </row>
    <row r="436">
      <c r="A436" t="inlineStr">
        <is>
          <t>III</t>
        </is>
      </c>
      <c r="B436" t="b">
        <v>1</v>
      </c>
      <c r="C436" t="inlineStr"/>
      <c r="D436" t="inlineStr"/>
      <c r="E436" t="n">
        <v>503</v>
      </c>
      <c r="F436">
        <f>HYPERLINK("https://portal.dnb.de/opac.htm?method=simpleSearch&amp;cqlMode=true&amp;query=idn%3D1066961964", "Portal")</f>
        <v/>
      </c>
      <c r="G436" t="inlineStr">
        <is>
          <t>Aaf</t>
        </is>
      </c>
      <c r="H436" t="inlineStr">
        <is>
          <t>L-1537-315492368</t>
        </is>
      </c>
      <c r="I436" t="inlineStr">
        <is>
          <t>1066961964</t>
        </is>
      </c>
      <c r="J436" t="inlineStr">
        <is>
          <t>III 58, 3</t>
        </is>
      </c>
      <c r="K436" t="inlineStr">
        <is>
          <t>III 58, 3</t>
        </is>
      </c>
      <c r="L436" t="inlineStr">
        <is>
          <t>III 58, 3</t>
        </is>
      </c>
      <c r="M436" t="inlineStr"/>
      <c r="N436" t="inlineStr">
        <is>
          <t>¬DEr¬ xv. Psalm Da=||uids/ ausgelegt durch D. Vr=||banum Rhegium.|| Sampt einer Christlichen vnterrich=||tung/ von einem vnchristlichen vnerh#[oe]r=||</t>
        </is>
      </c>
      <c r="O436" t="inlineStr">
        <is>
          <t xml:space="preserve"> : </t>
        </is>
      </c>
      <c r="P436" t="inlineStr"/>
      <c r="Q436" t="inlineStr"/>
      <c r="R436" t="inlineStr"/>
      <c r="S436" t="inlineStr"/>
      <c r="T436" t="inlineStr"/>
      <c r="U436" t="inlineStr"/>
      <c r="V436" t="inlineStr"/>
      <c r="W436" t="inlineStr"/>
      <c r="X436" t="inlineStr"/>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c r="BD436" t="inlineStr"/>
      <c r="BE436" t="inlineStr"/>
      <c r="BF436" t="inlineStr"/>
      <c r="BG436" t="inlineStr"/>
      <c r="BH436" t="inlineStr"/>
      <c r="BI436" t="inlineStr"/>
      <c r="BJ436" t="inlineStr"/>
      <c r="BK436" t="inlineStr"/>
      <c r="BL436" t="inlineStr"/>
      <c r="BM436" t="inlineStr"/>
      <c r="BN436" t="n">
        <v>0</v>
      </c>
      <c r="BO436" t="inlineStr"/>
      <c r="BP436" t="inlineStr"/>
      <c r="BQ436" t="inlineStr"/>
      <c r="BR436" t="inlineStr"/>
      <c r="BS436" t="inlineStr"/>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c r="DB436" t="inlineStr"/>
      <c r="DC436" t="inlineStr"/>
      <c r="DD436" t="inlineStr"/>
      <c r="DE436" t="inlineStr"/>
      <c r="DF436" t="inlineStr"/>
      <c r="DG436" t="inlineStr"/>
    </row>
    <row r="437">
      <c r="A437" t="inlineStr">
        <is>
          <t>III</t>
        </is>
      </c>
      <c r="B437" t="b">
        <v>1</v>
      </c>
      <c r="C437" t="inlineStr"/>
      <c r="D437" t="inlineStr"/>
      <c r="E437" t="n">
        <v>505</v>
      </c>
      <c r="F437">
        <f>HYPERLINK("https://portal.dnb.de/opac.htm?method=simpleSearch&amp;cqlMode=true&amp;query=idn%3D99897188X", "Portal")</f>
        <v/>
      </c>
      <c r="G437" t="inlineStr">
        <is>
          <t>Aal</t>
        </is>
      </c>
      <c r="H437" t="inlineStr">
        <is>
          <t>L-1546-167294946</t>
        </is>
      </c>
      <c r="I437" t="inlineStr">
        <is>
          <t>99897188X</t>
        </is>
      </c>
      <c r="J437" t="inlineStr">
        <is>
          <t>III 58, 3 a</t>
        </is>
      </c>
      <c r="K437" t="inlineStr">
        <is>
          <t>III 58, 3 a</t>
        </is>
      </c>
      <c r="L437" t="inlineStr">
        <is>
          <t>III 58, 3 a</t>
        </is>
      </c>
      <c r="M437" t="inlineStr"/>
      <c r="N437" t="inlineStr">
        <is>
          <t>Ewiger: Göttlich=||er, Allmechtiger Maiestat|| Declaration [Deklaration]|| : [Holzschnitt]|| Wider Kaiser Carl, König zu Hispanien etc. Vnd|| Bapst Pa</t>
        </is>
      </c>
      <c r="O437" t="inlineStr">
        <is>
          <t xml:space="preserve"> : </t>
        </is>
      </c>
      <c r="P437" t="inlineStr"/>
      <c r="Q437" t="inlineStr"/>
      <c r="R437" t="inlineStr">
        <is>
          <t>Papier- oder Pappeinband</t>
        </is>
      </c>
      <c r="S437" t="inlineStr">
        <is>
          <t>bis 25 cm</t>
        </is>
      </c>
      <c r="T437" t="inlineStr">
        <is>
          <t>180°</t>
        </is>
      </c>
      <c r="U437" t="inlineStr"/>
      <c r="V437" t="inlineStr"/>
      <c r="W437" t="inlineStr"/>
      <c r="X437" t="inlineStr"/>
      <c r="Y437" t="n">
        <v>0</v>
      </c>
      <c r="Z437" t="inlineStr"/>
      <c r="AA437" t="inlineStr"/>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inlineStr"/>
      <c r="BI437" t="inlineStr"/>
      <c r="BJ437" t="inlineStr"/>
      <c r="BK437" t="inlineStr"/>
      <c r="BL437" t="inlineStr"/>
      <c r="BM437" t="inlineStr"/>
      <c r="BN437" t="n">
        <v>0</v>
      </c>
      <c r="BO437" t="inlineStr"/>
      <c r="BP437" t="inlineStr"/>
      <c r="BQ437" t="inlineStr"/>
      <c r="BR437" t="inlineStr"/>
      <c r="BS437" t="inlineStr"/>
      <c r="BT437" t="inlineStr"/>
      <c r="BU437" t="inlineStr"/>
      <c r="BV437" t="inlineStr"/>
      <c r="BW437" t="inlineStr"/>
      <c r="BX437" t="inlineStr"/>
      <c r="BY437" t="inlineStr"/>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c r="DB437" t="inlineStr"/>
      <c r="DC437" t="inlineStr"/>
      <c r="DD437" t="inlineStr"/>
      <c r="DE437" t="inlineStr"/>
      <c r="DF437" t="inlineStr"/>
      <c r="DG437" t="inlineStr"/>
    </row>
    <row r="438">
      <c r="A438" t="inlineStr">
        <is>
          <t>III</t>
        </is>
      </c>
      <c r="B438" t="b">
        <v>1</v>
      </c>
      <c r="C438" t="inlineStr"/>
      <c r="D438" t="inlineStr"/>
      <c r="E438" t="n">
        <v>506</v>
      </c>
      <c r="F438">
        <f>HYPERLINK("https://portal.dnb.de/opac.htm?method=simpleSearch&amp;cqlMode=true&amp;query=idn%3D993918581", "Portal")</f>
        <v/>
      </c>
      <c r="G438" t="inlineStr">
        <is>
          <t>Aal</t>
        </is>
      </c>
      <c r="H438" t="inlineStr">
        <is>
          <t>L-1548-154006998</t>
        </is>
      </c>
      <c r="I438" t="inlineStr">
        <is>
          <t>993918581</t>
        </is>
      </c>
      <c r="J438" t="inlineStr">
        <is>
          <t>III 58, 3 b</t>
        </is>
      </c>
      <c r="K438" t="inlineStr">
        <is>
          <t>III 58, 3 b</t>
        </is>
      </c>
      <c r="L438" t="inlineStr">
        <is>
          <t>III 58, 3 b</t>
        </is>
      </c>
      <c r="M438" t="inlineStr"/>
      <c r="N438" t="inlineStr">
        <is>
          <t xml:space="preserve">Antwort, Glaub vnd|| Bekentnis auff das|| schöne vnd liebliche|| INTERIM : </t>
        </is>
      </c>
      <c r="O438" t="inlineStr">
        <is>
          <t xml:space="preserve"> : </t>
        </is>
      </c>
      <c r="P438" t="inlineStr"/>
      <c r="Q438" t="inlineStr"/>
      <c r="R438" t="inlineStr"/>
      <c r="S438" t="inlineStr"/>
      <c r="T438" t="inlineStr"/>
      <c r="U438" t="inlineStr"/>
      <c r="V438" t="inlineStr"/>
      <c r="W438" t="inlineStr"/>
      <c r="X438" t="inlineStr"/>
      <c r="Y438" t="inlineStr"/>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c r="BA438" t="inlineStr"/>
      <c r="BB438" t="inlineStr"/>
      <c r="BC438" t="inlineStr"/>
      <c r="BD438" t="inlineStr"/>
      <c r="BE438" t="inlineStr"/>
      <c r="BF438" t="inlineStr"/>
      <c r="BG438" t="inlineStr"/>
      <c r="BH438" t="inlineStr"/>
      <c r="BI438" t="inlineStr"/>
      <c r="BJ438" t="inlineStr"/>
      <c r="BK438" t="inlineStr"/>
      <c r="BL438" t="inlineStr"/>
      <c r="BM438" t="inlineStr"/>
      <c r="BN438" t="n">
        <v>0</v>
      </c>
      <c r="BO438" t="inlineStr"/>
      <c r="BP438" t="inlineStr"/>
      <c r="BQ438" t="inlineStr"/>
      <c r="BR438" t="inlineStr"/>
      <c r="BS438" t="inlineStr"/>
      <c r="BT438" t="inlineStr"/>
      <c r="BU438" t="inlineStr"/>
      <c r="BV438" t="inlineStr"/>
      <c r="BW438" t="inlineStr"/>
      <c r="BX438" t="inlineStr"/>
      <c r="BY438" t="inlineStr"/>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c r="DA438" t="inlineStr"/>
      <c r="DB438" t="inlineStr"/>
      <c r="DC438" t="inlineStr"/>
      <c r="DD438" t="inlineStr"/>
      <c r="DE438" t="inlineStr"/>
      <c r="DF438" t="inlineStr"/>
      <c r="DG438" t="inlineStr"/>
    </row>
    <row r="439">
      <c r="A439" t="inlineStr">
        <is>
          <t>III</t>
        </is>
      </c>
      <c r="B439" t="b">
        <v>1</v>
      </c>
      <c r="C439" t="inlineStr"/>
      <c r="D439" t="inlineStr"/>
      <c r="E439" t="n">
        <v>507</v>
      </c>
      <c r="F439">
        <f>HYPERLINK("https://portal.dnb.de/opac.htm?method=simpleSearch&amp;cqlMode=true&amp;query=idn%3D993931456", "Portal")</f>
        <v/>
      </c>
      <c r="G439" t="inlineStr">
        <is>
          <t>Aal</t>
        </is>
      </c>
      <c r="H439" t="inlineStr">
        <is>
          <t>L-1548-154041092</t>
        </is>
      </c>
      <c r="I439" t="inlineStr">
        <is>
          <t>993931456</t>
        </is>
      </c>
      <c r="J439" t="inlineStr">
        <is>
          <t>III 58, 3 c</t>
        </is>
      </c>
      <c r="K439" t="inlineStr">
        <is>
          <t>III 58, 3 c</t>
        </is>
      </c>
      <c r="L439" t="inlineStr">
        <is>
          <t>III 58, 3 c</t>
        </is>
      </c>
      <c r="M439" t="inlineStr"/>
      <c r="N439" t="inlineStr">
        <is>
          <t xml:space="preserve">Einer @Christlichen|| Stad vnthertenigk antwort|| auff das von Key. Ma. vberschickt|| Interim : Vnnd ein Radt=||schlag der Predicanten|| der selbigen </t>
        </is>
      </c>
      <c r="O439" t="inlineStr">
        <is>
          <t xml:space="preserve"> : </t>
        </is>
      </c>
      <c r="P439" t="inlineStr"/>
      <c r="Q439" t="inlineStr"/>
      <c r="R439" t="inlineStr">
        <is>
          <t>Halbpergamentband</t>
        </is>
      </c>
      <c r="S439" t="inlineStr">
        <is>
          <t>bis 25 cm</t>
        </is>
      </c>
      <c r="T439" t="inlineStr">
        <is>
          <t>180°</t>
        </is>
      </c>
      <c r="U439" t="inlineStr"/>
      <c r="V439" t="inlineStr"/>
      <c r="W439" t="inlineStr"/>
      <c r="X439" t="inlineStr"/>
      <c r="Y439" t="n">
        <v>0</v>
      </c>
      <c r="Z439" t="inlineStr"/>
      <c r="AA439" t="inlineStr"/>
      <c r="AB439" t="inlineStr"/>
      <c r="AC439" t="inlineStr"/>
      <c r="AD439" t="inlineStr"/>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c r="BA439" t="inlineStr"/>
      <c r="BB439" t="inlineStr"/>
      <c r="BC439" t="inlineStr"/>
      <c r="BD439" t="inlineStr"/>
      <c r="BE439" t="inlineStr"/>
      <c r="BF439" t="inlineStr"/>
      <c r="BG439" t="inlineStr"/>
      <c r="BH439" t="inlineStr"/>
      <c r="BI439" t="inlineStr"/>
      <c r="BJ439" t="inlineStr"/>
      <c r="BK439" t="inlineStr"/>
      <c r="BL439" t="inlineStr"/>
      <c r="BM439" t="inlineStr"/>
      <c r="BN439" t="n">
        <v>0</v>
      </c>
      <c r="BO439" t="inlineStr"/>
      <c r="BP439" t="inlineStr"/>
      <c r="BQ439" t="inlineStr"/>
      <c r="BR439" t="inlineStr"/>
      <c r="BS439" t="inlineStr"/>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c r="DA439" t="inlineStr"/>
      <c r="DB439" t="inlineStr"/>
      <c r="DC439" t="inlineStr"/>
      <c r="DD439" t="inlineStr"/>
      <c r="DE439" t="inlineStr"/>
      <c r="DF439" t="inlineStr"/>
      <c r="DG439" t="inlineStr"/>
    </row>
    <row r="440">
      <c r="A440" t="inlineStr">
        <is>
          <t>III</t>
        </is>
      </c>
      <c r="B440" t="b">
        <v>1</v>
      </c>
      <c r="C440" t="inlineStr"/>
      <c r="D440" t="inlineStr"/>
      <c r="E440" t="n">
        <v>508</v>
      </c>
      <c r="F440">
        <f>HYPERLINK("https://portal.dnb.de/opac.htm?method=simpleSearch&amp;cqlMode=true&amp;query=idn%3D993850308", "Portal")</f>
        <v/>
      </c>
      <c r="G440" t="inlineStr">
        <is>
          <t>Aal</t>
        </is>
      </c>
      <c r="H440" t="inlineStr">
        <is>
          <t>L-1548-153700858</t>
        </is>
      </c>
      <c r="I440" t="inlineStr">
        <is>
          <t>993850308</t>
        </is>
      </c>
      <c r="J440" t="inlineStr">
        <is>
          <t>III 58, 3 d</t>
        </is>
      </c>
      <c r="K440" t="inlineStr">
        <is>
          <t>III 58, 3 d</t>
        </is>
      </c>
      <c r="L440" t="inlineStr">
        <is>
          <t>III 58, 3 d</t>
        </is>
      </c>
      <c r="M440" t="inlineStr"/>
      <c r="N440" t="inlineStr">
        <is>
          <t xml:space="preserve">Wider den spoettischen|| Lügner vnd unuedschempten ver||leumbder M. Isslebium|| Agrico||lam : Nötige verantwortung, vnd Ernstliche warnung, Wider das </t>
        </is>
      </c>
      <c r="O440" t="inlineStr">
        <is>
          <t xml:space="preserve"> : </t>
        </is>
      </c>
      <c r="P440" t="inlineStr"/>
      <c r="Q440" t="inlineStr"/>
      <c r="R440" t="inlineStr"/>
      <c r="S440" t="inlineStr"/>
      <c r="T440" t="inlineStr"/>
      <c r="U440" t="inlineStr"/>
      <c r="V440" t="inlineStr"/>
      <c r="W440" t="inlineStr"/>
      <c r="X440" t="inlineStr"/>
      <c r="Y440" t="inlineStr"/>
      <c r="Z440" t="inlineStr"/>
      <c r="AA440" t="inlineStr"/>
      <c r="AB440" t="inlineStr"/>
      <c r="AC440" t="inlineStr"/>
      <c r="AD440" t="inlineStr"/>
      <c r="AE440" t="inlineStr"/>
      <c r="AF440" t="inlineStr"/>
      <c r="AG440" t="inlineStr"/>
      <c r="AH440" t="inlineStr"/>
      <c r="AI440" t="inlineStr"/>
      <c r="AJ440" t="inlineStr"/>
      <c r="AK440" t="inlineStr"/>
      <c r="AL440" t="inlineStr"/>
      <c r="AM440" t="inlineStr"/>
      <c r="AN440" t="inlineStr"/>
      <c r="AO440" t="inlineStr"/>
      <c r="AP440" t="inlineStr"/>
      <c r="AQ440" t="inlineStr"/>
      <c r="AR440" t="inlineStr"/>
      <c r="AS440" t="inlineStr"/>
      <c r="AT440" t="inlineStr"/>
      <c r="AU440" t="inlineStr"/>
      <c r="AV440" t="inlineStr"/>
      <c r="AW440" t="inlineStr"/>
      <c r="AX440" t="inlineStr"/>
      <c r="AY440" t="inlineStr"/>
      <c r="AZ440" t="inlineStr"/>
      <c r="BA440" t="inlineStr"/>
      <c r="BB440" t="inlineStr"/>
      <c r="BC440" t="inlineStr"/>
      <c r="BD440" t="inlineStr"/>
      <c r="BE440" t="inlineStr"/>
      <c r="BF440" t="inlineStr"/>
      <c r="BG440" t="inlineStr"/>
      <c r="BH440" t="inlineStr"/>
      <c r="BI440" t="inlineStr"/>
      <c r="BJ440" t="inlineStr"/>
      <c r="BK440" t="inlineStr"/>
      <c r="BL440" t="inlineStr"/>
      <c r="BM440" t="inlineStr"/>
      <c r="BN440" t="n">
        <v>0</v>
      </c>
      <c r="BO440" t="inlineStr"/>
      <c r="BP440" t="inlineStr"/>
      <c r="BQ440" t="inlineStr"/>
      <c r="BR440" t="inlineStr"/>
      <c r="BS440" t="inlineStr"/>
      <c r="BT440" t="inlineStr"/>
      <c r="BU440" t="inlineStr"/>
      <c r="BV440" t="inlineStr"/>
      <c r="BW440" t="inlineStr"/>
      <c r="BX440" t="inlineStr"/>
      <c r="BY440" t="inlineStr"/>
      <c r="BZ440" t="inlineStr"/>
      <c r="CA440" t="inlineStr"/>
      <c r="CB440" t="inlineStr"/>
      <c r="CC440" t="inlineStr"/>
      <c r="CD440" t="inlineStr"/>
      <c r="CE440" t="inlineStr"/>
      <c r="CF440" t="inlineStr"/>
      <c r="CG440" t="inlineStr"/>
      <c r="CH440" t="inlineStr"/>
      <c r="CI440" t="inlineStr"/>
      <c r="CJ440" t="inlineStr"/>
      <c r="CK440" t="inlineStr"/>
      <c r="CL440" t="inlineStr"/>
      <c r="CM440" t="inlineStr"/>
      <c r="CN440" t="inlineStr"/>
      <c r="CO440" t="inlineStr"/>
      <c r="CP440" t="inlineStr"/>
      <c r="CQ440" t="inlineStr"/>
      <c r="CR440" t="inlineStr"/>
      <c r="CS440" t="inlineStr"/>
      <c r="CT440" t="inlineStr"/>
      <c r="CU440" t="inlineStr"/>
      <c r="CV440" t="inlineStr"/>
      <c r="CW440" t="inlineStr"/>
      <c r="CX440" t="inlineStr"/>
      <c r="CY440" t="inlineStr"/>
      <c r="CZ440" t="inlineStr"/>
      <c r="DA440" t="inlineStr"/>
      <c r="DB440" t="inlineStr"/>
      <c r="DC440" t="inlineStr"/>
      <c r="DD440" t="inlineStr"/>
      <c r="DE440" t="inlineStr"/>
      <c r="DF440" t="inlineStr"/>
      <c r="DG440" t="inlineStr"/>
    </row>
    <row r="441">
      <c r="A441" t="inlineStr">
        <is>
          <t>III</t>
        </is>
      </c>
      <c r="B441" t="b">
        <v>1</v>
      </c>
      <c r="C441" t="inlineStr"/>
      <c r="D441" t="inlineStr"/>
      <c r="E441" t="n">
        <v>509</v>
      </c>
      <c r="F441">
        <f>HYPERLINK("https://portal.dnb.de/opac.htm?method=simpleSearch&amp;cqlMode=true&amp;query=idn%3D999128655", "Portal")</f>
        <v/>
      </c>
      <c r="G441" t="inlineStr">
        <is>
          <t>Aal</t>
        </is>
      </c>
      <c r="H441" t="inlineStr">
        <is>
          <t>L-1548-16758801X</t>
        </is>
      </c>
      <c r="I441" t="inlineStr">
        <is>
          <t>999128655</t>
        </is>
      </c>
      <c r="J441" t="inlineStr">
        <is>
          <t>III 58, 3 e</t>
        </is>
      </c>
      <c r="K441" t="inlineStr">
        <is>
          <t>III 58, 3 e</t>
        </is>
      </c>
      <c r="L441" t="inlineStr">
        <is>
          <t>III 58, 3 e</t>
        </is>
      </c>
      <c r="M441" t="inlineStr"/>
      <c r="N441" t="inlineStr">
        <is>
          <t>Eine @Predigt vber|| Das Euangelion Luce xiiii : Von|| dem Wassersüchtigen, So man list|| den Siebenzehenden Sontag|| nach Trinitatis wieder das|| INT</t>
        </is>
      </c>
      <c r="O441" t="inlineStr">
        <is>
          <t xml:space="preserve"> : </t>
        </is>
      </c>
      <c r="P441" t="inlineStr"/>
      <c r="Q441" t="inlineStr"/>
      <c r="R441" t="inlineStr">
        <is>
          <t>Papier- oder Pappeinband</t>
        </is>
      </c>
      <c r="S441" t="inlineStr">
        <is>
          <t>bis 25 cm</t>
        </is>
      </c>
      <c r="T441" t="inlineStr">
        <is>
          <t>180°</t>
        </is>
      </c>
      <c r="U441" t="inlineStr">
        <is>
          <t>hohler Rücken</t>
        </is>
      </c>
      <c r="V441" t="inlineStr"/>
      <c r="W441" t="inlineStr"/>
      <c r="X441" t="inlineStr">
        <is>
          <t>Signaturfahne austauschen</t>
        </is>
      </c>
      <c r="Y441" t="n">
        <v>0</v>
      </c>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inlineStr"/>
      <c r="BI441" t="inlineStr"/>
      <c r="BJ441" t="inlineStr"/>
      <c r="BK441" t="inlineStr"/>
      <c r="BL441" t="inlineStr"/>
      <c r="BM441" t="inlineStr"/>
      <c r="BN441" t="n">
        <v>0</v>
      </c>
      <c r="BO441" t="inlineStr"/>
      <c r="BP441" t="inlineStr"/>
      <c r="BQ441" t="inlineStr"/>
      <c r="BR441" t="inlineStr"/>
      <c r="BS441" t="inlineStr"/>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c r="DB441" t="inlineStr"/>
      <c r="DC441" t="inlineStr"/>
      <c r="DD441" t="inlineStr"/>
      <c r="DE441" t="inlineStr"/>
      <c r="DF441" t="inlineStr"/>
      <c r="DG441" t="inlineStr"/>
    </row>
    <row r="442">
      <c r="A442" t="inlineStr">
        <is>
          <t>III</t>
        </is>
      </c>
      <c r="B442" t="b">
        <v>1</v>
      </c>
      <c r="C442" t="inlineStr"/>
      <c r="D442" t="inlineStr"/>
      <c r="E442" t="n">
        <v>510</v>
      </c>
      <c r="F442">
        <f>HYPERLINK("https://portal.dnb.de/opac.htm?method=simpleSearch&amp;cqlMode=true&amp;query=idn%3D999794914", "Portal")</f>
        <v/>
      </c>
      <c r="G442" t="inlineStr">
        <is>
          <t>Aal</t>
        </is>
      </c>
      <c r="H442" t="inlineStr">
        <is>
          <t>L-1549-169167011</t>
        </is>
      </c>
      <c r="I442" t="inlineStr">
        <is>
          <t>999794914</t>
        </is>
      </c>
      <c r="J442" t="inlineStr">
        <is>
          <t>III 58, 3 f</t>
        </is>
      </c>
      <c r="K442" t="inlineStr">
        <is>
          <t>III 58, 3 f</t>
        </is>
      </c>
      <c r="L442" t="inlineStr">
        <is>
          <t>III 58, 3 f</t>
        </is>
      </c>
      <c r="M442" t="inlineStr"/>
      <c r="N442" t="inlineStr">
        <is>
          <t xml:space="preserve">Bedencken auff das|| Interim von einem Hochgeler||ten vnd Ehrwirdigen Herrn,|| einem Erbarn Radt seiner|| Oberkeit vberreicht : </t>
        </is>
      </c>
      <c r="O442" t="inlineStr">
        <is>
          <t xml:space="preserve"> : </t>
        </is>
      </c>
      <c r="P442" t="inlineStr"/>
      <c r="Q442" t="inlineStr"/>
      <c r="R442" t="inlineStr"/>
      <c r="S442" t="inlineStr"/>
      <c r="T442" t="inlineStr"/>
      <c r="U442" t="inlineStr"/>
      <c r="V442" t="inlineStr"/>
      <c r="W442" t="inlineStr"/>
      <c r="X442" t="inlineStr"/>
      <c r="Y442" t="inlineStr"/>
      <c r="Z442" t="inlineStr"/>
      <c r="AA442" t="inlineStr"/>
      <c r="AB442" t="inlineStr"/>
      <c r="AC442" t="inlineStr"/>
      <c r="AD442" t="inlineStr"/>
      <c r="AE442" t="inlineStr"/>
      <c r="AF442" t="inlineStr"/>
      <c r="AG442" t="inlineStr"/>
      <c r="AH442" t="inlineStr"/>
      <c r="AI442" t="inlineStr"/>
      <c r="AJ442" t="inlineStr"/>
      <c r="AK442" t="inlineStr"/>
      <c r="AL442" t="inlineStr"/>
      <c r="AM442" t="inlineStr"/>
      <c r="AN442" t="inlineStr"/>
      <c r="AO442" t="inlineStr"/>
      <c r="AP442" t="inlineStr"/>
      <c r="AQ442" t="inlineStr"/>
      <c r="AR442" t="inlineStr"/>
      <c r="AS442" t="inlineStr"/>
      <c r="AT442" t="inlineStr"/>
      <c r="AU442" t="inlineStr"/>
      <c r="AV442" t="inlineStr"/>
      <c r="AW442" t="inlineStr"/>
      <c r="AX442" t="inlineStr"/>
      <c r="AY442" t="inlineStr"/>
      <c r="AZ442" t="inlineStr"/>
      <c r="BA442" t="inlineStr"/>
      <c r="BB442" t="inlineStr"/>
      <c r="BC442" t="inlineStr"/>
      <c r="BD442" t="inlineStr"/>
      <c r="BE442" t="inlineStr"/>
      <c r="BF442" t="inlineStr"/>
      <c r="BG442" t="inlineStr"/>
      <c r="BH442" t="inlineStr"/>
      <c r="BI442" t="inlineStr"/>
      <c r="BJ442" t="inlineStr"/>
      <c r="BK442" t="inlineStr"/>
      <c r="BL442" t="inlineStr"/>
      <c r="BM442" t="inlineStr"/>
      <c r="BN442" t="n">
        <v>0</v>
      </c>
      <c r="BO442" t="inlineStr"/>
      <c r="BP442" t="inlineStr"/>
      <c r="BQ442" t="inlineStr"/>
      <c r="BR442" t="inlineStr"/>
      <c r="BS442" t="inlineStr"/>
      <c r="BT442" t="inlineStr"/>
      <c r="BU442" t="inlineStr"/>
      <c r="BV442" t="inlineStr"/>
      <c r="BW442" t="inlineStr"/>
      <c r="BX442" t="inlineStr"/>
      <c r="BY442" t="inlineStr"/>
      <c r="BZ442" t="inlineStr"/>
      <c r="CA442" t="inlineStr"/>
      <c r="CB442" t="inlineStr"/>
      <c r="CC442" t="inlineStr"/>
      <c r="CD442" t="inlineStr"/>
      <c r="CE442" t="inlineStr"/>
      <c r="CF442" t="inlineStr"/>
      <c r="CG442" t="inlineStr"/>
      <c r="CH442" t="inlineStr"/>
      <c r="CI442" t="inlineStr"/>
      <c r="CJ442" t="inlineStr"/>
      <c r="CK442" t="inlineStr"/>
      <c r="CL442" t="inlineStr"/>
      <c r="CM442" t="inlineStr"/>
      <c r="CN442" t="inlineStr"/>
      <c r="CO442" t="inlineStr"/>
      <c r="CP442" t="inlineStr"/>
      <c r="CQ442" t="inlineStr"/>
      <c r="CR442" t="inlineStr"/>
      <c r="CS442" t="inlineStr"/>
      <c r="CT442" t="inlineStr"/>
      <c r="CU442" t="inlineStr"/>
      <c r="CV442" t="inlineStr"/>
      <c r="CW442" t="inlineStr"/>
      <c r="CX442" t="inlineStr"/>
      <c r="CY442" t="inlineStr"/>
      <c r="CZ442" t="inlineStr"/>
      <c r="DA442" t="inlineStr"/>
      <c r="DB442" t="inlineStr"/>
      <c r="DC442" t="inlineStr"/>
      <c r="DD442" t="inlineStr"/>
      <c r="DE442" t="inlineStr"/>
      <c r="DF442" t="inlineStr"/>
      <c r="DG442" t="inlineStr"/>
    </row>
    <row r="443">
      <c r="A443" t="inlineStr">
        <is>
          <t>III</t>
        </is>
      </c>
      <c r="B443" t="b">
        <v>1</v>
      </c>
      <c r="C443" t="inlineStr"/>
      <c r="D443" t="inlineStr"/>
      <c r="E443" t="n">
        <v>511</v>
      </c>
      <c r="F443">
        <f>HYPERLINK("https://portal.dnb.de/opac.htm?method=simpleSearch&amp;cqlMode=true&amp;query=idn%3D994116098", "Portal")</f>
        <v/>
      </c>
      <c r="G443" t="inlineStr">
        <is>
          <t>Aal</t>
        </is>
      </c>
      <c r="H443" t="inlineStr">
        <is>
          <t>L-1549-154523437</t>
        </is>
      </c>
      <c r="I443" t="inlineStr">
        <is>
          <t>994116098</t>
        </is>
      </c>
      <c r="J443" t="inlineStr">
        <is>
          <t>III 58, 3 g</t>
        </is>
      </c>
      <c r="K443" t="inlineStr">
        <is>
          <t>III 58, 3 g</t>
        </is>
      </c>
      <c r="L443" t="inlineStr">
        <is>
          <t>III 58, 3 g</t>
        </is>
      </c>
      <c r="M443" t="inlineStr"/>
      <c r="N443" t="inlineStr">
        <is>
          <t xml:space="preserve">Der @Prediger der|| Jungen Herrn, Johans Fride=||richen Hertzogen zu Sachssen|| etc. Sönen, Christlich Be=||dencken auff das|| INTERIM.|| Esais 54.|| </t>
        </is>
      </c>
      <c r="O443" t="inlineStr">
        <is>
          <t xml:space="preserve"> : </t>
        </is>
      </c>
      <c r="P443" t="inlineStr"/>
      <c r="Q443" t="inlineStr"/>
      <c r="R443" t="inlineStr"/>
      <c r="S443" t="inlineStr"/>
      <c r="T443" t="inlineStr"/>
      <c r="U443" t="inlineStr"/>
      <c r="V443" t="inlineStr"/>
      <c r="W443" t="inlineStr"/>
      <c r="X443" t="inlineStr"/>
      <c r="Y443" t="inlineStr"/>
      <c r="Z443" t="inlineStr"/>
      <c r="AA443" t="inlineStr"/>
      <c r="AB443" t="inlineStr"/>
      <c r="AC443" t="inlineStr"/>
      <c r="AD443" t="inlineStr"/>
      <c r="AE443" t="inlineStr"/>
      <c r="AF443" t="inlineStr"/>
      <c r="AG443" t="inlineStr"/>
      <c r="AH443" t="inlineStr"/>
      <c r="AI443" t="inlineStr"/>
      <c r="AJ443" t="inlineStr"/>
      <c r="AK443" t="inlineStr"/>
      <c r="AL443" t="inlineStr"/>
      <c r="AM443" t="inlineStr"/>
      <c r="AN443" t="inlineStr"/>
      <c r="AO443" t="inlineStr"/>
      <c r="AP443" t="inlineStr"/>
      <c r="AQ443" t="inlineStr"/>
      <c r="AR443" t="inlineStr"/>
      <c r="AS443" t="inlineStr"/>
      <c r="AT443" t="inlineStr"/>
      <c r="AU443" t="inlineStr"/>
      <c r="AV443" t="inlineStr"/>
      <c r="AW443" t="inlineStr"/>
      <c r="AX443" t="inlineStr"/>
      <c r="AY443" t="inlineStr"/>
      <c r="AZ443" t="inlineStr"/>
      <c r="BA443" t="inlineStr"/>
      <c r="BB443" t="inlineStr"/>
      <c r="BC443" t="inlineStr"/>
      <c r="BD443" t="inlineStr"/>
      <c r="BE443" t="inlineStr"/>
      <c r="BF443" t="inlineStr"/>
      <c r="BG443" t="inlineStr"/>
      <c r="BH443" t="inlineStr"/>
      <c r="BI443" t="inlineStr"/>
      <c r="BJ443" t="inlineStr"/>
      <c r="BK443" t="inlineStr"/>
      <c r="BL443" t="inlineStr"/>
      <c r="BM443" t="inlineStr"/>
      <c r="BN443" t="n">
        <v>0</v>
      </c>
      <c r="BO443" t="inlineStr"/>
      <c r="BP443" t="inlineStr"/>
      <c r="BQ443" t="inlineStr"/>
      <c r="BR443" t="inlineStr"/>
      <c r="BS443" t="inlineStr"/>
      <c r="BT443" t="inlineStr"/>
      <c r="BU443" t="inlineStr"/>
      <c r="BV443" t="inlineStr"/>
      <c r="BW443" t="inlineStr"/>
      <c r="BX443" t="inlineStr"/>
      <c r="BY443" t="inlineStr"/>
      <c r="BZ443" t="inlineStr"/>
      <c r="CA443" t="inlineStr"/>
      <c r="CB443" t="inlineStr"/>
      <c r="CC443" t="inlineStr"/>
      <c r="CD443" t="inlineStr"/>
      <c r="CE443" t="inlineStr"/>
      <c r="CF443" t="inlineStr"/>
      <c r="CG443" t="inlineStr"/>
      <c r="CH443" t="inlineStr"/>
      <c r="CI443" t="inlineStr"/>
      <c r="CJ443" t="inlineStr"/>
      <c r="CK443" t="inlineStr"/>
      <c r="CL443" t="inlineStr"/>
      <c r="CM443" t="inlineStr"/>
      <c r="CN443" t="inlineStr"/>
      <c r="CO443" t="inlineStr"/>
      <c r="CP443" t="inlineStr"/>
      <c r="CQ443" t="inlineStr"/>
      <c r="CR443" t="inlineStr"/>
      <c r="CS443" t="inlineStr"/>
      <c r="CT443" t="inlineStr"/>
      <c r="CU443" t="inlineStr"/>
      <c r="CV443" t="inlineStr"/>
      <c r="CW443" t="inlineStr"/>
      <c r="CX443" t="inlineStr"/>
      <c r="CY443" t="inlineStr"/>
      <c r="CZ443" t="inlineStr"/>
      <c r="DA443" t="inlineStr"/>
      <c r="DB443" t="inlineStr"/>
      <c r="DC443" t="inlineStr"/>
      <c r="DD443" t="inlineStr"/>
      <c r="DE443" t="inlineStr"/>
      <c r="DF443" t="inlineStr"/>
      <c r="DG443" t="inlineStr"/>
    </row>
    <row r="444">
      <c r="A444" t="inlineStr">
        <is>
          <t>III</t>
        </is>
      </c>
      <c r="B444" t="b">
        <v>1</v>
      </c>
      <c r="C444" t="inlineStr"/>
      <c r="D444" t="inlineStr"/>
      <c r="E444" t="n">
        <v>512</v>
      </c>
      <c r="F444">
        <f>HYPERLINK("https://portal.dnb.de/opac.htm?method=simpleSearch&amp;cqlMode=true&amp;query=idn%3D994252374", "Portal")</f>
        <v/>
      </c>
      <c r="G444" t="inlineStr">
        <is>
          <t>Aal</t>
        </is>
      </c>
      <c r="H444" t="inlineStr">
        <is>
          <t>L-1549-154872075</t>
        </is>
      </c>
      <c r="I444" t="inlineStr">
        <is>
          <t>994252374</t>
        </is>
      </c>
      <c r="J444" t="inlineStr">
        <is>
          <t>III 58, 3 h</t>
        </is>
      </c>
      <c r="K444" t="inlineStr">
        <is>
          <t>III 58, 3 h</t>
        </is>
      </c>
      <c r="L444" t="inlineStr">
        <is>
          <t>III 58, 3 h</t>
        </is>
      </c>
      <c r="M444" t="inlineStr"/>
      <c r="N444" t="inlineStr">
        <is>
          <t>Bekentnuss vnnd Er||klerung auffs|| INTERIM.|| durch der Erbarn Stedte, Lübeck,|| Hamburg, Lüneburg, etc. Su||perintendenten, Pastorn vnnd Predi||gern</t>
        </is>
      </c>
      <c r="O444" t="inlineStr">
        <is>
          <t xml:space="preserve"> : </t>
        </is>
      </c>
      <c r="P444" t="inlineStr"/>
      <c r="Q444" t="inlineStr"/>
      <c r="R444" t="inlineStr">
        <is>
          <t>Halbpergamentband</t>
        </is>
      </c>
      <c r="S444" t="inlineStr">
        <is>
          <t>bis 25 cm</t>
        </is>
      </c>
      <c r="T444" t="inlineStr">
        <is>
          <t>180°</t>
        </is>
      </c>
      <c r="U444" t="inlineStr">
        <is>
          <t>hohler Rücken</t>
        </is>
      </c>
      <c r="V444" t="inlineStr"/>
      <c r="W444" t="inlineStr"/>
      <c r="X444" t="inlineStr"/>
      <c r="Y444" t="n">
        <v>0</v>
      </c>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inlineStr"/>
      <c r="BI444" t="inlineStr"/>
      <c r="BJ444" t="inlineStr"/>
      <c r="BK444" t="inlineStr"/>
      <c r="BL444" t="inlineStr"/>
      <c r="BM444" t="inlineStr"/>
      <c r="BN444" t="n">
        <v>0</v>
      </c>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c r="DB444" t="inlineStr"/>
      <c r="DC444" t="inlineStr"/>
      <c r="DD444" t="inlineStr"/>
      <c r="DE444" t="inlineStr"/>
      <c r="DF444" t="inlineStr"/>
      <c r="DG444" t="inlineStr"/>
    </row>
    <row r="445">
      <c r="A445" t="inlineStr">
        <is>
          <t>III</t>
        </is>
      </c>
      <c r="B445" t="b">
        <v>1</v>
      </c>
      <c r="C445" t="inlineStr"/>
      <c r="D445" t="inlineStr"/>
      <c r="E445" t="n">
        <v>513</v>
      </c>
      <c r="F445">
        <f>HYPERLINK("https://portal.dnb.de/opac.htm?method=simpleSearch&amp;cqlMode=true&amp;query=idn%3D572342640", "Portal")</f>
        <v/>
      </c>
      <c r="G445" t="inlineStr">
        <is>
          <t>Aal</t>
        </is>
      </c>
      <c r="H445" t="inlineStr">
        <is>
          <t>L-1549-15453336X</t>
        </is>
      </c>
      <c r="I445" t="inlineStr">
        <is>
          <t>572342640</t>
        </is>
      </c>
      <c r="J445" t="inlineStr">
        <is>
          <t>III 58, 3 i</t>
        </is>
      </c>
      <c r="K445" t="inlineStr">
        <is>
          <t>III 58, 3 i</t>
        </is>
      </c>
      <c r="L445" t="inlineStr">
        <is>
          <t>III 58, 3 i</t>
        </is>
      </c>
      <c r="M445" t="inlineStr"/>
      <c r="N445" t="inlineStr">
        <is>
          <t>Das @die zu Wittenberg im andern teil der bucher Doctoris Martini im buch das dise Wort Christi (Das ist mein Leib etc.) noch feststehen, mehr denn ei</t>
        </is>
      </c>
      <c r="O445" t="inlineStr">
        <is>
          <t xml:space="preserve"> : </t>
        </is>
      </c>
      <c r="P445" t="inlineStr"/>
      <c r="Q445" t="inlineStr"/>
      <c r="R445" t="inlineStr">
        <is>
          <t>Halbpergamentband</t>
        </is>
      </c>
      <c r="S445" t="inlineStr">
        <is>
          <t>bis 25 cm</t>
        </is>
      </c>
      <c r="T445" t="inlineStr">
        <is>
          <t>180°</t>
        </is>
      </c>
      <c r="U445" t="inlineStr"/>
      <c r="V445" t="inlineStr"/>
      <c r="W445" t="inlineStr"/>
      <c r="X445" t="inlineStr"/>
      <c r="Y445" t="n">
        <v>0</v>
      </c>
      <c r="Z445" t="inlineStr"/>
      <c r="AA445" t="inlineStr"/>
      <c r="AB445" t="inlineStr"/>
      <c r="AC445" t="inlineStr"/>
      <c r="AD445" t="inlineStr"/>
      <c r="AE445" t="inlineStr"/>
      <c r="AF445" t="inlineStr"/>
      <c r="AG445" t="inlineStr"/>
      <c r="AH445" t="inlineStr"/>
      <c r="AI445" t="inlineStr"/>
      <c r="AJ445" t="inlineStr"/>
      <c r="AK445" t="inlineStr"/>
      <c r="AL445" t="inlineStr"/>
      <c r="AM445" t="inlineStr"/>
      <c r="AN445" t="inlineStr"/>
      <c r="AO445" t="inlineStr"/>
      <c r="AP445" t="inlineStr"/>
      <c r="AQ445" t="inlineStr"/>
      <c r="AR445" t="inlineStr"/>
      <c r="AS445" t="inlineStr"/>
      <c r="AT445" t="inlineStr"/>
      <c r="AU445" t="inlineStr"/>
      <c r="AV445" t="inlineStr"/>
      <c r="AW445" t="inlineStr"/>
      <c r="AX445" t="inlineStr"/>
      <c r="AY445" t="inlineStr"/>
      <c r="AZ445" t="inlineStr"/>
      <c r="BA445" t="inlineStr"/>
      <c r="BB445" t="inlineStr"/>
      <c r="BC445" t="inlineStr"/>
      <c r="BD445" t="inlineStr"/>
      <c r="BE445" t="inlineStr"/>
      <c r="BF445" t="inlineStr"/>
      <c r="BG445" t="inlineStr"/>
      <c r="BH445" t="inlineStr"/>
      <c r="BI445" t="inlineStr"/>
      <c r="BJ445" t="inlineStr"/>
      <c r="BK445" t="inlineStr"/>
      <c r="BL445" t="inlineStr"/>
      <c r="BM445" t="inlineStr"/>
      <c r="BN445" t="n">
        <v>0</v>
      </c>
      <c r="BO445" t="inlineStr"/>
      <c r="BP445" t="inlineStr"/>
      <c r="BQ445" t="inlineStr"/>
      <c r="BR445" t="inlineStr"/>
      <c r="BS445" t="inlineStr"/>
      <c r="BT445" t="inlineStr"/>
      <c r="BU445" t="inlineStr"/>
      <c r="BV445" t="inlineStr"/>
      <c r="BW445" t="inlineStr"/>
      <c r="BX445" t="inlineStr"/>
      <c r="BY445" t="inlineStr"/>
      <c r="BZ445" t="inlineStr"/>
      <c r="CA445" t="inlineStr"/>
      <c r="CB445" t="inlineStr"/>
      <c r="CC445" t="inlineStr"/>
      <c r="CD445" t="inlineStr"/>
      <c r="CE445" t="inlineStr"/>
      <c r="CF445" t="inlineStr"/>
      <c r="CG445" t="inlineStr"/>
      <c r="CH445" t="inlineStr"/>
      <c r="CI445" t="inlineStr"/>
      <c r="CJ445" t="inlineStr"/>
      <c r="CK445" t="inlineStr"/>
      <c r="CL445" t="inlineStr"/>
      <c r="CM445" t="inlineStr"/>
      <c r="CN445" t="inlineStr"/>
      <c r="CO445" t="inlineStr"/>
      <c r="CP445" t="inlineStr"/>
      <c r="CQ445" t="inlineStr"/>
      <c r="CR445" t="inlineStr"/>
      <c r="CS445" t="inlineStr"/>
      <c r="CT445" t="inlineStr"/>
      <c r="CU445" t="inlineStr"/>
      <c r="CV445" t="inlineStr"/>
      <c r="CW445" t="inlineStr"/>
      <c r="CX445" t="inlineStr"/>
      <c r="CY445" t="inlineStr"/>
      <c r="CZ445" t="inlineStr"/>
      <c r="DA445" t="inlineStr"/>
      <c r="DB445" t="inlineStr"/>
      <c r="DC445" t="inlineStr"/>
      <c r="DD445" t="inlineStr"/>
      <c r="DE445" t="inlineStr"/>
      <c r="DF445" t="inlineStr"/>
      <c r="DG445" t="inlineStr"/>
    </row>
    <row r="446">
      <c r="A446" t="inlineStr">
        <is>
          <t>III</t>
        </is>
      </c>
      <c r="B446" t="b">
        <v>1</v>
      </c>
      <c r="C446" t="inlineStr"/>
      <c r="D446" t="inlineStr"/>
      <c r="E446" t="n">
        <v>514</v>
      </c>
      <c r="F446">
        <f>HYPERLINK("https://portal.dnb.de/opac.htm?method=simpleSearch&amp;cqlMode=true&amp;query=idn%3D572342640", "Portal")</f>
        <v/>
      </c>
      <c r="G446" t="inlineStr">
        <is>
          <t>Aal</t>
        </is>
      </c>
      <c r="H446" t="inlineStr">
        <is>
          <t>L-1549-15453353X</t>
        </is>
      </c>
      <c r="I446" t="inlineStr">
        <is>
          <t>572342640</t>
        </is>
      </c>
      <c r="J446" t="inlineStr">
        <is>
          <t>III 58, 3 ia</t>
        </is>
      </c>
      <c r="K446" t="inlineStr">
        <is>
          <t>III 58, 3 ia</t>
        </is>
      </c>
      <c r="L446" t="inlineStr">
        <is>
          <t>III 58, 3 ia</t>
        </is>
      </c>
      <c r="M446" t="inlineStr"/>
      <c r="N446" t="inlineStr">
        <is>
          <t>Das @die zu Wittenberg im andern teil der bucher Doctoris Martini im buch das dise Wort Christi (Das ist mein Leib etc.) noch feststehen, mehr denn ei</t>
        </is>
      </c>
      <c r="O446" t="inlineStr">
        <is>
          <t xml:space="preserve"> : </t>
        </is>
      </c>
      <c r="P446" t="inlineStr"/>
      <c r="Q446" t="inlineStr"/>
      <c r="R446" t="inlineStr"/>
      <c r="S446" t="inlineStr"/>
      <c r="T446" t="inlineStr"/>
      <c r="U446" t="inlineStr"/>
      <c r="V446" t="inlineStr"/>
      <c r="W446" t="inlineStr"/>
      <c r="X446" t="inlineStr"/>
      <c r="Y446" t="inlineStr"/>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inlineStr"/>
      <c r="BI446" t="inlineStr"/>
      <c r="BJ446" t="inlineStr"/>
      <c r="BK446" t="inlineStr"/>
      <c r="BL446" t="inlineStr"/>
      <c r="BM446" t="inlineStr"/>
      <c r="BN446" t="n">
        <v>0</v>
      </c>
      <c r="BO446" t="inlineStr"/>
      <c r="BP446" t="inlineStr"/>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c r="DA446" t="inlineStr"/>
      <c r="DB446" t="inlineStr"/>
      <c r="DC446" t="inlineStr"/>
      <c r="DD446" t="inlineStr"/>
      <c r="DE446" t="inlineStr"/>
      <c r="DF446" t="inlineStr"/>
      <c r="DG446" t="inlineStr"/>
    </row>
    <row r="447">
      <c r="A447" t="inlineStr">
        <is>
          <t>III</t>
        </is>
      </c>
      <c r="B447" t="b">
        <v>1</v>
      </c>
      <c r="C447" t="inlineStr"/>
      <c r="D447" t="inlineStr"/>
      <c r="E447" t="n">
        <v>515</v>
      </c>
      <c r="F447">
        <f>HYPERLINK("https://portal.dnb.de/opac.htm?method=simpleSearch&amp;cqlMode=true&amp;query=idn%3D995380783", "Portal")</f>
        <v/>
      </c>
      <c r="G447" t="inlineStr">
        <is>
          <t>Aal</t>
        </is>
      </c>
      <c r="H447" t="inlineStr">
        <is>
          <t>L-1965-159364442</t>
        </is>
      </c>
      <c r="I447" t="inlineStr">
        <is>
          <t>995380783</t>
        </is>
      </c>
      <c r="J447" t="inlineStr">
        <is>
          <t>III 58, 3 k</t>
        </is>
      </c>
      <c r="K447" t="inlineStr">
        <is>
          <t>III 58, 3 k</t>
        </is>
      </c>
      <c r="L447" t="inlineStr">
        <is>
          <t>III 58, 3 k</t>
        </is>
      </c>
      <c r="M447" t="inlineStr"/>
      <c r="N447" t="inlineStr">
        <is>
          <t xml:space="preserve">Der @Von Magde||burgk Entschu[e]ldi||gung, Bit, Vnnd gemeine|| Christliche erinnerunge|| : [Holzschnitt Stadtwappen]|| Esaie ; 40 Matth. 5|| ; Himmel </t>
        </is>
      </c>
      <c r="O447" t="inlineStr">
        <is>
          <t xml:space="preserve"> : </t>
        </is>
      </c>
      <c r="P447" t="inlineStr"/>
      <c r="Q447" t="inlineStr"/>
      <c r="R447" t="inlineStr">
        <is>
          <t>Halbpergamentband</t>
        </is>
      </c>
      <c r="S447" t="inlineStr">
        <is>
          <t>bis 25 cm</t>
        </is>
      </c>
      <c r="T447" t="inlineStr">
        <is>
          <t>180°</t>
        </is>
      </c>
      <c r="U447" t="inlineStr"/>
      <c r="V447" t="inlineStr"/>
      <c r="W447" t="inlineStr"/>
      <c r="X447" t="inlineStr"/>
      <c r="Y447" t="n">
        <v>0</v>
      </c>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inlineStr"/>
      <c r="BI447" t="inlineStr"/>
      <c r="BJ447" t="inlineStr"/>
      <c r="BK447" t="inlineStr"/>
      <c r="BL447" t="inlineStr"/>
      <c r="BM447" t="inlineStr"/>
      <c r="BN447" t="n">
        <v>0</v>
      </c>
      <c r="BO447" t="inlineStr"/>
      <c r="BP447" t="inlineStr"/>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c r="DB447" t="inlineStr"/>
      <c r="DC447" t="inlineStr"/>
      <c r="DD447" t="inlineStr"/>
      <c r="DE447" t="inlineStr"/>
      <c r="DF447" t="inlineStr"/>
      <c r="DG447" t="inlineStr"/>
    </row>
    <row r="448">
      <c r="A448" t="inlineStr">
        <is>
          <t>III</t>
        </is>
      </c>
      <c r="B448" t="b">
        <v>1</v>
      </c>
      <c r="C448" t="inlineStr"/>
      <c r="D448" t="inlineStr"/>
      <c r="E448" t="n">
        <v>516</v>
      </c>
      <c r="F448">
        <f>HYPERLINK("https://portal.dnb.de/opac.htm?method=simpleSearch&amp;cqlMode=true&amp;query=idn%3D998859680", "Portal")</f>
        <v/>
      </c>
      <c r="G448" t="inlineStr">
        <is>
          <t>Aal</t>
        </is>
      </c>
      <c r="H448" t="inlineStr">
        <is>
          <t>L-1550-167081977</t>
        </is>
      </c>
      <c r="I448" t="inlineStr">
        <is>
          <t>998859680</t>
        </is>
      </c>
      <c r="J448" t="inlineStr">
        <is>
          <t>III 58, 3 m</t>
        </is>
      </c>
      <c r="K448" t="inlineStr">
        <is>
          <t>III 58, 3 m</t>
        </is>
      </c>
      <c r="L448" t="inlineStr">
        <is>
          <t>III 58, 3 m</t>
        </is>
      </c>
      <c r="M448" t="inlineStr"/>
      <c r="N448" t="inlineStr">
        <is>
          <t xml:space="preserve">Des @Ehrwirdigen|| vnd tewren Mans Doct. Marti.|| Luthers seliger gedechtnis meinung,|| von den Mitteldingen : </t>
        </is>
      </c>
      <c r="O448" t="inlineStr">
        <is>
          <t xml:space="preserve"> : </t>
        </is>
      </c>
      <c r="P448" t="inlineStr"/>
      <c r="Q448" t="inlineStr"/>
      <c r="R448" t="inlineStr">
        <is>
          <t>Halbpergamentband</t>
        </is>
      </c>
      <c r="S448" t="inlineStr">
        <is>
          <t>bis 25 cm</t>
        </is>
      </c>
      <c r="T448" t="inlineStr">
        <is>
          <t>180°</t>
        </is>
      </c>
      <c r="U448" t="inlineStr">
        <is>
          <t>hohler Rücken</t>
        </is>
      </c>
      <c r="V448" t="inlineStr"/>
      <c r="W448" t="inlineStr"/>
      <c r="X448" t="inlineStr"/>
      <c r="Y448" t="n">
        <v>0</v>
      </c>
      <c r="Z448" t="inlineStr"/>
      <c r="AA448" t="inlineStr"/>
      <c r="AB448" t="inlineStr"/>
      <c r="AC448" t="inlineStr"/>
      <c r="AD448" t="inlineStr"/>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c r="BB448" t="inlineStr"/>
      <c r="BC448" t="inlineStr"/>
      <c r="BD448" t="inlineStr"/>
      <c r="BE448" t="inlineStr"/>
      <c r="BF448" t="inlineStr"/>
      <c r="BG448" t="inlineStr"/>
      <c r="BH448" t="inlineStr"/>
      <c r="BI448" t="inlineStr"/>
      <c r="BJ448" t="inlineStr"/>
      <c r="BK448" t="inlineStr"/>
      <c r="BL448" t="inlineStr"/>
      <c r="BM448" t="inlineStr"/>
      <c r="BN448" t="n">
        <v>0</v>
      </c>
      <c r="BO448" t="inlineStr"/>
      <c r="BP448" t="inlineStr"/>
      <c r="BQ448" t="inlineStr"/>
      <c r="BR448" t="inlineStr"/>
      <c r="BS448" t="inlineStr"/>
      <c r="BT448" t="inlineStr"/>
      <c r="BU448" t="inlineStr"/>
      <c r="BV448" t="inlineStr"/>
      <c r="BW448" t="inlineStr"/>
      <c r="BX448" t="inlineStr"/>
      <c r="BY448" t="inlineStr"/>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c r="DA448" t="inlineStr"/>
      <c r="DB448" t="inlineStr"/>
      <c r="DC448" t="inlineStr"/>
      <c r="DD448" t="inlineStr"/>
      <c r="DE448" t="inlineStr"/>
      <c r="DF448" t="inlineStr"/>
      <c r="DG448" t="inlineStr"/>
    </row>
    <row r="449">
      <c r="A449" t="inlineStr">
        <is>
          <t>III</t>
        </is>
      </c>
      <c r="B449" t="b">
        <v>1</v>
      </c>
      <c r="C449" t="inlineStr"/>
      <c r="D449" t="inlineStr"/>
      <c r="E449" t="n">
        <v>517</v>
      </c>
      <c r="F449">
        <f>HYPERLINK("https://portal.dnb.de/opac.htm?method=simpleSearch&amp;cqlMode=true&amp;query=idn%3D1003362400", "Portal")</f>
        <v/>
      </c>
      <c r="G449" t="inlineStr">
        <is>
          <t>Aal</t>
        </is>
      </c>
      <c r="H449" t="inlineStr">
        <is>
          <t>L-1559-179548115</t>
        </is>
      </c>
      <c r="I449" t="inlineStr">
        <is>
          <t>1003362400</t>
        </is>
      </c>
      <c r="J449" t="inlineStr">
        <is>
          <t>III 58, 3 n</t>
        </is>
      </c>
      <c r="K449" t="inlineStr">
        <is>
          <t>III 58, 3 n</t>
        </is>
      </c>
      <c r="L449" t="inlineStr">
        <is>
          <t>III 58, 3 n</t>
        </is>
      </c>
      <c r="M449" t="inlineStr"/>
      <c r="N449" t="inlineStr">
        <is>
          <t>Tafel oder Richtschnur :|| jrrige meinung in der Christlichen Kir=||chen recht zu vrteilen, Allen Chri=||sten bey verlust der Göttlichen|| warheit nöt</t>
        </is>
      </c>
      <c r="O449" t="inlineStr">
        <is>
          <t xml:space="preserve"> : </t>
        </is>
      </c>
      <c r="P449" t="inlineStr"/>
      <c r="Q449" t="inlineStr"/>
      <c r="R449" t="inlineStr">
        <is>
          <t>Halbledereinband</t>
        </is>
      </c>
      <c r="S449" t="inlineStr">
        <is>
          <t>bis 25 cm</t>
        </is>
      </c>
      <c r="T449" t="inlineStr">
        <is>
          <t>180°</t>
        </is>
      </c>
      <c r="U449" t="inlineStr"/>
      <c r="V449" t="inlineStr"/>
      <c r="W449" t="inlineStr"/>
      <c r="X449" t="inlineStr"/>
      <c r="Y449" t="n">
        <v>0</v>
      </c>
      <c r="Z449" t="inlineStr"/>
      <c r="AA449" t="inlineStr"/>
      <c r="AB449" t="inlineStr"/>
      <c r="AC449" t="inlineStr"/>
      <c r="AD449" t="inlineStr"/>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c r="BB449" t="inlineStr"/>
      <c r="BC449" t="inlineStr"/>
      <c r="BD449" t="inlineStr"/>
      <c r="BE449" t="inlineStr"/>
      <c r="BF449" t="inlineStr"/>
      <c r="BG449" t="inlineStr"/>
      <c r="BH449" t="inlineStr"/>
      <c r="BI449" t="inlineStr"/>
      <c r="BJ449" t="inlineStr"/>
      <c r="BK449" t="inlineStr"/>
      <c r="BL449" t="inlineStr"/>
      <c r="BM449" t="inlineStr"/>
      <c r="BN449" t="n">
        <v>0</v>
      </c>
      <c r="BO449" t="inlineStr"/>
      <c r="BP449" t="inlineStr"/>
      <c r="BQ449" t="inlineStr"/>
      <c r="BR449" t="inlineStr"/>
      <c r="BS449" t="inlineStr"/>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c r="DA449" t="inlineStr"/>
      <c r="DB449" t="inlineStr"/>
      <c r="DC449" t="inlineStr"/>
      <c r="DD449" t="inlineStr"/>
      <c r="DE449" t="inlineStr"/>
      <c r="DF449" t="inlineStr"/>
      <c r="DG449" t="inlineStr"/>
    </row>
    <row r="450">
      <c r="A450" t="inlineStr">
        <is>
          <t>III</t>
        </is>
      </c>
      <c r="B450" t="b">
        <v>1</v>
      </c>
      <c r="C450" t="inlineStr"/>
      <c r="D450" t="inlineStr"/>
      <c r="E450" t="n">
        <v>518</v>
      </c>
      <c r="F450">
        <f>HYPERLINK("https://portal.dnb.de/opac.htm?method=simpleSearch&amp;cqlMode=true&amp;query=idn%3D993921655", "Portal")</f>
        <v/>
      </c>
      <c r="G450" t="inlineStr">
        <is>
          <t>Aal</t>
        </is>
      </c>
      <c r="H450" t="inlineStr">
        <is>
          <t>L-1551-154031127</t>
        </is>
      </c>
      <c r="I450" t="inlineStr">
        <is>
          <t>993921655</t>
        </is>
      </c>
      <c r="J450" t="inlineStr">
        <is>
          <t>III 58, 3 o</t>
        </is>
      </c>
      <c r="K450" t="inlineStr">
        <is>
          <t>III 58, 3 o</t>
        </is>
      </c>
      <c r="L450" t="inlineStr">
        <is>
          <t>III 58, 3 o</t>
        </is>
      </c>
      <c r="M450" t="inlineStr"/>
      <c r="N450" t="inlineStr">
        <is>
          <t xml:space="preserve">Vom Bapst vnd seiner|| Kirchen/ das sie des Teufels/ vnd|| nicht Christi vnsers lieben Herrn|| Kirche sey.|| Nicolaus von Amsdorff.|| EXVL.|| : </t>
        </is>
      </c>
      <c r="O450" t="inlineStr">
        <is>
          <t xml:space="preserve"> : </t>
        </is>
      </c>
      <c r="P450" t="inlineStr"/>
      <c r="Q450" t="inlineStr"/>
      <c r="R450" t="inlineStr"/>
      <c r="S450" t="inlineStr"/>
      <c r="T450" t="inlineStr"/>
      <c r="U450" t="inlineStr"/>
      <c r="V450" t="inlineStr"/>
      <c r="W450" t="inlineStr"/>
      <c r="X450" t="inlineStr"/>
      <c r="Y450" t="inlineStr"/>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inlineStr"/>
      <c r="BI450" t="inlineStr"/>
      <c r="BJ450" t="inlineStr"/>
      <c r="BK450" t="inlineStr"/>
      <c r="BL450" t="inlineStr"/>
      <c r="BM450" t="inlineStr"/>
      <c r="BN450" t="n">
        <v>0</v>
      </c>
      <c r="BO450" t="inlineStr"/>
      <c r="BP450" t="inlineStr"/>
      <c r="BQ450" t="inlineStr"/>
      <c r="BR450" t="inlineStr"/>
      <c r="BS450" t="inlineStr"/>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c r="DB450" t="inlineStr"/>
      <c r="DC450" t="inlineStr"/>
      <c r="DD450" t="inlineStr"/>
      <c r="DE450" t="inlineStr"/>
      <c r="DF450" t="inlineStr"/>
      <c r="DG450" t="inlineStr"/>
    </row>
    <row r="451">
      <c r="A451" t="inlineStr">
        <is>
          <t>III</t>
        </is>
      </c>
      <c r="B451" t="b">
        <v>1</v>
      </c>
      <c r="C451" t="inlineStr"/>
      <c r="D451" t="inlineStr"/>
      <c r="E451" t="n">
        <v>519</v>
      </c>
      <c r="F451">
        <f>HYPERLINK("https://portal.dnb.de/opac.htm?method=simpleSearch&amp;cqlMode=true&amp;query=idn%3D993919928", "Portal")</f>
        <v/>
      </c>
      <c r="G451" t="inlineStr">
        <is>
          <t>Aal</t>
        </is>
      </c>
      <c r="H451" t="inlineStr">
        <is>
          <t>L-1551-154011436</t>
        </is>
      </c>
      <c r="I451" t="inlineStr">
        <is>
          <t>993919928</t>
        </is>
      </c>
      <c r="J451" t="inlineStr">
        <is>
          <t>III 58, 3 p</t>
        </is>
      </c>
      <c r="K451" t="inlineStr">
        <is>
          <t>III 58, 3 p</t>
        </is>
      </c>
      <c r="L451" t="inlineStr">
        <is>
          <t>III 58, 3 p</t>
        </is>
      </c>
      <c r="M451" t="inlineStr"/>
      <c r="N451" t="inlineStr">
        <is>
          <t>Das @Doctor Po||mer vnd Doctor Maior mit jren|| Adiaphoristen ergernis vnnd zur|| trennung angericht : Vnnd den Kirchen|| Christi, vnüberwintlichen sc</t>
        </is>
      </c>
      <c r="O451" t="inlineStr">
        <is>
          <t xml:space="preserve"> : </t>
        </is>
      </c>
      <c r="P451" t="inlineStr"/>
      <c r="Q451" t="inlineStr"/>
      <c r="R451" t="inlineStr"/>
      <c r="S451" t="inlineStr"/>
      <c r="T451" t="inlineStr"/>
      <c r="U451" t="inlineStr"/>
      <c r="V451" t="inlineStr"/>
      <c r="W451" t="inlineStr"/>
      <c r="X451" t="inlineStr"/>
      <c r="Y451" t="inlineStr"/>
      <c r="Z451" t="inlineStr"/>
      <c r="AA451" t="inlineStr"/>
      <c r="AB451" t="inlineStr"/>
      <c r="AC451" t="inlineStr"/>
      <c r="AD451" t="inlineStr"/>
      <c r="AE451" t="inlineStr"/>
      <c r="AF451" t="inlineStr"/>
      <c r="AG451" t="inlineStr"/>
      <c r="AH451" t="inlineStr"/>
      <c r="AI451" t="inlineStr"/>
      <c r="AJ451" t="inlineStr"/>
      <c r="AK451" t="inlineStr"/>
      <c r="AL451" t="inlineStr"/>
      <c r="AM451" t="inlineStr"/>
      <c r="AN451" t="inlineStr"/>
      <c r="AO451" t="inlineStr"/>
      <c r="AP451" t="inlineStr"/>
      <c r="AQ451" t="inlineStr"/>
      <c r="AR451" t="inlineStr"/>
      <c r="AS451" t="inlineStr"/>
      <c r="AT451" t="inlineStr"/>
      <c r="AU451" t="inlineStr"/>
      <c r="AV451" t="inlineStr"/>
      <c r="AW451" t="inlineStr"/>
      <c r="AX451" t="inlineStr"/>
      <c r="AY451" t="inlineStr"/>
      <c r="AZ451" t="inlineStr"/>
      <c r="BA451" t="inlineStr"/>
      <c r="BB451" t="inlineStr"/>
      <c r="BC451" t="inlineStr"/>
      <c r="BD451" t="inlineStr"/>
      <c r="BE451" t="inlineStr"/>
      <c r="BF451" t="inlineStr"/>
      <c r="BG451" t="inlineStr"/>
      <c r="BH451" t="inlineStr"/>
      <c r="BI451" t="inlineStr"/>
      <c r="BJ451" t="inlineStr"/>
      <c r="BK451" t="inlineStr"/>
      <c r="BL451" t="inlineStr"/>
      <c r="BM451" t="inlineStr"/>
      <c r="BN451" t="n">
        <v>0</v>
      </c>
      <c r="BO451" t="inlineStr"/>
      <c r="BP451" t="inlineStr"/>
      <c r="BQ451" t="inlineStr"/>
      <c r="BR451" t="inlineStr"/>
      <c r="BS451" t="inlineStr"/>
      <c r="BT451" t="inlineStr"/>
      <c r="BU451" t="inlineStr"/>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c r="CV451" t="inlineStr"/>
      <c r="CW451" t="inlineStr"/>
      <c r="CX451" t="inlineStr"/>
      <c r="CY451" t="inlineStr"/>
      <c r="CZ451" t="inlineStr"/>
      <c r="DA451" t="inlineStr"/>
      <c r="DB451" t="inlineStr"/>
      <c r="DC451" t="inlineStr"/>
      <c r="DD451" t="inlineStr"/>
      <c r="DE451" t="inlineStr"/>
      <c r="DF451" t="inlineStr"/>
      <c r="DG451" t="inlineStr"/>
    </row>
    <row r="452">
      <c r="A452" t="inlineStr">
        <is>
          <t>III</t>
        </is>
      </c>
      <c r="B452" t="b">
        <v>1</v>
      </c>
      <c r="C452" t="inlineStr"/>
      <c r="D452" t="inlineStr"/>
      <c r="E452" t="n">
        <v>520</v>
      </c>
      <c r="F452">
        <f>HYPERLINK("https://portal.dnb.de/opac.htm?method=simpleSearch&amp;cqlMode=true&amp;query=idn%3D993919243", "Portal")</f>
        <v/>
      </c>
      <c r="G452" t="inlineStr">
        <is>
          <t>Aal</t>
        </is>
      </c>
      <c r="H452" t="inlineStr">
        <is>
          <t>L-1551-154007749</t>
        </is>
      </c>
      <c r="I452" t="inlineStr">
        <is>
          <t>993919243</t>
        </is>
      </c>
      <c r="J452" t="inlineStr">
        <is>
          <t>III 58, 3 q</t>
        </is>
      </c>
      <c r="K452" t="inlineStr">
        <is>
          <t>III 58, 3 q</t>
        </is>
      </c>
      <c r="L452" t="inlineStr">
        <is>
          <t>III 58, 3 q</t>
        </is>
      </c>
      <c r="M452" t="inlineStr"/>
      <c r="N452" t="inlineStr">
        <is>
          <t>Deren zu Magde||burgk, so widder die Adiaphora geschrieben haben, jhres votigen schrei||bens beschlus, auff der Adiaphoristen|| beschueldigung vnnd le</t>
        </is>
      </c>
      <c r="O452" t="inlineStr">
        <is>
          <t xml:space="preserve"> : </t>
        </is>
      </c>
      <c r="P452" t="inlineStr"/>
      <c r="Q452" t="inlineStr"/>
      <c r="R452" t="inlineStr">
        <is>
          <t>Halbpergamentband</t>
        </is>
      </c>
      <c r="S452" t="inlineStr">
        <is>
          <t>bis 25 cm</t>
        </is>
      </c>
      <c r="T452" t="inlineStr">
        <is>
          <t>180°</t>
        </is>
      </c>
      <c r="U452" t="inlineStr"/>
      <c r="V452" t="inlineStr"/>
      <c r="W452" t="inlineStr"/>
      <c r="X452" t="inlineStr"/>
      <c r="Y452" t="n">
        <v>0</v>
      </c>
      <c r="Z452" t="inlineStr"/>
      <c r="AA452" t="inlineStr"/>
      <c r="AB452" t="inlineStr"/>
      <c r="AC452" t="inlineStr"/>
      <c r="AD452" t="inlineStr"/>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c r="AT452" t="inlineStr"/>
      <c r="AU452" t="inlineStr"/>
      <c r="AV452" t="inlineStr"/>
      <c r="AW452" t="inlineStr"/>
      <c r="AX452" t="inlineStr"/>
      <c r="AY452" t="inlineStr"/>
      <c r="AZ452" t="inlineStr"/>
      <c r="BA452" t="inlineStr"/>
      <c r="BB452" t="inlineStr"/>
      <c r="BC452" t="inlineStr"/>
      <c r="BD452" t="inlineStr"/>
      <c r="BE452" t="inlineStr"/>
      <c r="BF452" t="inlineStr"/>
      <c r="BG452" t="inlineStr"/>
      <c r="BH452" t="inlineStr"/>
      <c r="BI452" t="inlineStr"/>
      <c r="BJ452" t="inlineStr"/>
      <c r="BK452" t="inlineStr"/>
      <c r="BL452" t="inlineStr"/>
      <c r="BM452" t="inlineStr"/>
      <c r="BN452" t="n">
        <v>0</v>
      </c>
      <c r="BO452" t="inlineStr"/>
      <c r="BP452" t="inlineStr"/>
      <c r="BQ452" t="inlineStr"/>
      <c r="BR452" t="inlineStr"/>
      <c r="BS452" t="inlineStr"/>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c r="DB452" t="inlineStr"/>
      <c r="DC452" t="inlineStr"/>
      <c r="DD452" t="inlineStr"/>
      <c r="DE452" t="inlineStr"/>
      <c r="DF452" t="inlineStr"/>
      <c r="DG452" t="inlineStr"/>
    </row>
    <row r="453">
      <c r="A453" t="inlineStr">
        <is>
          <t>III</t>
        </is>
      </c>
      <c r="B453" t="b">
        <v>1</v>
      </c>
      <c r="C453" t="inlineStr"/>
      <c r="D453" t="inlineStr"/>
      <c r="E453" t="n">
        <v>521</v>
      </c>
      <c r="F453">
        <f>HYPERLINK("https://portal.dnb.de/opac.htm?method=simpleSearch&amp;cqlMode=true&amp;query=idn%3D996746560", "Portal")</f>
        <v/>
      </c>
      <c r="G453" t="inlineStr">
        <is>
          <t>Aal</t>
        </is>
      </c>
      <c r="H453" t="inlineStr">
        <is>
          <t>L-1551-154007935</t>
        </is>
      </c>
      <c r="I453" t="inlineStr">
        <is>
          <t>996746560</t>
        </is>
      </c>
      <c r="J453" t="inlineStr">
        <is>
          <t>III 58, 3 qa</t>
        </is>
      </c>
      <c r="K453" t="inlineStr">
        <is>
          <t>III 58, 3 qa</t>
        </is>
      </c>
      <c r="L453" t="inlineStr">
        <is>
          <t>III 58, 3 qa</t>
        </is>
      </c>
      <c r="M453" t="inlineStr"/>
      <c r="N453" t="inlineStr">
        <is>
          <t>Deren zu Magde||burgk, so widder die Adiaphora geschrieben haben, jhres votigen schrei||bens beschlus, auff der Adiaphoristen|| beschueldigung vnnd le</t>
        </is>
      </c>
      <c r="O453" t="inlineStr">
        <is>
          <t xml:space="preserve"> : </t>
        </is>
      </c>
      <c r="P453" t="inlineStr"/>
      <c r="Q453" t="inlineStr"/>
      <c r="R453" t="inlineStr">
        <is>
          <t>Halbpergamentband</t>
        </is>
      </c>
      <c r="S453" t="inlineStr">
        <is>
          <t>bis 25 cm</t>
        </is>
      </c>
      <c r="T453" t="inlineStr">
        <is>
          <t>180°</t>
        </is>
      </c>
      <c r="U453" t="inlineStr"/>
      <c r="V453" t="inlineStr"/>
      <c r="W453" t="inlineStr"/>
      <c r="X453" t="inlineStr"/>
      <c r="Y453" t="n">
        <v>0</v>
      </c>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inlineStr"/>
      <c r="BI453" t="inlineStr"/>
      <c r="BJ453" t="inlineStr"/>
      <c r="BK453" t="inlineStr"/>
      <c r="BL453" t="inlineStr"/>
      <c r="BM453" t="inlineStr"/>
      <c r="BN453" t="n">
        <v>0</v>
      </c>
      <c r="BO453" t="inlineStr"/>
      <c r="BP453" t="inlineStr"/>
      <c r="BQ453" t="inlineStr"/>
      <c r="BR453" t="inlineStr"/>
      <c r="BS453" t="inlineStr"/>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c r="DB453" t="inlineStr"/>
      <c r="DC453" t="inlineStr"/>
      <c r="DD453" t="inlineStr"/>
      <c r="DE453" t="inlineStr"/>
      <c r="DF453" t="inlineStr"/>
      <c r="DG453" t="inlineStr"/>
    </row>
    <row r="454">
      <c r="A454" t="inlineStr">
        <is>
          <t>III</t>
        </is>
      </c>
      <c r="B454" t="b">
        <v>1</v>
      </c>
      <c r="C454" t="inlineStr"/>
      <c r="D454" t="inlineStr"/>
      <c r="E454" t="n">
        <v>522</v>
      </c>
      <c r="F454">
        <f>HYPERLINK("https://portal.dnb.de/opac.htm?method=simpleSearch&amp;cqlMode=true&amp;query=idn%3D998861545", "Portal")</f>
        <v/>
      </c>
      <c r="G454" t="inlineStr">
        <is>
          <t>Aal</t>
        </is>
      </c>
      <c r="H454" t="inlineStr">
        <is>
          <t>L-1552-16708402X</t>
        </is>
      </c>
      <c r="I454" t="inlineStr">
        <is>
          <t>998861545</t>
        </is>
      </c>
      <c r="J454" t="inlineStr">
        <is>
          <t>III 58, 3 r</t>
        </is>
      </c>
      <c r="K454" t="inlineStr">
        <is>
          <t>III 58, 3 r</t>
        </is>
      </c>
      <c r="L454" t="inlineStr">
        <is>
          <t>III 58, 3 r</t>
        </is>
      </c>
      <c r="M454" t="inlineStr"/>
      <c r="N454" t="inlineStr">
        <is>
          <t xml:space="preserve">Etliche Prophe||ceysprüche D.|| Martini Lutheri, Des dritten|| Elias : </t>
        </is>
      </c>
      <c r="O454" t="inlineStr">
        <is>
          <t xml:space="preserve"> : </t>
        </is>
      </c>
      <c r="P454" t="inlineStr"/>
      <c r="Q454" t="inlineStr"/>
      <c r="R454" t="inlineStr"/>
      <c r="S454" t="inlineStr"/>
      <c r="T454" t="inlineStr"/>
      <c r="U454" t="inlineStr"/>
      <c r="V454" t="inlineStr"/>
      <c r="W454" t="inlineStr"/>
      <c r="X454" t="inlineStr"/>
      <c r="Y454" t="inlineStr"/>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inlineStr"/>
      <c r="BI454" t="inlineStr"/>
      <c r="BJ454" t="inlineStr"/>
      <c r="BK454" t="inlineStr"/>
      <c r="BL454" t="inlineStr"/>
      <c r="BM454" t="inlineStr"/>
      <c r="BN454" t="n">
        <v>0</v>
      </c>
      <c r="BO454" t="inlineStr"/>
      <c r="BP454" t="inlineStr"/>
      <c r="BQ454" t="inlineStr"/>
      <c r="BR454" t="inlineStr"/>
      <c r="BS454" t="inlineStr"/>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c r="DB454" t="inlineStr"/>
      <c r="DC454" t="inlineStr"/>
      <c r="DD454" t="inlineStr"/>
      <c r="DE454" t="inlineStr"/>
      <c r="DF454" t="inlineStr"/>
      <c r="DG454" t="inlineStr"/>
    </row>
    <row r="455">
      <c r="A455" t="inlineStr">
        <is>
          <t>III</t>
        </is>
      </c>
      <c r="B455" t="b">
        <v>1</v>
      </c>
      <c r="C455" t="inlineStr"/>
      <c r="D455" t="inlineStr"/>
      <c r="E455" t="n">
        <v>523</v>
      </c>
      <c r="F455">
        <f>HYPERLINK("https://portal.dnb.de/opac.htm?method=simpleSearch&amp;cqlMode=true&amp;query=idn%3D993944442", "Portal")</f>
        <v/>
      </c>
      <c r="G455" t="inlineStr">
        <is>
          <t>Aal</t>
        </is>
      </c>
      <c r="H455" t="inlineStr">
        <is>
          <t>L-1549-154067296</t>
        </is>
      </c>
      <c r="I455" t="inlineStr">
        <is>
          <t>993944442</t>
        </is>
      </c>
      <c r="J455" t="inlineStr">
        <is>
          <t>III 58, 3 s</t>
        </is>
      </c>
      <c r="K455" t="inlineStr">
        <is>
          <t>III 58, 3 s</t>
        </is>
      </c>
      <c r="L455" t="inlineStr">
        <is>
          <t>III 58, 3 s</t>
        </is>
      </c>
      <c r="M455" t="inlineStr"/>
      <c r="N455" t="inlineStr">
        <is>
          <t>Ein @seer Schön Christ||lich bedencken auff das Schendlich|| INTERIM|| Mit antzeigung der zeichen, so|| fur dem Jüngsten Tage her||komen, vnd den jtzi</t>
        </is>
      </c>
      <c r="O455" t="inlineStr">
        <is>
          <t xml:space="preserve"> : </t>
        </is>
      </c>
      <c r="P455" t="inlineStr"/>
      <c r="Q455" t="inlineStr"/>
      <c r="R455" t="inlineStr">
        <is>
          <t>Halbpergamentband</t>
        </is>
      </c>
      <c r="S455" t="inlineStr">
        <is>
          <t>bis 25 cm</t>
        </is>
      </c>
      <c r="T455" t="inlineStr">
        <is>
          <t>180°</t>
        </is>
      </c>
      <c r="U455" t="inlineStr"/>
      <c r="V455" t="inlineStr"/>
      <c r="W455" t="inlineStr"/>
      <c r="X455" t="inlineStr"/>
      <c r="Y455" t="n">
        <v>0</v>
      </c>
      <c r="Z455" t="inlineStr"/>
      <c r="AA455" t="inlineStr"/>
      <c r="AB455" t="inlineStr"/>
      <c r="AC455" t="inlineStr"/>
      <c r="AD455" t="inlineStr"/>
      <c r="AE455" t="inlineStr"/>
      <c r="AF455" t="inlineStr"/>
      <c r="AG455" t="inlineStr"/>
      <c r="AH455" t="inlineStr"/>
      <c r="AI455" t="inlineStr"/>
      <c r="AJ455" t="inlineStr"/>
      <c r="AK455" t="inlineStr"/>
      <c r="AL455" t="inlineStr"/>
      <c r="AM455" t="inlineStr"/>
      <c r="AN455" t="inlineStr"/>
      <c r="AO455" t="inlineStr"/>
      <c r="AP455" t="inlineStr"/>
      <c r="AQ455" t="inlineStr"/>
      <c r="AR455" t="inlineStr"/>
      <c r="AS455" t="inlineStr"/>
      <c r="AT455" t="inlineStr"/>
      <c r="AU455" t="inlineStr"/>
      <c r="AV455" t="inlineStr"/>
      <c r="AW455" t="inlineStr"/>
      <c r="AX455" t="inlineStr"/>
      <c r="AY455" t="inlineStr"/>
      <c r="AZ455" t="inlineStr"/>
      <c r="BA455" t="inlineStr"/>
      <c r="BB455" t="inlineStr"/>
      <c r="BC455" t="inlineStr"/>
      <c r="BD455" t="inlineStr"/>
      <c r="BE455" t="inlineStr"/>
      <c r="BF455" t="inlineStr"/>
      <c r="BG455" t="inlineStr"/>
      <c r="BH455" t="inlineStr"/>
      <c r="BI455" t="inlineStr"/>
      <c r="BJ455" t="inlineStr"/>
      <c r="BK455" t="inlineStr"/>
      <c r="BL455" t="inlineStr"/>
      <c r="BM455" t="inlineStr"/>
      <c r="BN455" t="n">
        <v>0</v>
      </c>
      <c r="BO455" t="inlineStr"/>
      <c r="BP455" t="inlineStr"/>
      <c r="BQ455" t="inlineStr"/>
      <c r="BR455" t="inlineStr"/>
      <c r="BS455" t="inlineStr"/>
      <c r="BT455" t="inlineStr"/>
      <c r="BU455" t="inlineStr"/>
      <c r="BV455" t="inlineStr"/>
      <c r="BW455" t="inlineStr"/>
      <c r="BX455" t="inlineStr"/>
      <c r="BY455" t="inlineStr"/>
      <c r="BZ455" t="inlineStr"/>
      <c r="CA455" t="inlineStr"/>
      <c r="CB455" t="inlineStr"/>
      <c r="CC455" t="inlineStr"/>
      <c r="CD455" t="inlineStr"/>
      <c r="CE455" t="inlineStr"/>
      <c r="CF455" t="inlineStr"/>
      <c r="CG455" t="inlineStr"/>
      <c r="CH455" t="inlineStr"/>
      <c r="CI455" t="inlineStr"/>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c r="CZ455" t="inlineStr"/>
      <c r="DA455" t="inlineStr"/>
      <c r="DB455" t="inlineStr"/>
      <c r="DC455" t="inlineStr"/>
      <c r="DD455" t="inlineStr"/>
      <c r="DE455" t="inlineStr"/>
      <c r="DF455" t="inlineStr"/>
      <c r="DG455" t="inlineStr"/>
    </row>
    <row r="456">
      <c r="A456" t="inlineStr">
        <is>
          <t>III</t>
        </is>
      </c>
      <c r="B456" t="b">
        <v>1</v>
      </c>
      <c r="C456" t="inlineStr"/>
      <c r="D456" t="inlineStr"/>
      <c r="E456" t="n">
        <v>524</v>
      </c>
      <c r="F456">
        <f>HYPERLINK("https://portal.dnb.de/opac.htm?method=simpleSearch&amp;cqlMode=true&amp;query=idn%3D1000481581", "Portal")</f>
        <v/>
      </c>
      <c r="G456" t="inlineStr">
        <is>
          <t>Aal</t>
        </is>
      </c>
      <c r="H456" t="inlineStr">
        <is>
          <t>L-1536-170698769</t>
        </is>
      </c>
      <c r="I456" t="inlineStr">
        <is>
          <t>1000481581</t>
        </is>
      </c>
      <c r="J456" t="inlineStr">
        <is>
          <t>III 58, 3 t</t>
        </is>
      </c>
      <c r="K456" t="inlineStr">
        <is>
          <t>III 58, 3 t</t>
        </is>
      </c>
      <c r="L456" t="inlineStr">
        <is>
          <t>III 58, 3 t</t>
        </is>
      </c>
      <c r="M456" t="inlineStr"/>
      <c r="N456" t="inlineStr">
        <is>
          <t xml:space="preserve">Der|| @XIIII. Psalm inn|| eil ausgelegt|| durch|| D. Vrbanum Regi=||um|| an einen gu=||ten freund : </t>
        </is>
      </c>
      <c r="O456" t="inlineStr">
        <is>
          <t xml:space="preserve"> : </t>
        </is>
      </c>
      <c r="P456" t="inlineStr"/>
      <c r="Q456" t="inlineStr"/>
      <c r="R456" t="inlineStr"/>
      <c r="S456" t="inlineStr"/>
      <c r="T456" t="inlineStr"/>
      <c r="U456" t="inlineStr"/>
      <c r="V456" t="inlineStr"/>
      <c r="W456" t="inlineStr"/>
      <c r="X456" t="inlineStr"/>
      <c r="Y456" t="inlineStr"/>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c r="BD456" t="inlineStr"/>
      <c r="BE456" t="inlineStr"/>
      <c r="BF456" t="inlineStr"/>
      <c r="BG456" t="inlineStr"/>
      <c r="BH456" t="inlineStr"/>
      <c r="BI456" t="inlineStr"/>
      <c r="BJ456" t="inlineStr"/>
      <c r="BK456" t="inlineStr"/>
      <c r="BL456" t="inlineStr"/>
      <c r="BM456" t="inlineStr"/>
      <c r="BN456" t="n">
        <v>0</v>
      </c>
      <c r="BO456" t="inlineStr"/>
      <c r="BP456" t="inlineStr"/>
      <c r="BQ456" t="inlineStr"/>
      <c r="BR456" t="inlineStr"/>
      <c r="BS456" t="inlineStr"/>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c r="DB456" t="inlineStr"/>
      <c r="DC456" t="inlineStr"/>
      <c r="DD456" t="inlineStr"/>
      <c r="DE456" t="inlineStr"/>
      <c r="DF456" t="inlineStr"/>
      <c r="DG456" t="inlineStr"/>
    </row>
    <row r="457">
      <c r="A457" t="inlineStr">
        <is>
          <t>III</t>
        </is>
      </c>
      <c r="B457" t="b">
        <v>1</v>
      </c>
      <c r="C457" t="inlineStr"/>
      <c r="D457" t="inlineStr"/>
      <c r="E457" t="n">
        <v>525</v>
      </c>
      <c r="F457">
        <f>HYPERLINK("https://portal.dnb.de/opac.htm?method=simpleSearch&amp;cqlMode=true&amp;query=idn%3D1000481581", "Portal")</f>
        <v/>
      </c>
      <c r="G457" t="inlineStr">
        <is>
          <t>Aal</t>
        </is>
      </c>
      <c r="H457" t="inlineStr">
        <is>
          <t>L-1536-170698726</t>
        </is>
      </c>
      <c r="I457" t="inlineStr">
        <is>
          <t>1000481581</t>
        </is>
      </c>
      <c r="J457" t="inlineStr">
        <is>
          <t>III 58, 3 ta</t>
        </is>
      </c>
      <c r="K457" t="inlineStr">
        <is>
          <t>III 58, 3 ta</t>
        </is>
      </c>
      <c r="L457" t="inlineStr">
        <is>
          <t>III 58, 3 ta</t>
        </is>
      </c>
      <c r="M457" t="inlineStr"/>
      <c r="N457" t="inlineStr">
        <is>
          <t xml:space="preserve">Der|| @XIIII. Psalm inn|| eil ausgelegt|| durch|| D. Vrbanum Regi=||um|| an einen gu=||ten freund : </t>
        </is>
      </c>
      <c r="O457" t="inlineStr">
        <is>
          <t xml:space="preserve"> : </t>
        </is>
      </c>
      <c r="P457" t="inlineStr"/>
      <c r="Q457" t="inlineStr"/>
      <c r="R457" t="inlineStr"/>
      <c r="S457" t="inlineStr">
        <is>
          <t>bis 25 cm</t>
        </is>
      </c>
      <c r="T457" t="inlineStr"/>
      <c r="U457" t="inlineStr"/>
      <c r="V457" t="inlineStr"/>
      <c r="W457" t="inlineStr"/>
      <c r="X457" t="inlineStr"/>
      <c r="Y457" t="inlineStr"/>
      <c r="Z457" t="inlineStr"/>
      <c r="AA457" t="inlineStr"/>
      <c r="AB457" t="inlineStr"/>
      <c r="AC457" t="inlineStr"/>
      <c r="AD457" t="inlineStr"/>
      <c r="AE457" t="inlineStr"/>
      <c r="AF457" t="inlineStr"/>
      <c r="AG457" t="inlineStr"/>
      <c r="AH457" t="inlineStr"/>
      <c r="AI457" t="inlineStr">
        <is>
          <t>HPg</t>
        </is>
      </c>
      <c r="AJ457" t="inlineStr"/>
      <c r="AK457" t="inlineStr"/>
      <c r="AL457" t="inlineStr">
        <is>
          <t>x</t>
        </is>
      </c>
      <c r="AM457" t="inlineStr">
        <is>
          <t>h/E</t>
        </is>
      </c>
      <c r="AN457" t="inlineStr"/>
      <c r="AO457" t="inlineStr"/>
      <c r="AP457" t="inlineStr"/>
      <c r="AQ457" t="inlineStr"/>
      <c r="AR457" t="inlineStr"/>
      <c r="AS457" t="inlineStr">
        <is>
          <t>Pa</t>
        </is>
      </c>
      <c r="AT457" t="inlineStr"/>
      <c r="AU457" t="inlineStr"/>
      <c r="AV457" t="inlineStr"/>
      <c r="AW457" t="inlineStr"/>
      <c r="AX457" t="inlineStr"/>
      <c r="AY457" t="inlineStr"/>
      <c r="AZ457" t="inlineStr"/>
      <c r="BA457" t="inlineStr"/>
      <c r="BB457" t="inlineStr"/>
      <c r="BC457" t="inlineStr"/>
      <c r="BD457" t="inlineStr"/>
      <c r="BE457" t="inlineStr"/>
      <c r="BF457" t="inlineStr"/>
      <c r="BG457" t="n">
        <v>110</v>
      </c>
      <c r="BH457" t="inlineStr"/>
      <c r="BI457" t="inlineStr"/>
      <c r="BJ457" t="inlineStr"/>
      <c r="BK457" t="inlineStr"/>
      <c r="BL457" t="inlineStr"/>
      <c r="BM457" t="inlineStr">
        <is>
          <t>n</t>
        </is>
      </c>
      <c r="BN457" t="n">
        <v>0</v>
      </c>
      <c r="BO457" t="inlineStr"/>
      <c r="BP457" t="inlineStr"/>
      <c r="BQ457" t="inlineStr"/>
      <c r="BR457" t="inlineStr"/>
      <c r="BS457" t="inlineStr"/>
      <c r="BT457" t="inlineStr"/>
      <c r="BU457" t="inlineStr"/>
      <c r="BV457" t="inlineStr"/>
      <c r="BW457" t="inlineStr"/>
      <c r="BX457" t="inlineStr"/>
      <c r="BY457" t="inlineStr"/>
      <c r="BZ457" t="inlineStr"/>
      <c r="CA457" t="inlineStr"/>
      <c r="CB457" t="inlineStr"/>
      <c r="CC457" t="inlineStr"/>
      <c r="CD457" t="inlineStr"/>
      <c r="CE457" t="inlineStr"/>
      <c r="CF457" t="inlineStr"/>
      <c r="CG457" t="inlineStr"/>
      <c r="CH457" t="inlineStr"/>
      <c r="CI457" t="inlineStr"/>
      <c r="CJ457" t="inlineStr"/>
      <c r="CK457" t="inlineStr"/>
      <c r="CL457" t="inlineStr"/>
      <c r="CM457" t="inlineStr"/>
      <c r="CN457" t="inlineStr"/>
      <c r="CO457" t="inlineStr"/>
      <c r="CP457" t="inlineStr"/>
      <c r="CQ457" t="inlineStr"/>
      <c r="CR457" t="inlineStr"/>
      <c r="CS457" t="inlineStr"/>
      <c r="CT457" t="inlineStr"/>
      <c r="CU457" t="inlineStr"/>
      <c r="CV457" t="inlineStr"/>
      <c r="CW457" t="inlineStr"/>
      <c r="CX457" t="inlineStr"/>
      <c r="CY457" t="inlineStr"/>
      <c r="CZ457" t="inlineStr"/>
      <c r="DA457" t="inlineStr"/>
      <c r="DB457" t="inlineStr"/>
      <c r="DC457" t="inlineStr"/>
      <c r="DD457" t="inlineStr"/>
      <c r="DE457" t="inlineStr"/>
      <c r="DF457" t="inlineStr"/>
      <c r="DG457" t="inlineStr"/>
    </row>
    <row r="458">
      <c r="A458" t="inlineStr">
        <is>
          <t>III</t>
        </is>
      </c>
      <c r="B458" t="b">
        <v>1</v>
      </c>
      <c r="C458" t="inlineStr"/>
      <c r="D458" t="inlineStr"/>
      <c r="E458" t="n">
        <v>526</v>
      </c>
      <c r="F458">
        <f>HYPERLINK("https://portal.dnb.de/opac.htm?method=simpleSearch&amp;cqlMode=true&amp;query=idn%3D998904147", "Portal")</f>
        <v/>
      </c>
      <c r="G458" t="inlineStr">
        <is>
          <t>Aal</t>
        </is>
      </c>
      <c r="H458" t="inlineStr">
        <is>
          <t>L-1529-167188550</t>
        </is>
      </c>
      <c r="I458" t="inlineStr">
        <is>
          <t>998904147</t>
        </is>
      </c>
      <c r="J458" t="inlineStr">
        <is>
          <t>III 58, 3 u</t>
        </is>
      </c>
      <c r="K458" t="inlineStr">
        <is>
          <t>III 58, 3 u</t>
        </is>
      </c>
      <c r="L458" t="inlineStr">
        <is>
          <t>III 58, 3 u</t>
        </is>
      </c>
      <c r="M458" t="inlineStr"/>
      <c r="N458" t="inlineStr">
        <is>
          <t xml:space="preserve">Auslegunge|| der Euangelien|| von Ostern|| bis auffs Aduent|| gepre=||digt durch Doctorem|| : </t>
        </is>
      </c>
      <c r="O458" t="inlineStr">
        <is>
          <t xml:space="preserve"> : </t>
        </is>
      </c>
      <c r="P458" t="inlineStr"/>
      <c r="Q458" t="inlineStr"/>
      <c r="R458" t="inlineStr">
        <is>
          <t>Pergamentband</t>
        </is>
      </c>
      <c r="S458" t="inlineStr">
        <is>
          <t>bis 35 cm</t>
        </is>
      </c>
      <c r="T458" t="inlineStr">
        <is>
          <t>180°</t>
        </is>
      </c>
      <c r="U458" t="inlineStr">
        <is>
          <t>Einband mit Schutz- oder Stoßkanten, hohler Rücken</t>
        </is>
      </c>
      <c r="V458" t="inlineStr"/>
      <c r="W458" t="inlineStr">
        <is>
          <t xml:space="preserve">Papierumschlag </t>
        </is>
      </c>
      <c r="X458" t="inlineStr">
        <is>
          <t>Ja</t>
        </is>
      </c>
      <c r="Y458" t="n">
        <v>0</v>
      </c>
      <c r="Z458" t="inlineStr"/>
      <c r="AA458" t="inlineStr"/>
      <c r="AB458" t="inlineStr"/>
      <c r="AC458" t="inlineStr"/>
      <c r="AD458" t="inlineStr"/>
      <c r="AE458" t="inlineStr"/>
      <c r="AF458" t="inlineStr"/>
      <c r="AG458" t="inlineStr"/>
      <c r="AH458" t="inlineStr"/>
      <c r="AI458" t="inlineStr">
        <is>
          <t>Pg</t>
        </is>
      </c>
      <c r="AJ458" t="inlineStr"/>
      <c r="AK458" t="inlineStr"/>
      <c r="AL458" t="inlineStr">
        <is>
          <t>x</t>
        </is>
      </c>
      <c r="AM458" t="inlineStr">
        <is>
          <t>h/E</t>
        </is>
      </c>
      <c r="AN458" t="inlineStr">
        <is>
          <t>x</t>
        </is>
      </c>
      <c r="AO458" t="inlineStr"/>
      <c r="AP458" t="inlineStr"/>
      <c r="AQ458" t="inlineStr"/>
      <c r="AR458" t="inlineStr"/>
      <c r="AS458" t="inlineStr">
        <is>
          <t>Pa</t>
        </is>
      </c>
      <c r="AT458" t="inlineStr"/>
      <c r="AU458" t="inlineStr"/>
      <c r="AV458" t="inlineStr"/>
      <c r="AW458" t="inlineStr"/>
      <c r="AX458" t="inlineStr"/>
      <c r="AY458" t="inlineStr"/>
      <c r="AZ458" t="inlineStr"/>
      <c r="BA458" t="inlineStr"/>
      <c r="BB458" t="inlineStr"/>
      <c r="BC458" t="inlineStr"/>
      <c r="BD458" t="inlineStr"/>
      <c r="BE458" t="inlineStr"/>
      <c r="BF458" t="inlineStr"/>
      <c r="BG458" t="n">
        <v>110</v>
      </c>
      <c r="BH458" t="inlineStr"/>
      <c r="BI458" t="inlineStr"/>
      <c r="BJ458" t="inlineStr"/>
      <c r="BK458" t="inlineStr"/>
      <c r="BL458" t="inlineStr"/>
      <c r="BM458" t="inlineStr">
        <is>
          <t>n</t>
        </is>
      </c>
      <c r="BN458" t="n">
        <v>0</v>
      </c>
      <c r="BO458" t="inlineStr"/>
      <c r="BP458" t="inlineStr"/>
      <c r="BQ458" t="inlineStr"/>
      <c r="BR458" t="inlineStr"/>
      <c r="BS458" t="inlineStr"/>
      <c r="BT458" t="inlineStr">
        <is>
          <t>x sauer</t>
        </is>
      </c>
      <c r="BU458" t="inlineStr">
        <is>
          <t>x</t>
        </is>
      </c>
      <c r="BV458" t="inlineStr"/>
      <c r="BW458" t="inlineStr">
        <is>
          <t>x 110</t>
        </is>
      </c>
      <c r="BX458" t="inlineStr">
        <is>
          <t xml:space="preserve">
voll restauriert, Neueinband</t>
        </is>
      </c>
      <c r="BY458" t="inlineStr"/>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c r="DB458" t="inlineStr"/>
      <c r="DC458" t="inlineStr"/>
      <c r="DD458" t="inlineStr"/>
      <c r="DE458" t="inlineStr"/>
      <c r="DF458" t="inlineStr"/>
      <c r="DG458" t="inlineStr"/>
    </row>
    <row r="459">
      <c r="A459" t="inlineStr">
        <is>
          <t>III</t>
        </is>
      </c>
      <c r="B459" t="b">
        <v>1</v>
      </c>
      <c r="C459" t="inlineStr"/>
      <c r="D459" t="inlineStr"/>
      <c r="E459" t="n">
        <v>527</v>
      </c>
      <c r="F459">
        <f>HYPERLINK("https://portal.dnb.de/opac.htm?method=simpleSearch&amp;cqlMode=true&amp;query=idn%3D994160615", "Portal")</f>
        <v/>
      </c>
      <c r="G459" t="inlineStr">
        <is>
          <t>Aal</t>
        </is>
      </c>
      <c r="H459" t="inlineStr">
        <is>
          <t>L-1550-154656631</t>
        </is>
      </c>
      <c r="I459" t="inlineStr">
        <is>
          <t>994160615</t>
        </is>
      </c>
      <c r="J459" t="inlineStr">
        <is>
          <t>III 58, 3 l</t>
        </is>
      </c>
      <c r="K459" t="inlineStr">
        <is>
          <t>III 58, 3 l</t>
        </is>
      </c>
      <c r="L459" t="inlineStr">
        <is>
          <t>III 58, 3/1</t>
        </is>
      </c>
      <c r="M459" t="inlineStr"/>
      <c r="N459" t="inlineStr">
        <is>
          <t>Der @Theologen|| bedencken, odder (wie es durch die|| ihren inn offentlichem Dru[e]ck genennet|| wirdt) : Beschluß des Landtages zu Leiptzig, so im De</t>
        </is>
      </c>
      <c r="O459" t="inlineStr">
        <is>
          <t xml:space="preserve"> : </t>
        </is>
      </c>
      <c r="P459" t="inlineStr"/>
      <c r="Q459" t="inlineStr"/>
      <c r="R459" t="inlineStr"/>
      <c r="S459" t="inlineStr"/>
      <c r="T459" t="inlineStr"/>
      <c r="U459" t="inlineStr"/>
      <c r="V459" t="inlineStr"/>
      <c r="W459" t="inlineStr"/>
      <c r="X459" t="inlineStr"/>
      <c r="Y459" t="inlineStr"/>
      <c r="Z459" t="inlineStr"/>
      <c r="AA459" t="inlineStr"/>
      <c r="AB459" t="inlineStr"/>
      <c r="AC459" t="inlineStr"/>
      <c r="AD459" t="inlineStr"/>
      <c r="AE459" t="inlineStr"/>
      <c r="AF459" t="inlineStr"/>
      <c r="AG459" t="inlineStr"/>
      <c r="AH459" t="inlineStr"/>
      <c r="AI459" t="inlineStr"/>
      <c r="AJ459" t="inlineStr"/>
      <c r="AK459" t="inlineStr"/>
      <c r="AL459" t="inlineStr"/>
      <c r="AM459" t="inlineStr"/>
      <c r="AN459" t="inlineStr"/>
      <c r="AO459" t="inlineStr"/>
      <c r="AP459" t="inlineStr"/>
      <c r="AQ459" t="inlineStr"/>
      <c r="AR459" t="inlineStr"/>
      <c r="AS459" t="inlineStr"/>
      <c r="AT459" t="inlineStr"/>
      <c r="AU459" t="inlineStr"/>
      <c r="AV459" t="inlineStr"/>
      <c r="AW459" t="inlineStr"/>
      <c r="AX459" t="inlineStr"/>
      <c r="AY459" t="inlineStr"/>
      <c r="AZ459" t="inlineStr"/>
      <c r="BA459" t="inlineStr"/>
      <c r="BB459" t="inlineStr"/>
      <c r="BC459" t="inlineStr"/>
      <c r="BD459" t="inlineStr"/>
      <c r="BE459" t="inlineStr"/>
      <c r="BF459" t="inlineStr"/>
      <c r="BG459" t="inlineStr"/>
      <c r="BH459" t="inlineStr"/>
      <c r="BI459" t="inlineStr"/>
      <c r="BJ459" t="inlineStr"/>
      <c r="BK459" t="inlineStr"/>
      <c r="BL459" t="inlineStr"/>
      <c r="BM459" t="inlineStr"/>
      <c r="BN459" t="n">
        <v>0</v>
      </c>
      <c r="BO459" t="inlineStr"/>
      <c r="BP459" t="inlineStr"/>
      <c r="BQ459" t="inlineStr"/>
      <c r="BR459" t="inlineStr"/>
      <c r="BS459" t="inlineStr"/>
      <c r="BT459" t="inlineStr"/>
      <c r="BU459" t="inlineStr"/>
      <c r="BV459" t="inlineStr"/>
      <c r="BW459" t="inlineStr"/>
      <c r="BX459" t="inlineStr"/>
      <c r="BY459" t="inlineStr"/>
      <c r="BZ459" t="inlineStr"/>
      <c r="CA459" t="inlineStr"/>
      <c r="CB459" t="inlineStr"/>
      <c r="CC459" t="inlineStr"/>
      <c r="CD459" t="inlineStr"/>
      <c r="CE459" t="inlineStr"/>
      <c r="CF459" t="inlineStr"/>
      <c r="CG459" t="inlineStr"/>
      <c r="CH459" t="inlineStr"/>
      <c r="CI459" t="inlineStr"/>
      <c r="CJ459" t="inlineStr"/>
      <c r="CK459" t="inlineStr"/>
      <c r="CL459" t="inlineStr"/>
      <c r="CM459" t="inlineStr"/>
      <c r="CN459" t="inlineStr"/>
      <c r="CO459" t="inlineStr"/>
      <c r="CP459" t="inlineStr"/>
      <c r="CQ459" t="inlineStr"/>
      <c r="CR459" t="inlineStr"/>
      <c r="CS459" t="inlineStr"/>
      <c r="CT459" t="inlineStr"/>
      <c r="CU459" t="inlineStr"/>
      <c r="CV459" t="inlineStr"/>
      <c r="CW459" t="inlineStr"/>
      <c r="CX459" t="inlineStr"/>
      <c r="CY459" t="inlineStr"/>
      <c r="CZ459" t="inlineStr"/>
      <c r="DA459" t="inlineStr"/>
      <c r="DB459" t="inlineStr"/>
      <c r="DC459" t="inlineStr"/>
      <c r="DD459" t="inlineStr"/>
      <c r="DE459" t="inlineStr"/>
      <c r="DF459" t="inlineStr"/>
      <c r="DG459" t="inlineStr"/>
    </row>
    <row r="460">
      <c r="A460" t="inlineStr">
        <is>
          <t>III</t>
        </is>
      </c>
      <c r="B460" t="b">
        <v>1</v>
      </c>
      <c r="C460" t="inlineStr"/>
      <c r="D460" t="inlineStr"/>
      <c r="E460" t="n">
        <v>528</v>
      </c>
      <c r="F460">
        <f>HYPERLINK("https://portal.dnb.de/opac.htm?method=simpleSearch&amp;cqlMode=true&amp;query=idn%3D995662185", "Portal")</f>
        <v/>
      </c>
      <c r="G460" t="inlineStr">
        <is>
          <t>Aal</t>
        </is>
      </c>
      <c r="H460" t="inlineStr">
        <is>
          <t>L-1548-160372135</t>
        </is>
      </c>
      <c r="I460" t="inlineStr">
        <is>
          <t>995662185</t>
        </is>
      </c>
      <c r="J460" t="inlineStr">
        <is>
          <t>III 58, 4 b</t>
        </is>
      </c>
      <c r="K460" t="inlineStr">
        <is>
          <t>III 58, 4 b</t>
        </is>
      </c>
      <c r="L460" t="inlineStr">
        <is>
          <t>III 58, 4 b</t>
        </is>
      </c>
      <c r="M460" t="inlineStr"/>
      <c r="N460" t="inlineStr">
        <is>
          <t>Das @INTERIM|| ILLVMINIRT|| vnd aussgestrichen mit seinen an||gebornen natürlichen farben, von|| Augspurgk einem guten Freunde zugeschickt|| Cum Schol</t>
        </is>
      </c>
      <c r="O460" t="inlineStr">
        <is>
          <t xml:space="preserve"> : </t>
        </is>
      </c>
      <c r="P460" t="inlineStr"/>
      <c r="Q460" t="inlineStr"/>
      <c r="R460" t="inlineStr"/>
      <c r="S460" t="inlineStr"/>
      <c r="T460" t="inlineStr"/>
      <c r="U460" t="inlineStr"/>
      <c r="V460" t="inlineStr"/>
      <c r="W460" t="inlineStr"/>
      <c r="X460" t="inlineStr"/>
      <c r="Y460" t="inlineStr"/>
      <c r="Z460" t="inlineStr"/>
      <c r="AA460" t="inlineStr"/>
      <c r="AB460" t="inlineStr"/>
      <c r="AC460" t="inlineStr"/>
      <c r="AD460" t="inlineStr"/>
      <c r="AE460" t="inlineStr"/>
      <c r="AF460" t="inlineStr"/>
      <c r="AG460" t="inlineStr"/>
      <c r="AH460" t="inlineStr"/>
      <c r="AI460" t="inlineStr"/>
      <c r="AJ460" t="inlineStr"/>
      <c r="AK460" t="inlineStr"/>
      <c r="AL460" t="inlineStr"/>
      <c r="AM460" t="inlineStr"/>
      <c r="AN460" t="inlineStr"/>
      <c r="AO460" t="inlineStr"/>
      <c r="AP460" t="inlineStr"/>
      <c r="AQ460" t="inlineStr"/>
      <c r="AR460" t="inlineStr"/>
      <c r="AS460" t="inlineStr"/>
      <c r="AT460" t="inlineStr"/>
      <c r="AU460" t="inlineStr"/>
      <c r="AV460" t="inlineStr"/>
      <c r="AW460" t="inlineStr"/>
      <c r="AX460" t="inlineStr"/>
      <c r="AY460" t="inlineStr"/>
      <c r="AZ460" t="inlineStr"/>
      <c r="BA460" t="inlineStr"/>
      <c r="BB460" t="inlineStr"/>
      <c r="BC460" t="inlineStr"/>
      <c r="BD460" t="inlineStr"/>
      <c r="BE460" t="inlineStr"/>
      <c r="BF460" t="inlineStr"/>
      <c r="BG460" t="inlineStr"/>
      <c r="BH460" t="inlineStr"/>
      <c r="BI460" t="inlineStr"/>
      <c r="BJ460" t="inlineStr"/>
      <c r="BK460" t="inlineStr"/>
      <c r="BL460" t="inlineStr"/>
      <c r="BM460" t="inlineStr"/>
      <c r="BN460" t="n">
        <v>0</v>
      </c>
      <c r="BO460" t="inlineStr"/>
      <c r="BP460" t="inlineStr"/>
      <c r="BQ460" t="inlineStr"/>
      <c r="BR460" t="inlineStr"/>
      <c r="BS460" t="inlineStr"/>
      <c r="BT460" t="inlineStr"/>
      <c r="BU460" t="inlineStr"/>
      <c r="BV460" t="inlineStr"/>
      <c r="BW460" t="inlineStr"/>
      <c r="BX460" t="inlineStr"/>
      <c r="BY460" t="inlineStr"/>
      <c r="BZ460" t="inlineStr"/>
      <c r="CA460" t="inlineStr"/>
      <c r="CB460" t="inlineStr"/>
      <c r="CC460" t="inlineStr"/>
      <c r="CD460" t="inlineStr"/>
      <c r="CE460" t="inlineStr"/>
      <c r="CF460" t="inlineStr"/>
      <c r="CG460" t="inlineStr"/>
      <c r="CH460" t="inlineStr"/>
      <c r="CI460" t="inlineStr"/>
      <c r="CJ460" t="inlineStr"/>
      <c r="CK460" t="inlineStr"/>
      <c r="CL460" t="inlineStr"/>
      <c r="CM460" t="inlineStr"/>
      <c r="CN460" t="inlineStr"/>
      <c r="CO460" t="inlineStr"/>
      <c r="CP460" t="inlineStr"/>
      <c r="CQ460" t="inlineStr"/>
      <c r="CR460" t="inlineStr"/>
      <c r="CS460" t="inlineStr"/>
      <c r="CT460" t="inlineStr"/>
      <c r="CU460" t="inlineStr"/>
      <c r="CV460" t="inlineStr"/>
      <c r="CW460" t="inlineStr"/>
      <c r="CX460" t="inlineStr"/>
      <c r="CY460" t="inlineStr"/>
      <c r="CZ460" t="inlineStr"/>
      <c r="DA460" t="inlineStr"/>
      <c r="DB460" t="inlineStr"/>
      <c r="DC460" t="inlineStr"/>
      <c r="DD460" t="inlineStr"/>
      <c r="DE460" t="inlineStr"/>
      <c r="DF460" t="inlineStr"/>
      <c r="DG460" t="inlineStr"/>
    </row>
    <row r="461">
      <c r="A461" t="inlineStr">
        <is>
          <t>III</t>
        </is>
      </c>
      <c r="B461" t="b">
        <v>1</v>
      </c>
      <c r="C461" t="inlineStr"/>
      <c r="D461" t="inlineStr"/>
      <c r="E461" t="n">
        <v>529</v>
      </c>
      <c r="F461">
        <f>HYPERLINK("https://portal.dnb.de/opac.htm?method=simpleSearch&amp;cqlMode=true&amp;query=idn%3D993930492", "Portal")</f>
        <v/>
      </c>
      <c r="G461" t="inlineStr">
        <is>
          <t>Aal</t>
        </is>
      </c>
      <c r="H461" t="inlineStr">
        <is>
          <t>L-1549-154040134</t>
        </is>
      </c>
      <c r="I461" t="inlineStr">
        <is>
          <t>993930492</t>
        </is>
      </c>
      <c r="J461" t="inlineStr">
        <is>
          <t>III 58, 4 c</t>
        </is>
      </c>
      <c r="K461" t="inlineStr">
        <is>
          <t>III 58, 4 c</t>
        </is>
      </c>
      <c r="L461" t="inlineStr">
        <is>
          <t>III 58, 4 c</t>
        </is>
      </c>
      <c r="M461" t="inlineStr"/>
      <c r="N461" t="inlineStr">
        <is>
          <t xml:space="preserve">Antwort der Predica[n] : </t>
        </is>
      </c>
      <c r="O461" t="inlineStr">
        <is>
          <t xml:space="preserve"> : </t>
        </is>
      </c>
      <c r="P461" t="inlineStr"/>
      <c r="Q461" t="inlineStr"/>
      <c r="R461" t="inlineStr">
        <is>
          <t>Halbpergamentband</t>
        </is>
      </c>
      <c r="S461" t="inlineStr">
        <is>
          <t>bis 25 cm</t>
        </is>
      </c>
      <c r="T461" t="inlineStr">
        <is>
          <t>180°</t>
        </is>
      </c>
      <c r="U461" t="inlineStr"/>
      <c r="V461" t="inlineStr"/>
      <c r="W461" t="inlineStr"/>
      <c r="X461" t="inlineStr"/>
      <c r="Y461" t="n">
        <v>0</v>
      </c>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inlineStr"/>
      <c r="BI461" t="inlineStr"/>
      <c r="BJ461" t="inlineStr"/>
      <c r="BK461" t="inlineStr"/>
      <c r="BL461" t="inlineStr"/>
      <c r="BM461" t="inlineStr"/>
      <c r="BN461" t="n">
        <v>0</v>
      </c>
      <c r="BO461" t="inlineStr"/>
      <c r="BP461" t="inlineStr"/>
      <c r="BQ461" t="inlineStr"/>
      <c r="BR461" t="inlineStr"/>
      <c r="BS461" t="inlineStr"/>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c r="DA461" t="inlineStr"/>
      <c r="DB461" t="inlineStr"/>
      <c r="DC461" t="inlineStr"/>
      <c r="DD461" t="inlineStr"/>
      <c r="DE461" t="inlineStr"/>
      <c r="DF461" t="inlineStr"/>
      <c r="DG461" t="inlineStr"/>
    </row>
    <row r="462">
      <c r="A462" t="inlineStr">
        <is>
          <t>III</t>
        </is>
      </c>
      <c r="B462" t="b">
        <v>1</v>
      </c>
      <c r="C462" t="inlineStr"/>
      <c r="D462" t="inlineStr"/>
      <c r="E462" t="n">
        <v>530</v>
      </c>
      <c r="F462">
        <f>HYPERLINK("https://portal.dnb.de/opac.htm?method=simpleSearch&amp;cqlMode=true&amp;query=idn%3D993885411", "Portal")</f>
        <v/>
      </c>
      <c r="G462" t="inlineStr">
        <is>
          <t>Aal</t>
        </is>
      </c>
      <c r="H462" t="inlineStr">
        <is>
          <t>L-1550-153948892</t>
        </is>
      </c>
      <c r="I462" t="inlineStr">
        <is>
          <t>993885411</t>
        </is>
      </c>
      <c r="J462" t="inlineStr">
        <is>
          <t>III 58, 4 d</t>
        </is>
      </c>
      <c r="K462" t="inlineStr">
        <is>
          <t>III 58, 4 d</t>
        </is>
      </c>
      <c r="L462" t="inlineStr">
        <is>
          <t>III 58, 4 d</t>
        </is>
      </c>
      <c r="M462" t="inlineStr"/>
      <c r="N462" t="inlineStr">
        <is>
          <t xml:space="preserve">Ein @Predigt|| vom Ehestand, vber das Euangelium, Es war ein|| Hochzeit zu Cana etc.|| : </t>
        </is>
      </c>
      <c r="O462" t="inlineStr">
        <is>
          <t xml:space="preserve"> : </t>
        </is>
      </c>
      <c r="P462" t="inlineStr"/>
      <c r="Q462" t="inlineStr"/>
      <c r="R462" t="inlineStr">
        <is>
          <t>Halbpergamentband</t>
        </is>
      </c>
      <c r="S462" t="inlineStr">
        <is>
          <t>bis 25 cm</t>
        </is>
      </c>
      <c r="T462" t="inlineStr">
        <is>
          <t>80° bis 110°, einseitig digitalisierbar?</t>
        </is>
      </c>
      <c r="U462" t="inlineStr">
        <is>
          <t>hohler Rücken</t>
        </is>
      </c>
      <c r="V462" t="inlineStr"/>
      <c r="W462" t="inlineStr"/>
      <c r="X462" t="inlineStr"/>
      <c r="Y462" t="n">
        <v>0</v>
      </c>
      <c r="Z462" t="inlineStr"/>
      <c r="AA462" t="inlineStr"/>
      <c r="AB462" t="inlineStr"/>
      <c r="AC462" t="inlineStr"/>
      <c r="AD462" t="inlineStr"/>
      <c r="AE462" t="inlineStr"/>
      <c r="AF462" t="inlineStr"/>
      <c r="AG462" t="inlineStr"/>
      <c r="AH462" t="inlineStr"/>
      <c r="AI462" t="inlineStr"/>
      <c r="AJ462" t="inlineStr"/>
      <c r="AK462" t="inlineStr"/>
      <c r="AL462" t="inlineStr"/>
      <c r="AM462" t="inlineStr"/>
      <c r="AN462" t="inlineStr"/>
      <c r="AO462" t="inlineStr"/>
      <c r="AP462" t="inlineStr"/>
      <c r="AQ462" t="inlineStr"/>
      <c r="AR462" t="inlineStr"/>
      <c r="AS462" t="inlineStr"/>
      <c r="AT462" t="inlineStr"/>
      <c r="AU462" t="inlineStr"/>
      <c r="AV462" t="inlineStr"/>
      <c r="AW462" t="inlineStr"/>
      <c r="AX462" t="inlineStr"/>
      <c r="AY462" t="inlineStr"/>
      <c r="AZ462" t="inlineStr"/>
      <c r="BA462" t="inlineStr"/>
      <c r="BB462" t="inlineStr"/>
      <c r="BC462" t="inlineStr"/>
      <c r="BD462" t="inlineStr"/>
      <c r="BE462" t="inlineStr"/>
      <c r="BF462" t="inlineStr"/>
      <c r="BG462" t="inlineStr"/>
      <c r="BH462" t="inlineStr"/>
      <c r="BI462" t="inlineStr"/>
      <c r="BJ462" t="inlineStr"/>
      <c r="BK462" t="inlineStr"/>
      <c r="BL462" t="inlineStr"/>
      <c r="BM462" t="inlineStr"/>
      <c r="BN462" t="n">
        <v>0</v>
      </c>
      <c r="BO462" t="inlineStr"/>
      <c r="BP462" t="inlineStr"/>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c r="DB462" t="inlineStr"/>
      <c r="DC462" t="inlineStr"/>
      <c r="DD462" t="inlineStr"/>
      <c r="DE462" t="inlineStr"/>
      <c r="DF462" t="inlineStr"/>
      <c r="DG462" t="inlineStr"/>
    </row>
    <row r="463">
      <c r="A463" t="inlineStr">
        <is>
          <t>III</t>
        </is>
      </c>
      <c r="B463" t="b">
        <v>1</v>
      </c>
      <c r="C463" t="inlineStr"/>
      <c r="D463" t="inlineStr"/>
      <c r="E463" t="n">
        <v>531</v>
      </c>
      <c r="F463">
        <f>HYPERLINK("https://portal.dnb.de/opac.htm?method=simpleSearch&amp;cqlMode=true&amp;query=idn%3D995663084", "Portal")</f>
        <v/>
      </c>
      <c r="G463" t="inlineStr">
        <is>
          <t>Aal</t>
        </is>
      </c>
      <c r="H463" t="inlineStr">
        <is>
          <t>L-1550-160373263</t>
        </is>
      </c>
      <c r="I463" t="inlineStr">
        <is>
          <t>995663084</t>
        </is>
      </c>
      <c r="J463" t="inlineStr">
        <is>
          <t>III 58, 4 e</t>
        </is>
      </c>
      <c r="K463" t="inlineStr">
        <is>
          <t>III 58, 4 e</t>
        </is>
      </c>
      <c r="L463" t="inlineStr">
        <is>
          <t>III 58, 4 e</t>
        </is>
      </c>
      <c r="M463" t="inlineStr"/>
      <c r="N463" t="inlineStr">
        <is>
          <t xml:space="preserve">Zwey Capitel Poly||dori Virgilij vom Name[n] vnd Stiff|tern der Mess, ausgangen zu einem anfang wider|| des Sydonij predigten, Daraus erscheinet, wie </t>
        </is>
      </c>
      <c r="O463" t="inlineStr">
        <is>
          <t xml:space="preserve"> : </t>
        </is>
      </c>
      <c r="P463" t="inlineStr"/>
      <c r="Q463" t="inlineStr"/>
      <c r="R463" t="inlineStr"/>
      <c r="S463" t="inlineStr"/>
      <c r="T463" t="inlineStr"/>
      <c r="U463" t="inlineStr"/>
      <c r="V463" t="inlineStr"/>
      <c r="W463" t="inlineStr"/>
      <c r="X463" t="inlineStr"/>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inlineStr"/>
      <c r="BI463" t="inlineStr"/>
      <c r="BJ463" t="inlineStr"/>
      <c r="BK463" t="inlineStr"/>
      <c r="BL463" t="inlineStr"/>
      <c r="BM463" t="inlineStr"/>
      <c r="BN463" t="n">
        <v>0</v>
      </c>
      <c r="BO463" t="inlineStr"/>
      <c r="BP463" t="inlineStr"/>
      <c r="BQ463" t="inlineStr"/>
      <c r="BR463" t="inlineStr"/>
      <c r="BS463" t="inlineStr"/>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c r="DA463" t="inlineStr"/>
      <c r="DB463" t="inlineStr"/>
      <c r="DC463" t="inlineStr"/>
      <c r="DD463" t="inlineStr"/>
      <c r="DE463" t="inlineStr"/>
      <c r="DF463" t="inlineStr"/>
      <c r="DG463" t="inlineStr"/>
    </row>
    <row r="464">
      <c r="A464" t="inlineStr">
        <is>
          <t>III</t>
        </is>
      </c>
      <c r="B464" t="b">
        <v>0</v>
      </c>
      <c r="C464" t="inlineStr"/>
      <c r="D464" t="inlineStr"/>
      <c r="E464" t="n">
        <v>532</v>
      </c>
      <c r="F464">
        <f>HYPERLINK("https://portal.dnb.de/opac.htm?method=simpleSearch&amp;cqlMode=true&amp;query=idn%3D1001606396", "Portal")</f>
        <v/>
      </c>
      <c r="G464" t="inlineStr"/>
      <c r="H464" t="inlineStr">
        <is>
          <t>L-1550-175198233</t>
        </is>
      </c>
      <c r="I464" t="inlineStr">
        <is>
          <t>1001606396</t>
        </is>
      </c>
      <c r="J464" t="inlineStr"/>
      <c r="K464" t="inlineStr"/>
      <c r="L464" t="inlineStr">
        <is>
          <t>III 58, 4 e</t>
        </is>
      </c>
      <c r="M464" t="inlineStr"/>
      <c r="N464" t="inlineStr"/>
      <c r="O464" t="inlineStr"/>
      <c r="P464" t="inlineStr"/>
      <c r="Q464" t="inlineStr"/>
      <c r="R464" t="inlineStr"/>
      <c r="S464" t="inlineStr"/>
      <c r="T464" t="inlineStr"/>
      <c r="U464" t="inlineStr"/>
      <c r="V464" t="inlineStr"/>
      <c r="W464" t="inlineStr"/>
      <c r="X464" t="inlineStr"/>
      <c r="Y464" t="inlineStr"/>
      <c r="Z464" t="inlineStr"/>
      <c r="AA464" t="inlineStr"/>
      <c r="AB464" t="inlineStr"/>
      <c r="AC464" t="inlineStr"/>
      <c r="AD464" t="inlineStr"/>
      <c r="AE464" t="inlineStr"/>
      <c r="AF464" t="inlineStr"/>
      <c r="AG464" t="inlineStr"/>
      <c r="AH464" t="inlineStr"/>
      <c r="AI464" t="inlineStr"/>
      <c r="AJ464" t="inlineStr"/>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c r="AY464" t="inlineStr"/>
      <c r="AZ464" t="inlineStr"/>
      <c r="BA464" t="inlineStr"/>
      <c r="BB464" t="inlineStr"/>
      <c r="BC464" t="inlineStr"/>
      <c r="BD464" t="inlineStr"/>
      <c r="BE464" t="inlineStr"/>
      <c r="BF464" t="inlineStr"/>
      <c r="BG464" t="inlineStr"/>
      <c r="BH464" t="inlineStr"/>
      <c r="BI464" t="inlineStr"/>
      <c r="BJ464" t="inlineStr"/>
      <c r="BK464" t="inlineStr"/>
      <c r="BL464" t="inlineStr"/>
      <c r="BM464" t="inlineStr"/>
      <c r="BN464" t="n">
        <v>0</v>
      </c>
      <c r="BO464" t="inlineStr"/>
      <c r="BP464" t="inlineStr"/>
      <c r="BQ464" t="inlineStr"/>
      <c r="BR464" t="inlineStr"/>
      <c r="BS464" t="inlineStr"/>
      <c r="BT464" t="inlineStr"/>
      <c r="BU464" t="inlineStr"/>
      <c r="BV464" t="inlineStr"/>
      <c r="BW464" t="inlineStr"/>
      <c r="BX464" t="inlineStr"/>
      <c r="BY464" t="inlineStr"/>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c r="DA464" t="inlineStr"/>
      <c r="DB464" t="inlineStr"/>
      <c r="DC464" t="inlineStr"/>
      <c r="DD464" t="inlineStr"/>
      <c r="DE464" t="inlineStr"/>
      <c r="DF464" t="inlineStr"/>
      <c r="DG464" t="inlineStr"/>
    </row>
    <row r="465">
      <c r="A465" t="inlineStr">
        <is>
          <t>III</t>
        </is>
      </c>
      <c r="B465" t="b">
        <v>1</v>
      </c>
      <c r="C465" t="inlineStr"/>
      <c r="D465" t="inlineStr"/>
      <c r="E465" t="n">
        <v>533</v>
      </c>
      <c r="F465">
        <f>HYPERLINK("https://portal.dnb.de/opac.htm?method=simpleSearch&amp;cqlMode=true&amp;query=idn%3D1003301878", "Portal")</f>
        <v/>
      </c>
      <c r="G465" t="inlineStr">
        <is>
          <t>Aal</t>
        </is>
      </c>
      <c r="H465" t="inlineStr">
        <is>
          <t>L-1550-17940069X</t>
        </is>
      </c>
      <c r="I465" t="inlineStr">
        <is>
          <t>1003301878</t>
        </is>
      </c>
      <c r="J465" t="inlineStr">
        <is>
          <t>III 58, 4 f</t>
        </is>
      </c>
      <c r="K465" t="inlineStr">
        <is>
          <t>III 58, 4 f</t>
        </is>
      </c>
      <c r="L465" t="inlineStr">
        <is>
          <t>III 58, 4 f</t>
        </is>
      </c>
      <c r="M465" t="inlineStr"/>
      <c r="N465" t="inlineStr">
        <is>
          <t>Zwo Predige[n] gethan|| aus dem Euangelio Matthei xxj|| : das man in den Kirchen alles in gemeiner be=||kanter sprach Lesen vnd Singen sol. ...</t>
        </is>
      </c>
      <c r="O465" t="inlineStr">
        <is>
          <t xml:space="preserve"> : </t>
        </is>
      </c>
      <c r="P465" t="inlineStr"/>
      <c r="Q465" t="inlineStr"/>
      <c r="R465" t="inlineStr">
        <is>
          <t>Halbpergamentband</t>
        </is>
      </c>
      <c r="S465" t="inlineStr">
        <is>
          <t>bis 25 cm</t>
        </is>
      </c>
      <c r="T465" t="inlineStr">
        <is>
          <t>180°</t>
        </is>
      </c>
      <c r="U465" t="inlineStr"/>
      <c r="V465" t="inlineStr"/>
      <c r="W465" t="inlineStr"/>
      <c r="X465" t="inlineStr"/>
      <c r="Y465" t="n">
        <v>0</v>
      </c>
      <c r="Z465" t="inlineStr"/>
      <c r="AA465" t="inlineStr"/>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inlineStr"/>
      <c r="BI465" t="inlineStr"/>
      <c r="BJ465" t="inlineStr"/>
      <c r="BK465" t="inlineStr"/>
      <c r="BL465" t="inlineStr"/>
      <c r="BM465" t="inlineStr"/>
      <c r="BN465" t="n">
        <v>0</v>
      </c>
      <c r="BO465" t="inlineStr"/>
      <c r="BP465" t="inlineStr"/>
      <c r="BQ465" t="inlineStr"/>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c r="DA465" t="inlineStr"/>
      <c r="DB465" t="inlineStr"/>
      <c r="DC465" t="inlineStr"/>
      <c r="DD465" t="inlineStr"/>
      <c r="DE465" t="inlineStr"/>
      <c r="DF465" t="inlineStr"/>
      <c r="DG465" t="inlineStr"/>
    </row>
    <row r="466">
      <c r="A466" t="inlineStr">
        <is>
          <t>III</t>
        </is>
      </c>
      <c r="B466" t="b">
        <v>1</v>
      </c>
      <c r="C466" t="inlineStr"/>
      <c r="D466" t="inlineStr"/>
      <c r="E466" t="n">
        <v>534</v>
      </c>
      <c r="F466">
        <f>HYPERLINK("https://portal.dnb.de/opac.htm?method=simpleSearch&amp;cqlMode=true&amp;query=idn%3D99886126X", "Portal")</f>
        <v/>
      </c>
      <c r="G466" t="inlineStr">
        <is>
          <t>Aal</t>
        </is>
      </c>
      <c r="H466" t="inlineStr">
        <is>
          <t>L-1551-167083767</t>
        </is>
      </c>
      <c r="I466" t="inlineStr">
        <is>
          <t>99886126X</t>
        </is>
      </c>
      <c r="J466" t="inlineStr">
        <is>
          <t>III 58, 4 g</t>
        </is>
      </c>
      <c r="K466" t="inlineStr">
        <is>
          <t>III 58, 4 g</t>
        </is>
      </c>
      <c r="L466" t="inlineStr">
        <is>
          <t>III 58, 4 g</t>
        </is>
      </c>
      <c r="M466" t="inlineStr"/>
      <c r="N466" t="inlineStr">
        <is>
          <t xml:space="preserve">Etliche sprüche aus|| Doctoris Martini Lutheri schrif||ten, Darinne er, als ein Adiapho||rist sich mit dem Bapst hat vergleichen wollen : </t>
        </is>
      </c>
      <c r="O466" t="inlineStr">
        <is>
          <t xml:space="preserve"> : </t>
        </is>
      </c>
      <c r="P466" t="inlineStr"/>
      <c r="Q466" t="inlineStr"/>
      <c r="R466" t="inlineStr">
        <is>
          <t>Halbpergamentband</t>
        </is>
      </c>
      <c r="S466" t="inlineStr">
        <is>
          <t>bis 25 cm</t>
        </is>
      </c>
      <c r="T466" t="inlineStr">
        <is>
          <t>180°</t>
        </is>
      </c>
      <c r="U466" t="inlineStr">
        <is>
          <t>hohler Rücken</t>
        </is>
      </c>
      <c r="V466" t="inlineStr"/>
      <c r="W466" t="inlineStr"/>
      <c r="X466" t="inlineStr"/>
      <c r="Y466" t="n">
        <v>0</v>
      </c>
      <c r="Z466" t="inlineStr"/>
      <c r="AA466" t="inlineStr"/>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inlineStr"/>
      <c r="BI466" t="inlineStr"/>
      <c r="BJ466" t="inlineStr"/>
      <c r="BK466" t="inlineStr"/>
      <c r="BL466" t="inlineStr"/>
      <c r="BM466" t="inlineStr"/>
      <c r="BN466" t="n">
        <v>0</v>
      </c>
      <c r="BO466" t="inlineStr"/>
      <c r="BP466" t="inlineStr"/>
      <c r="BQ466" t="inlineStr"/>
      <c r="BR466" t="inlineStr"/>
      <c r="BS466" t="inlineStr"/>
      <c r="BT466" t="inlineStr"/>
      <c r="BU466" t="inlineStr"/>
      <c r="BV466" t="inlineStr"/>
      <c r="BW466" t="inlineStr"/>
      <c r="BX466" t="inlineStr"/>
      <c r="BY466" t="inlineStr"/>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c r="CV466" t="inlineStr"/>
      <c r="CW466" t="inlineStr"/>
      <c r="CX466" t="inlineStr"/>
      <c r="CY466" t="inlineStr"/>
      <c r="CZ466" t="inlineStr"/>
      <c r="DA466" t="inlineStr"/>
      <c r="DB466" t="inlineStr"/>
      <c r="DC466" t="inlineStr"/>
      <c r="DD466" t="inlineStr"/>
      <c r="DE466" t="inlineStr"/>
      <c r="DF466" t="inlineStr"/>
      <c r="DG466" t="inlineStr"/>
    </row>
    <row r="467">
      <c r="A467" t="inlineStr">
        <is>
          <t>III</t>
        </is>
      </c>
      <c r="B467" t="b">
        <v>1</v>
      </c>
      <c r="C467" t="inlineStr"/>
      <c r="D467" t="inlineStr"/>
      <c r="E467" t="n">
        <v>535</v>
      </c>
      <c r="F467">
        <f>HYPERLINK("https://portal.dnb.de/opac.htm?method=simpleSearch&amp;cqlMode=true&amp;query=idn%3D993920780", "Portal")</f>
        <v/>
      </c>
      <c r="G467" t="inlineStr">
        <is>
          <t>Aal</t>
        </is>
      </c>
      <c r="H467" t="inlineStr">
        <is>
          <t>L-1551-161282806</t>
        </is>
      </c>
      <c r="I467" t="inlineStr">
        <is>
          <t>993920780</t>
        </is>
      </c>
      <c r="J467" t="inlineStr">
        <is>
          <t>III 58, 4 h</t>
        </is>
      </c>
      <c r="K467" t="inlineStr">
        <is>
          <t>III 58, 4 h</t>
        </is>
      </c>
      <c r="L467" t="inlineStr">
        <is>
          <t>III 58, 4 h</t>
        </is>
      </c>
      <c r="M467" t="inlineStr"/>
      <c r="N467" t="inlineStr">
        <is>
          <t xml:space="preserve">Eine @erinnerung an|| die Deudschen, das die einfeltigen|| jhre Sünde, so sie diese Fünff jar her gethan ha||ben, erkennen, vnd bekennen sollen, sich </t>
        </is>
      </c>
      <c r="O467" t="inlineStr">
        <is>
          <t xml:space="preserve"> : </t>
        </is>
      </c>
      <c r="P467" t="inlineStr">
        <is>
          <t>X</t>
        </is>
      </c>
      <c r="Q467" t="inlineStr"/>
      <c r="R467" t="inlineStr">
        <is>
          <t>Papier- oder Pappeinband</t>
        </is>
      </c>
      <c r="S467" t="inlineStr">
        <is>
          <t>bis 25 cm</t>
        </is>
      </c>
      <c r="T467" t="inlineStr">
        <is>
          <t>180°</t>
        </is>
      </c>
      <c r="U467" t="inlineStr"/>
      <c r="V467" t="inlineStr"/>
      <c r="W467" t="inlineStr"/>
      <c r="X467" t="inlineStr"/>
      <c r="Y467" t="n">
        <v>0</v>
      </c>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inlineStr"/>
      <c r="BI467" t="inlineStr"/>
      <c r="BJ467" t="inlineStr"/>
      <c r="BK467" t="inlineStr"/>
      <c r="BL467" t="inlineStr"/>
      <c r="BM467" t="inlineStr"/>
      <c r="BN467" t="n">
        <v>0</v>
      </c>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c r="DB467" t="inlineStr"/>
      <c r="DC467" t="inlineStr"/>
      <c r="DD467" t="inlineStr"/>
      <c r="DE467" t="inlineStr"/>
      <c r="DF467" t="inlineStr"/>
      <c r="DG467" t="inlineStr"/>
    </row>
    <row r="468">
      <c r="A468" t="inlineStr">
        <is>
          <t>III</t>
        </is>
      </c>
      <c r="B468" t="b">
        <v>1</v>
      </c>
      <c r="C468" t="inlineStr"/>
      <c r="D468" t="inlineStr"/>
      <c r="E468" t="n">
        <v>536</v>
      </c>
      <c r="F468">
        <f>HYPERLINK("https://portal.dnb.de/opac.htm?method=simpleSearch&amp;cqlMode=true&amp;query=idn%3D993920780", "Portal")</f>
        <v/>
      </c>
      <c r="G468" t="inlineStr">
        <is>
          <t>Aal</t>
        </is>
      </c>
      <c r="H468" t="inlineStr">
        <is>
          <t>L-1551-161282814</t>
        </is>
      </c>
      <c r="I468" t="inlineStr">
        <is>
          <t>993920780</t>
        </is>
      </c>
      <c r="J468" t="inlineStr">
        <is>
          <t>III 58, 4 ha</t>
        </is>
      </c>
      <c r="K468" t="inlineStr">
        <is>
          <t>III 58, 4 ha</t>
        </is>
      </c>
      <c r="L468" t="inlineStr">
        <is>
          <t>III 58, 4 ha</t>
        </is>
      </c>
      <c r="M468" t="inlineStr"/>
      <c r="N468" t="inlineStr">
        <is>
          <t xml:space="preserve">Eine @erinnerung an|| die Deudschen, das die einfeltigen|| jhre Sünde, so sie diese Fünff jar her gethan ha||ben, erkennen, vnd bekennen sollen, sich </t>
        </is>
      </c>
      <c r="O468" t="inlineStr">
        <is>
          <t xml:space="preserve"> : </t>
        </is>
      </c>
      <c r="P468" t="inlineStr"/>
      <c r="Q468" t="inlineStr"/>
      <c r="R468" t="inlineStr"/>
      <c r="S468" t="inlineStr"/>
      <c r="T468" t="inlineStr"/>
      <c r="U468" t="inlineStr"/>
      <c r="V468" t="inlineStr"/>
      <c r="W468" t="inlineStr"/>
      <c r="X468" t="inlineStr"/>
      <c r="Y468" t="inlineStr"/>
      <c r="Z468" t="inlineStr"/>
      <c r="AA468" t="inlineStr"/>
      <c r="AB468" t="inlineStr"/>
      <c r="AC468" t="inlineStr"/>
      <c r="AD468" t="inlineStr"/>
      <c r="AE468" t="inlineStr"/>
      <c r="AF468" t="inlineStr"/>
      <c r="AG468" t="inlineStr"/>
      <c r="AH468" t="inlineStr"/>
      <c r="AI468" t="inlineStr"/>
      <c r="AJ468" t="inlineStr"/>
      <c r="AK468" t="inlineStr"/>
      <c r="AL468" t="inlineStr"/>
      <c r="AM468" t="inlineStr"/>
      <c r="AN468" t="inlineStr"/>
      <c r="AO468" t="inlineStr"/>
      <c r="AP468" t="inlineStr"/>
      <c r="AQ468" t="inlineStr"/>
      <c r="AR468" t="inlineStr"/>
      <c r="AS468" t="inlineStr"/>
      <c r="AT468" t="inlineStr"/>
      <c r="AU468" t="inlineStr"/>
      <c r="AV468" t="inlineStr"/>
      <c r="AW468" t="inlineStr"/>
      <c r="AX468" t="inlineStr"/>
      <c r="AY468" t="inlineStr"/>
      <c r="AZ468" t="inlineStr"/>
      <c r="BA468" t="inlineStr"/>
      <c r="BB468" t="inlineStr"/>
      <c r="BC468" t="inlineStr"/>
      <c r="BD468" t="inlineStr"/>
      <c r="BE468" t="inlineStr"/>
      <c r="BF468" t="inlineStr"/>
      <c r="BG468" t="inlineStr"/>
      <c r="BH468" t="inlineStr"/>
      <c r="BI468" t="inlineStr"/>
      <c r="BJ468" t="inlineStr"/>
      <c r="BK468" t="inlineStr"/>
      <c r="BL468" t="inlineStr"/>
      <c r="BM468" t="inlineStr"/>
      <c r="BN468" t="n">
        <v>0</v>
      </c>
      <c r="BO468" t="inlineStr"/>
      <c r="BP468" t="inlineStr"/>
      <c r="BQ468" t="inlineStr"/>
      <c r="BR468" t="inlineStr"/>
      <c r="BS468" t="inlineStr"/>
      <c r="BT468" t="inlineStr"/>
      <c r="BU468" t="inlineStr"/>
      <c r="BV468" t="inlineStr"/>
      <c r="BW468" t="inlineStr"/>
      <c r="BX468" t="inlineStr"/>
      <c r="BY468" t="inlineStr"/>
      <c r="BZ468" t="inlineStr"/>
      <c r="CA468" t="inlineStr"/>
      <c r="CB468" t="inlineStr"/>
      <c r="CC468" t="inlineStr"/>
      <c r="CD468" t="inlineStr"/>
      <c r="CE468" t="inlineStr"/>
      <c r="CF468" t="inlineStr"/>
      <c r="CG468" t="inlineStr"/>
      <c r="CH468" t="inlineStr"/>
      <c r="CI468" t="inlineStr"/>
      <c r="CJ468" t="inlineStr"/>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c r="DA468" t="inlineStr"/>
      <c r="DB468" t="inlineStr"/>
      <c r="DC468" t="inlineStr"/>
      <c r="DD468" t="inlineStr"/>
      <c r="DE468" t="inlineStr"/>
      <c r="DF468" t="inlineStr"/>
      <c r="DG468" t="inlineStr"/>
    </row>
    <row r="469">
      <c r="A469" t="inlineStr">
        <is>
          <t>III</t>
        </is>
      </c>
      <c r="B469" t="b">
        <v>1</v>
      </c>
      <c r="C469" t="inlineStr"/>
      <c r="D469" t="inlineStr"/>
      <c r="E469" t="n">
        <v>537</v>
      </c>
      <c r="F469">
        <f>HYPERLINK("https://portal.dnb.de/opac.htm?method=simpleSearch&amp;cqlMode=true&amp;query=idn%3D993920780", "Portal")</f>
        <v/>
      </c>
      <c r="G469" t="inlineStr">
        <is>
          <t>Aal</t>
        </is>
      </c>
      <c r="H469" t="inlineStr">
        <is>
          <t>L-1551-161282822</t>
        </is>
      </c>
      <c r="I469" t="inlineStr">
        <is>
          <t>993920780</t>
        </is>
      </c>
      <c r="J469" t="inlineStr">
        <is>
          <t>III 58, 4 hb</t>
        </is>
      </c>
      <c r="K469" t="inlineStr">
        <is>
          <t>III 58, 4 hb</t>
        </is>
      </c>
      <c r="L469" t="inlineStr">
        <is>
          <t>III 58, 4 hb</t>
        </is>
      </c>
      <c r="M469" t="inlineStr"/>
      <c r="N469" t="inlineStr">
        <is>
          <t xml:space="preserve">Eine @erinnerung an|| die Deudschen, das die einfeltigen|| jhre Sünde, so sie diese Fünff jar her gethan ha||ben, erkennen, vnd bekennen sollen, sich </t>
        </is>
      </c>
      <c r="O469" t="inlineStr">
        <is>
          <t xml:space="preserve"> : </t>
        </is>
      </c>
      <c r="P469" t="inlineStr"/>
      <c r="Q469" t="inlineStr"/>
      <c r="R469" t="inlineStr">
        <is>
          <t>Halbpergamentband</t>
        </is>
      </c>
      <c r="S469" t="inlineStr">
        <is>
          <t>bis 25 cm</t>
        </is>
      </c>
      <c r="T469" t="inlineStr">
        <is>
          <t>180°</t>
        </is>
      </c>
      <c r="U469" t="inlineStr"/>
      <c r="V469" t="inlineStr"/>
      <c r="W469" t="inlineStr"/>
      <c r="X469" t="inlineStr"/>
      <c r="Y469" t="n">
        <v>0</v>
      </c>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inlineStr"/>
      <c r="BI469" t="inlineStr"/>
      <c r="BJ469" t="inlineStr"/>
      <c r="BK469" t="inlineStr"/>
      <c r="BL469" t="inlineStr"/>
      <c r="BM469" t="inlineStr"/>
      <c r="BN469" t="n">
        <v>0</v>
      </c>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c r="DB469" t="inlineStr"/>
      <c r="DC469" t="inlineStr"/>
      <c r="DD469" t="inlineStr"/>
      <c r="DE469" t="inlineStr"/>
      <c r="DF469" t="inlineStr"/>
      <c r="DG469" t="inlineStr"/>
    </row>
    <row r="470">
      <c r="A470" t="inlineStr">
        <is>
          <t>III</t>
        </is>
      </c>
      <c r="B470" t="b">
        <v>1</v>
      </c>
      <c r="C470" t="inlineStr"/>
      <c r="D470" t="inlineStr"/>
      <c r="E470" t="n">
        <v>538</v>
      </c>
      <c r="F470">
        <f>HYPERLINK("https://portal.dnb.de/opac.htm?method=simpleSearch&amp;cqlMode=true&amp;query=idn%3D993931057", "Portal")</f>
        <v/>
      </c>
      <c r="G470" t="inlineStr">
        <is>
          <t>Aal</t>
        </is>
      </c>
      <c r="H470" t="inlineStr">
        <is>
          <t>L-1552-154040673</t>
        </is>
      </c>
      <c r="I470" t="inlineStr">
        <is>
          <t>993931057</t>
        </is>
      </c>
      <c r="J470" t="inlineStr">
        <is>
          <t>III 58, 4 i</t>
        </is>
      </c>
      <c r="K470" t="inlineStr">
        <is>
          <t>III 58, 4 i</t>
        </is>
      </c>
      <c r="L470" t="inlineStr">
        <is>
          <t>III 58, 4 i</t>
        </is>
      </c>
      <c r="M470" t="inlineStr"/>
      <c r="N470" t="inlineStr">
        <is>
          <t>Auff Osianders Be||kentnis ein Vnterricht [Unterricht] vnd zeugnis,|| Das die Gerechtigkeit der menscheit Christi, dar||innen sie empfangen vnd gebore</t>
        </is>
      </c>
      <c r="O470" t="inlineStr">
        <is>
          <t xml:space="preserve"> : </t>
        </is>
      </c>
      <c r="P470" t="inlineStr"/>
      <c r="Q470" t="inlineStr"/>
      <c r="R470" t="inlineStr"/>
      <c r="S470" t="inlineStr"/>
      <c r="T470" t="inlineStr"/>
      <c r="U470" t="inlineStr"/>
      <c r="V470" t="inlineStr"/>
      <c r="W470" t="inlineStr"/>
      <c r="X470" t="inlineStr"/>
      <c r="Y470" t="inlineStr"/>
      <c r="Z470" t="inlineStr"/>
      <c r="AA470" t="inlineStr"/>
      <c r="AB470" t="inlineStr"/>
      <c r="AC470" t="inlineStr"/>
      <c r="AD470" t="inlineStr"/>
      <c r="AE470" t="inlineStr"/>
      <c r="AF470" t="inlineStr"/>
      <c r="AG470" t="inlineStr"/>
      <c r="AH470" t="inlineStr"/>
      <c r="AI470" t="inlineStr"/>
      <c r="AJ470" t="inlineStr"/>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c r="AY470" t="inlineStr"/>
      <c r="AZ470" t="inlineStr"/>
      <c r="BA470" t="inlineStr"/>
      <c r="BB470" t="inlineStr"/>
      <c r="BC470" t="inlineStr"/>
      <c r="BD470" t="inlineStr"/>
      <c r="BE470" t="inlineStr"/>
      <c r="BF470" t="inlineStr"/>
      <c r="BG470" t="inlineStr"/>
      <c r="BH470" t="inlineStr"/>
      <c r="BI470" t="inlineStr"/>
      <c r="BJ470" t="inlineStr"/>
      <c r="BK470" t="inlineStr"/>
      <c r="BL470" t="inlineStr"/>
      <c r="BM470" t="inlineStr"/>
      <c r="BN470" t="n">
        <v>0</v>
      </c>
      <c r="BO470" t="inlineStr"/>
      <c r="BP470" t="inlineStr"/>
      <c r="BQ470" t="inlineStr"/>
      <c r="BR470" t="inlineStr"/>
      <c r="BS470" t="inlineStr"/>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c r="DB470" t="inlineStr"/>
      <c r="DC470" t="inlineStr"/>
      <c r="DD470" t="inlineStr"/>
      <c r="DE470" t="inlineStr"/>
      <c r="DF470" t="inlineStr"/>
      <c r="DG470" t="inlineStr"/>
    </row>
    <row r="471">
      <c r="A471" t="inlineStr">
        <is>
          <t>III</t>
        </is>
      </c>
      <c r="B471" t="b">
        <v>1</v>
      </c>
      <c r="C471" t="inlineStr"/>
      <c r="D471" t="inlineStr"/>
      <c r="E471" t="n">
        <v>539</v>
      </c>
      <c r="F471">
        <f>HYPERLINK("https://portal.dnb.de/opac.htm?method=simpleSearch&amp;cqlMode=true&amp;query=idn%3D998071609", "Portal")</f>
        <v/>
      </c>
      <c r="G471" t="inlineStr">
        <is>
          <t>Aal</t>
        </is>
      </c>
      <c r="H471" t="inlineStr">
        <is>
          <t>L-1548-165520817</t>
        </is>
      </c>
      <c r="I471" t="inlineStr">
        <is>
          <t>998071609</t>
        </is>
      </c>
      <c r="J471" t="inlineStr">
        <is>
          <t>III 58, 4 k</t>
        </is>
      </c>
      <c r="K471" t="inlineStr">
        <is>
          <t>III 58, 4 k</t>
        </is>
      </c>
      <c r="L471" t="inlineStr">
        <is>
          <t>III 58, 4 k</t>
        </is>
      </c>
      <c r="M471" t="inlineStr"/>
      <c r="N471" t="inlineStr">
        <is>
          <t>Copey der schönen ver||manung, Welche bey den Abtrünni||gen Intermistischen Christen, vor der Teuflischen|| Gottlosen opffermes, dem armen einfeldigen</t>
        </is>
      </c>
      <c r="O471" t="inlineStr">
        <is>
          <t xml:space="preserve"> : </t>
        </is>
      </c>
      <c r="P471" t="inlineStr"/>
      <c r="Q471" t="inlineStr"/>
      <c r="R471" t="inlineStr">
        <is>
          <t>Papier- oder Pappeinband</t>
        </is>
      </c>
      <c r="S471" t="inlineStr">
        <is>
          <t>bis 25 cm</t>
        </is>
      </c>
      <c r="T471" t="inlineStr">
        <is>
          <t>180°</t>
        </is>
      </c>
      <c r="U471" t="inlineStr"/>
      <c r="V471" t="inlineStr"/>
      <c r="W471" t="inlineStr"/>
      <c r="X471" t="inlineStr">
        <is>
          <t>Signaturfahne austauschen</t>
        </is>
      </c>
      <c r="Y471" t="n">
        <v>0</v>
      </c>
      <c r="Z471" t="inlineStr"/>
      <c r="AA471" t="inlineStr"/>
      <c r="AB471" t="inlineStr"/>
      <c r="AC471" t="inlineStr"/>
      <c r="AD471" t="inlineStr"/>
      <c r="AE471" t="inlineStr"/>
      <c r="AF471" t="inlineStr"/>
      <c r="AG471" t="inlineStr"/>
      <c r="AH471" t="inlineStr"/>
      <c r="AI471" t="inlineStr"/>
      <c r="AJ471" t="inlineStr"/>
      <c r="AK471" t="inlineStr"/>
      <c r="AL471" t="inlineStr"/>
      <c r="AM471" t="inlineStr"/>
      <c r="AN471" t="inlineStr"/>
      <c r="AO471" t="inlineStr"/>
      <c r="AP471" t="inlineStr"/>
      <c r="AQ471" t="inlineStr"/>
      <c r="AR471" t="inlineStr"/>
      <c r="AS471" t="inlineStr"/>
      <c r="AT471" t="inlineStr"/>
      <c r="AU471" t="inlineStr"/>
      <c r="AV471" t="inlineStr"/>
      <c r="AW471" t="inlineStr"/>
      <c r="AX471" t="inlineStr"/>
      <c r="AY471" t="inlineStr"/>
      <c r="AZ471" t="inlineStr"/>
      <c r="BA471" t="inlineStr"/>
      <c r="BB471" t="inlineStr"/>
      <c r="BC471" t="inlineStr"/>
      <c r="BD471" t="inlineStr"/>
      <c r="BE471" t="inlineStr"/>
      <c r="BF471" t="inlineStr"/>
      <c r="BG471" t="inlineStr"/>
      <c r="BH471" t="inlineStr"/>
      <c r="BI471" t="inlineStr"/>
      <c r="BJ471" t="inlineStr"/>
      <c r="BK471" t="inlineStr"/>
      <c r="BL471" t="inlineStr"/>
      <c r="BM471" t="inlineStr"/>
      <c r="BN471" t="n">
        <v>0</v>
      </c>
      <c r="BO471" t="inlineStr"/>
      <c r="BP471" t="inlineStr"/>
      <c r="BQ471" t="inlineStr"/>
      <c r="BR471" t="inlineStr"/>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c r="DB471" t="inlineStr"/>
      <c r="DC471" t="inlineStr"/>
      <c r="DD471" t="inlineStr"/>
      <c r="DE471" t="inlineStr"/>
      <c r="DF471" t="inlineStr"/>
      <c r="DG471" t="inlineStr"/>
    </row>
    <row r="472">
      <c r="A472" t="inlineStr">
        <is>
          <t>III</t>
        </is>
      </c>
      <c r="B472" t="b">
        <v>1</v>
      </c>
      <c r="C472" t="inlineStr"/>
      <c r="D472" t="inlineStr"/>
      <c r="E472" t="n">
        <v>540</v>
      </c>
      <c r="F472">
        <f>HYPERLINK("https://portal.dnb.de/opac.htm?method=simpleSearch&amp;cqlMode=true&amp;query=idn%3D998072052", "Portal")</f>
        <v/>
      </c>
      <c r="G472" t="inlineStr">
        <is>
          <t>Aal</t>
        </is>
      </c>
      <c r="H472" t="inlineStr">
        <is>
          <t>L-1547-165521759</t>
        </is>
      </c>
      <c r="I472" t="inlineStr">
        <is>
          <t>998072052</t>
        </is>
      </c>
      <c r="J472" t="inlineStr">
        <is>
          <t>III 58, 4 l</t>
        </is>
      </c>
      <c r="K472" t="inlineStr">
        <is>
          <t>III 58, 4 l</t>
        </is>
      </c>
      <c r="L472" t="inlineStr">
        <is>
          <t>III 58, 4 l</t>
        </is>
      </c>
      <c r="M472" t="inlineStr"/>
      <c r="N472" t="inlineStr">
        <is>
          <t>Warhafftige Copey|| einer Schrifft|| so die Ehrwirdigen|| herrn Predicanten zu Leiptzig|| an Her=||tzog Moritzen zu Sachsen|| gethan|| etc.|| Desgleic</t>
        </is>
      </c>
      <c r="O472" t="inlineStr">
        <is>
          <t xml:space="preserve"> : </t>
        </is>
      </c>
      <c r="P472" t="inlineStr">
        <is>
          <t>X</t>
        </is>
      </c>
      <c r="Q472" t="inlineStr"/>
      <c r="R472" t="inlineStr">
        <is>
          <t>Pergamentband, Schließen, erhabene Buchbeschläge</t>
        </is>
      </c>
      <c r="S472" t="inlineStr">
        <is>
          <t>bis 25 cm</t>
        </is>
      </c>
      <c r="T472" t="inlineStr">
        <is>
          <t>180°</t>
        </is>
      </c>
      <c r="U472" t="inlineStr"/>
      <c r="V472" t="inlineStr"/>
      <c r="W472" t="inlineStr"/>
      <c r="X472" t="inlineStr"/>
      <c r="Y472" t="inlineStr"/>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inlineStr"/>
      <c r="BI472" t="inlineStr"/>
      <c r="BJ472" t="inlineStr"/>
      <c r="BK472" t="inlineStr"/>
      <c r="BL472" t="inlineStr"/>
      <c r="BM472" t="inlineStr"/>
      <c r="BN472" t="n">
        <v>0</v>
      </c>
      <c r="BO472" t="inlineStr"/>
      <c r="BP472" t="inlineStr"/>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c r="DB472" t="inlineStr"/>
      <c r="DC472" t="inlineStr"/>
      <c r="DD472" t="inlineStr"/>
      <c r="DE472" t="inlineStr"/>
      <c r="DF472" t="inlineStr"/>
      <c r="DG472" t="inlineStr"/>
    </row>
    <row r="473">
      <c r="A473" t="inlineStr">
        <is>
          <t>III</t>
        </is>
      </c>
      <c r="B473" t="b">
        <v>0</v>
      </c>
      <c r="C473" t="inlineStr"/>
      <c r="D473" t="inlineStr"/>
      <c r="E473" t="n">
        <v>541</v>
      </c>
      <c r="F473">
        <f>HYPERLINK("https://portal.dnb.de/opac.htm?method=simpleSearch&amp;cqlMode=true&amp;query=idn%3D993921310", "Portal")</f>
        <v/>
      </c>
      <c r="G473" t="inlineStr"/>
      <c r="H473" t="inlineStr">
        <is>
          <t>L-1547-15402953X</t>
        </is>
      </c>
      <c r="I473" t="inlineStr">
        <is>
          <t>993921310</t>
        </is>
      </c>
      <c r="J473" t="inlineStr"/>
      <c r="K473" t="inlineStr"/>
      <c r="L473" t="inlineStr">
        <is>
          <t>III 58, 4/1</t>
        </is>
      </c>
      <c r="M473" t="inlineStr"/>
      <c r="N473" t="inlineStr"/>
      <c r="O473" t="inlineStr"/>
      <c r="P473" t="inlineStr"/>
      <c r="Q473" t="inlineStr"/>
      <c r="R473" t="inlineStr"/>
      <c r="S473" t="inlineStr"/>
      <c r="T473" t="inlineStr"/>
      <c r="U473" t="inlineStr"/>
      <c r="V473" t="inlineStr"/>
      <c r="W473" t="inlineStr"/>
      <c r="X473" t="inlineStr"/>
      <c r="Y473" t="inlineStr"/>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inlineStr"/>
      <c r="BI473" t="inlineStr"/>
      <c r="BJ473" t="inlineStr"/>
      <c r="BK473" t="inlineStr"/>
      <c r="BL473" t="inlineStr"/>
      <c r="BM473" t="inlineStr"/>
      <c r="BN473" t="n">
        <v>0</v>
      </c>
      <c r="BO473" t="inlineStr"/>
      <c r="BP473" t="inlineStr"/>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c r="DB473" t="inlineStr"/>
      <c r="DC473" t="inlineStr"/>
      <c r="DD473" t="inlineStr"/>
      <c r="DE473" t="inlineStr"/>
      <c r="DF473" t="inlineStr"/>
      <c r="DG473" t="inlineStr"/>
    </row>
    <row r="474">
      <c r="A474" t="inlineStr">
        <is>
          <t>III</t>
        </is>
      </c>
      <c r="B474" t="b">
        <v>1</v>
      </c>
      <c r="C474" t="inlineStr"/>
      <c r="D474" t="inlineStr"/>
      <c r="E474" t="n">
        <v>542</v>
      </c>
      <c r="F474">
        <f>HYPERLINK("https://portal.dnb.de/opac.htm?method=simpleSearch&amp;cqlMode=true&amp;query=idn%3D994149603", "Portal")</f>
        <v/>
      </c>
      <c r="G474" t="inlineStr">
        <is>
          <t>Aal</t>
        </is>
      </c>
      <c r="H474" t="inlineStr">
        <is>
          <t>L-1548-154626945</t>
        </is>
      </c>
      <c r="I474" t="inlineStr">
        <is>
          <t>994149603</t>
        </is>
      </c>
      <c r="J474" t="inlineStr">
        <is>
          <t>III 58, 4/a</t>
        </is>
      </c>
      <c r="K474" t="inlineStr">
        <is>
          <t>III 58, 4/a</t>
        </is>
      </c>
      <c r="L474" t="inlineStr">
        <is>
          <t>III 58, 4/a</t>
        </is>
      </c>
      <c r="M474" t="inlineStr"/>
      <c r="N474" t="inlineStr">
        <is>
          <t>Bericht vom|| INTERIM|| der Theologen zu Meißen ver=||samlet : Anno M.D.xlviij.|| ; Psalm xxvij.|| Harre des HERRN, ...||</t>
        </is>
      </c>
      <c r="O474" t="inlineStr">
        <is>
          <t xml:space="preserve"> : </t>
        </is>
      </c>
      <c r="P474" t="inlineStr"/>
      <c r="Q474" t="inlineStr"/>
      <c r="R474" t="inlineStr"/>
      <c r="S474" t="inlineStr"/>
      <c r="T474" t="inlineStr"/>
      <c r="U474" t="inlineStr"/>
      <c r="V474" t="inlineStr"/>
      <c r="W474" t="inlineStr"/>
      <c r="X474" t="inlineStr"/>
      <c r="Y474" t="inlineStr"/>
      <c r="Z474" t="inlineStr"/>
      <c r="AA474" t="inlineStr"/>
      <c r="AB474" t="inlineStr"/>
      <c r="AC474" t="inlineStr"/>
      <c r="AD474" t="inlineStr"/>
      <c r="AE474" t="inlineStr"/>
      <c r="AF474" t="inlineStr"/>
      <c r="AG474" t="inlineStr"/>
      <c r="AH474" t="inlineStr"/>
      <c r="AI474" t="inlineStr"/>
      <c r="AJ474" t="inlineStr"/>
      <c r="AK474" t="inlineStr"/>
      <c r="AL474" t="inlineStr"/>
      <c r="AM474" t="inlineStr"/>
      <c r="AN474" t="inlineStr"/>
      <c r="AO474" t="inlineStr"/>
      <c r="AP474" t="inlineStr"/>
      <c r="AQ474" t="inlineStr"/>
      <c r="AR474" t="inlineStr"/>
      <c r="AS474" t="inlineStr"/>
      <c r="AT474" t="inlineStr"/>
      <c r="AU474" t="inlineStr"/>
      <c r="AV474" t="inlineStr"/>
      <c r="AW474" t="inlineStr"/>
      <c r="AX474" t="inlineStr"/>
      <c r="AY474" t="inlineStr"/>
      <c r="AZ474" t="inlineStr"/>
      <c r="BA474" t="inlineStr"/>
      <c r="BB474" t="inlineStr"/>
      <c r="BC474" t="inlineStr"/>
      <c r="BD474" t="inlineStr"/>
      <c r="BE474" t="inlineStr"/>
      <c r="BF474" t="inlineStr"/>
      <c r="BG474" t="inlineStr"/>
      <c r="BH474" t="inlineStr"/>
      <c r="BI474" t="inlineStr"/>
      <c r="BJ474" t="inlineStr"/>
      <c r="BK474" t="inlineStr"/>
      <c r="BL474" t="inlineStr"/>
      <c r="BM474" t="inlineStr"/>
      <c r="BN474" t="n">
        <v>0</v>
      </c>
      <c r="BO474" t="inlineStr"/>
      <c r="BP474" t="inlineStr"/>
      <c r="BQ474" t="inlineStr"/>
      <c r="BR474" t="inlineStr"/>
      <c r="BS474" t="inlineStr"/>
      <c r="BT474" t="inlineStr"/>
      <c r="BU474" t="inlineStr"/>
      <c r="BV474" t="inlineStr"/>
      <c r="BW474" t="inlineStr"/>
      <c r="BX474" t="inlineStr"/>
      <c r="BY474" t="inlineStr"/>
      <c r="BZ474" t="inlineStr"/>
      <c r="CA474" t="inlineStr"/>
      <c r="CB474" t="inlineStr"/>
      <c r="CC474" t="inlineStr"/>
      <c r="CD474" t="inlineStr"/>
      <c r="CE474" t="inlineStr"/>
      <c r="CF474" t="inlineStr"/>
      <c r="CG474" t="inlineStr"/>
      <c r="CH474" t="inlineStr"/>
      <c r="CI474" t="inlineStr"/>
      <c r="CJ474" t="inlineStr"/>
      <c r="CK474" t="inlineStr"/>
      <c r="CL474" t="inlineStr"/>
      <c r="CM474" t="inlineStr"/>
      <c r="CN474" t="inlineStr"/>
      <c r="CO474" t="inlineStr"/>
      <c r="CP474" t="inlineStr"/>
      <c r="CQ474" t="inlineStr"/>
      <c r="CR474" t="inlineStr"/>
      <c r="CS474" t="inlineStr"/>
      <c r="CT474" t="inlineStr"/>
      <c r="CU474" t="inlineStr"/>
      <c r="CV474" t="inlineStr"/>
      <c r="CW474" t="inlineStr"/>
      <c r="CX474" t="inlineStr"/>
      <c r="CY474" t="inlineStr"/>
      <c r="CZ474" t="inlineStr"/>
      <c r="DA474" t="inlineStr"/>
      <c r="DB474" t="inlineStr"/>
      <c r="DC474" t="inlineStr"/>
      <c r="DD474" t="inlineStr"/>
      <c r="DE474" t="inlineStr"/>
      <c r="DF474" t="inlineStr"/>
      <c r="DG474" t="inlineStr"/>
    </row>
    <row r="475">
      <c r="A475" t="inlineStr">
        <is>
          <t>III</t>
        </is>
      </c>
      <c r="B475" t="b">
        <v>1</v>
      </c>
      <c r="C475" t="inlineStr"/>
      <c r="D475" t="inlineStr"/>
      <c r="E475" t="n">
        <v>543</v>
      </c>
      <c r="F475">
        <f>HYPERLINK("https://portal.dnb.de/opac.htm?method=simpleSearch&amp;cqlMode=true&amp;query=idn%3D1066864748", "Portal")</f>
        <v/>
      </c>
      <c r="G475" t="inlineStr">
        <is>
          <t>Aaf</t>
        </is>
      </c>
      <c r="H475" t="inlineStr">
        <is>
          <t>L-1506-315323124</t>
        </is>
      </c>
      <c r="I475" t="inlineStr">
        <is>
          <t>1066864748</t>
        </is>
      </c>
      <c r="J475" t="inlineStr">
        <is>
          <t>III 59, 1</t>
        </is>
      </c>
      <c r="K475" t="inlineStr">
        <is>
          <t>III 59, 1</t>
        </is>
      </c>
      <c r="L475" t="inlineStr">
        <is>
          <t>III 59, 1</t>
        </is>
      </c>
      <c r="M475" t="inlineStr"/>
      <c r="N475" t="inlineStr">
        <is>
          <t xml:space="preserve">Plinii Caecilii Secundi epistolarum libri nouem. Eiusdem Plinii libellus epistolarum ad Traianum cum rescriptis eiusdem principis eiusdem panagyricus </t>
        </is>
      </c>
      <c r="O475" t="inlineStr">
        <is>
          <t xml:space="preserve"> : </t>
        </is>
      </c>
      <c r="P475" t="inlineStr"/>
      <c r="Q475" t="inlineStr"/>
      <c r="R475" t="inlineStr"/>
      <c r="S475" t="inlineStr">
        <is>
          <t>bis 35 cm</t>
        </is>
      </c>
      <c r="T475" t="inlineStr"/>
      <c r="U475" t="inlineStr"/>
      <c r="V475" t="inlineStr"/>
      <c r="W475" t="inlineStr"/>
      <c r="X475" t="inlineStr"/>
      <c r="Y475" t="inlineStr"/>
      <c r="Z475" t="inlineStr"/>
      <c r="AA475" t="inlineStr"/>
      <c r="AB475" t="inlineStr"/>
      <c r="AC475" t="inlineStr"/>
      <c r="AD475" t="inlineStr"/>
      <c r="AE475" t="inlineStr"/>
      <c r="AF475" t="inlineStr"/>
      <c r="AG475" t="inlineStr"/>
      <c r="AH475" t="inlineStr"/>
      <c r="AI475" t="inlineStr">
        <is>
          <t>HL</t>
        </is>
      </c>
      <c r="AJ475" t="inlineStr"/>
      <c r="AK475" t="inlineStr">
        <is>
          <t>x</t>
        </is>
      </c>
      <c r="AL475" t="inlineStr">
        <is>
          <t>x</t>
        </is>
      </c>
      <c r="AM475" t="inlineStr">
        <is>
          <t>h/E</t>
        </is>
      </c>
      <c r="AN475" t="inlineStr"/>
      <c r="AO475" t="inlineStr"/>
      <c r="AP475" t="inlineStr"/>
      <c r="AQ475" t="inlineStr"/>
      <c r="AR475" t="inlineStr"/>
      <c r="AS475" t="inlineStr">
        <is>
          <t>Pa</t>
        </is>
      </c>
      <c r="AT475" t="inlineStr"/>
      <c r="AU475" t="inlineStr"/>
      <c r="AV475" t="inlineStr"/>
      <c r="AW475" t="inlineStr"/>
      <c r="AX475" t="inlineStr"/>
      <c r="AY475" t="inlineStr"/>
      <c r="AZ475" t="inlineStr"/>
      <c r="BA475" t="inlineStr"/>
      <c r="BB475" t="inlineStr"/>
      <c r="BC475" t="inlineStr"/>
      <c r="BD475" t="inlineStr"/>
      <c r="BE475" t="inlineStr"/>
      <c r="BF475" t="inlineStr"/>
      <c r="BG475" t="inlineStr">
        <is>
          <t>max 110</t>
        </is>
      </c>
      <c r="BH475" t="inlineStr"/>
      <c r="BI475" t="inlineStr"/>
      <c r="BJ475" t="inlineStr"/>
      <c r="BK475" t="inlineStr"/>
      <c r="BL475" t="inlineStr"/>
      <c r="BM475" t="inlineStr">
        <is>
          <t>n</t>
        </is>
      </c>
      <c r="BN475" t="n">
        <v>0</v>
      </c>
      <c r="BO475" t="inlineStr"/>
      <c r="BP475" t="inlineStr"/>
      <c r="BQ475" t="inlineStr"/>
      <c r="BR475" t="inlineStr"/>
      <c r="BS475" t="inlineStr"/>
      <c r="BT475" t="inlineStr"/>
      <c r="BU475" t="inlineStr"/>
      <c r="BV475" t="inlineStr">
        <is>
          <t>Schaden stabil</t>
        </is>
      </c>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c r="DB475" t="inlineStr"/>
      <c r="DC475" t="inlineStr"/>
      <c r="DD475" t="inlineStr"/>
      <c r="DE475" t="inlineStr"/>
      <c r="DF475" t="inlineStr"/>
      <c r="DG475" t="inlineStr"/>
    </row>
    <row r="476">
      <c r="A476" t="inlineStr">
        <is>
          <t>III</t>
        </is>
      </c>
      <c r="B476" t="b">
        <v>1</v>
      </c>
      <c r="C476" t="inlineStr"/>
      <c r="D476" t="inlineStr"/>
      <c r="E476" t="n">
        <v>544</v>
      </c>
      <c r="F476">
        <f>HYPERLINK("https://portal.dnb.de/opac.htm?method=simpleSearch&amp;cqlMode=true&amp;query=idn%3D1066858721", "Portal")</f>
        <v/>
      </c>
      <c r="G476" t="inlineStr">
        <is>
          <t>Aaf</t>
        </is>
      </c>
      <c r="H476" t="inlineStr">
        <is>
          <t>L-1506-315317515</t>
        </is>
      </c>
      <c r="I476" t="inlineStr">
        <is>
          <t>1066858721</t>
        </is>
      </c>
      <c r="J476" t="inlineStr">
        <is>
          <t>III 59, 2</t>
        </is>
      </c>
      <c r="K476" t="inlineStr">
        <is>
          <t>III 59, 2</t>
        </is>
      </c>
      <c r="L476" t="inlineStr">
        <is>
          <t>III 59, 2</t>
        </is>
      </c>
      <c r="M476" t="inlineStr"/>
      <c r="N476" t="inlineStr">
        <is>
          <t xml:space="preserve">Epistolae et commentarii Iacobi Picolomini Cardinalis Papiensis : </t>
        </is>
      </c>
      <c r="O476" t="inlineStr">
        <is>
          <t xml:space="preserve"> : </t>
        </is>
      </c>
      <c r="P476" t="inlineStr">
        <is>
          <t>X</t>
        </is>
      </c>
      <c r="Q476" t="inlineStr"/>
      <c r="R476" t="inlineStr">
        <is>
          <t>Halbledereinband, Schließen, erhabene Buchbeschläge</t>
        </is>
      </c>
      <c r="S476" t="inlineStr">
        <is>
          <t>bis 35 cm</t>
        </is>
      </c>
      <c r="T476" t="inlineStr">
        <is>
          <t>80° bis 110°, einseitig digitalisierbar?</t>
        </is>
      </c>
      <c r="U476" t="inlineStr">
        <is>
          <t>hohler Rücken</t>
        </is>
      </c>
      <c r="V476" t="inlineStr"/>
      <c r="W476" t="inlineStr">
        <is>
          <t>Buchschuh</t>
        </is>
      </c>
      <c r="X476" t="inlineStr">
        <is>
          <t>Nein</t>
        </is>
      </c>
      <c r="Y476" t="n">
        <v>0</v>
      </c>
      <c r="Z476" t="inlineStr"/>
      <c r="AA476" t="inlineStr"/>
      <c r="AB476" t="inlineStr"/>
      <c r="AC476" t="inlineStr"/>
      <c r="AD476" t="inlineStr"/>
      <c r="AE476" t="inlineStr"/>
      <c r="AF476" t="inlineStr"/>
      <c r="AG476" t="inlineStr"/>
      <c r="AH476" t="inlineStr"/>
      <c r="AI476" t="inlineStr">
        <is>
          <t>HL</t>
        </is>
      </c>
      <c r="AJ476" t="inlineStr"/>
      <c r="AK476" t="inlineStr">
        <is>
          <t>x</t>
        </is>
      </c>
      <c r="AL476" t="inlineStr">
        <is>
          <t>x</t>
        </is>
      </c>
      <c r="AM476" t="inlineStr">
        <is>
          <t>h/E</t>
        </is>
      </c>
      <c r="AN476" t="inlineStr"/>
      <c r="AO476" t="inlineStr"/>
      <c r="AP476" t="inlineStr"/>
      <c r="AQ476" t="inlineStr"/>
      <c r="AR476" t="inlineStr"/>
      <c r="AS476" t="inlineStr">
        <is>
          <t>Pa</t>
        </is>
      </c>
      <c r="AT476" t="inlineStr"/>
      <c r="AU476" t="inlineStr"/>
      <c r="AV476" t="inlineStr"/>
      <c r="AW476" t="inlineStr"/>
      <c r="AX476" t="inlineStr"/>
      <c r="AY476" t="inlineStr"/>
      <c r="AZ476" t="inlineStr"/>
      <c r="BA476" t="inlineStr"/>
      <c r="BB476" t="inlineStr"/>
      <c r="BC476" t="inlineStr"/>
      <c r="BD476" t="inlineStr"/>
      <c r="BE476" t="inlineStr"/>
      <c r="BF476" t="inlineStr"/>
      <c r="BG476" t="n">
        <v>45</v>
      </c>
      <c r="BH476" t="inlineStr"/>
      <c r="BI476" t="inlineStr"/>
      <c r="BJ476" t="inlineStr"/>
      <c r="BK476" t="inlineStr"/>
      <c r="BL476" t="inlineStr"/>
      <c r="BM476" t="inlineStr">
        <is>
          <t>n</t>
        </is>
      </c>
      <c r="BN476" t="n">
        <v>0</v>
      </c>
      <c r="BO476" t="inlineStr"/>
      <c r="BP476" t="inlineStr"/>
      <c r="BQ476" t="inlineStr"/>
      <c r="BR476" t="inlineStr">
        <is>
          <t>x</t>
        </is>
      </c>
      <c r="BS476" t="inlineStr"/>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c r="DB476" t="inlineStr"/>
      <c r="DC476" t="inlineStr"/>
      <c r="DD476" t="inlineStr"/>
      <c r="DE476" t="inlineStr"/>
      <c r="DF476" t="inlineStr"/>
      <c r="DG476" t="inlineStr"/>
    </row>
    <row r="477">
      <c r="A477" t="inlineStr">
        <is>
          <t>III</t>
        </is>
      </c>
      <c r="B477" t="b">
        <v>1</v>
      </c>
      <c r="C477" t="inlineStr"/>
      <c r="D477" t="inlineStr"/>
      <c r="E477" t="n">
        <v>545</v>
      </c>
      <c r="F477">
        <f>HYPERLINK("https://portal.dnb.de/opac.htm?method=simpleSearch&amp;cqlMode=true&amp;query=idn%3D1066779449", "Portal")</f>
        <v/>
      </c>
      <c r="G477" t="inlineStr">
        <is>
          <t>Aaf</t>
        </is>
      </c>
      <c r="H477" t="inlineStr">
        <is>
          <t>L-1513-315201282</t>
        </is>
      </c>
      <c r="I477" t="inlineStr">
        <is>
          <t>1066779449</t>
        </is>
      </c>
      <c r="J477" t="inlineStr">
        <is>
          <t>III 59, 3</t>
        </is>
      </c>
      <c r="K477" t="inlineStr">
        <is>
          <t>III 59, 3</t>
        </is>
      </c>
      <c r="L477" t="inlineStr">
        <is>
          <t>III 59, 3</t>
        </is>
      </c>
      <c r="M477" t="inlineStr"/>
      <c r="N477" t="inlineStr">
        <is>
          <t>Valerii Maximi Opus cum Oliuerii commentariis ex prima eius editione integre et syncera descriptis cum paucis annotationibus quas sub Theophili nomine</t>
        </is>
      </c>
      <c r="O477" t="inlineStr">
        <is>
          <t xml:space="preserve"> : </t>
        </is>
      </c>
      <c r="P477" t="inlineStr">
        <is>
          <t>X</t>
        </is>
      </c>
      <c r="Q477" t="inlineStr"/>
      <c r="R477" t="inlineStr">
        <is>
          <t>Ledereinband, Schließen, erhabene Buchbeschläge</t>
        </is>
      </c>
      <c r="S477" t="inlineStr">
        <is>
          <t>bis 35 cm</t>
        </is>
      </c>
      <c r="T477" t="inlineStr">
        <is>
          <t>180°</t>
        </is>
      </c>
      <c r="U477" t="inlineStr">
        <is>
          <t>fester Rücken mit Schmuckprägung</t>
        </is>
      </c>
      <c r="V477" t="inlineStr"/>
      <c r="W477" t="inlineStr">
        <is>
          <t>Buchschuh</t>
        </is>
      </c>
      <c r="X477" t="inlineStr">
        <is>
          <t>Nein</t>
        </is>
      </c>
      <c r="Y477" t="n">
        <v>1</v>
      </c>
      <c r="Z477" t="inlineStr"/>
      <c r="AA477" t="inlineStr"/>
      <c r="AB477" t="inlineStr"/>
      <c r="AC477" t="inlineStr"/>
      <c r="AD477" t="inlineStr"/>
      <c r="AE477" t="inlineStr"/>
      <c r="AF477" t="inlineStr"/>
      <c r="AG477" t="inlineStr"/>
      <c r="AH477" t="inlineStr"/>
      <c r="AI477" t="inlineStr">
        <is>
          <t>L</t>
        </is>
      </c>
      <c r="AJ477" t="inlineStr"/>
      <c r="AK477" t="inlineStr"/>
      <c r="AL477" t="inlineStr"/>
      <c r="AM477" t="inlineStr">
        <is>
          <t>f/V</t>
        </is>
      </c>
      <c r="AN477" t="inlineStr"/>
      <c r="AO477" t="inlineStr"/>
      <c r="AP477" t="inlineStr"/>
      <c r="AQ477" t="inlineStr"/>
      <c r="AR477" t="inlineStr"/>
      <c r="AS477" t="inlineStr">
        <is>
          <t>Pa</t>
        </is>
      </c>
      <c r="AT477" t="inlineStr"/>
      <c r="AU477" t="inlineStr"/>
      <c r="AV477" t="inlineStr"/>
      <c r="AW477" t="inlineStr"/>
      <c r="AX477" t="inlineStr"/>
      <c r="AY477" t="inlineStr"/>
      <c r="AZ477" t="inlineStr"/>
      <c r="BA477" t="inlineStr"/>
      <c r="BB477" t="inlineStr"/>
      <c r="BC477" t="inlineStr"/>
      <c r="BD477" t="inlineStr"/>
      <c r="BE477" t="inlineStr"/>
      <c r="BF477" t="inlineStr"/>
      <c r="BG477" t="n">
        <v>60</v>
      </c>
      <c r="BH477" t="inlineStr"/>
      <c r="BI477" t="inlineStr"/>
      <c r="BJ477" t="inlineStr"/>
      <c r="BK477" t="inlineStr"/>
      <c r="BL477" t="inlineStr"/>
      <c r="BM477" t="inlineStr">
        <is>
          <t>n</t>
        </is>
      </c>
      <c r="BN477" t="n">
        <v>0</v>
      </c>
      <c r="BO477" t="inlineStr"/>
      <c r="BP477" t="inlineStr"/>
      <c r="BQ477" t="inlineStr"/>
      <c r="BR477" t="inlineStr">
        <is>
          <t>x</t>
        </is>
      </c>
      <c r="BS477" t="inlineStr"/>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c r="DB477" t="inlineStr"/>
      <c r="DC477" t="inlineStr"/>
      <c r="DD477" t="inlineStr"/>
      <c r="DE477" t="inlineStr"/>
      <c r="DF477" t="inlineStr"/>
      <c r="DG477" t="inlineStr"/>
    </row>
    <row r="478">
      <c r="A478" t="inlineStr">
        <is>
          <t>III</t>
        </is>
      </c>
      <c r="B478" t="b">
        <v>1</v>
      </c>
      <c r="C478" t="inlineStr"/>
      <c r="D478" t="inlineStr"/>
      <c r="E478" t="n">
        <v>546</v>
      </c>
      <c r="F478">
        <f>HYPERLINK("https://portal.dnb.de/opac.htm?method=simpleSearch&amp;cqlMode=true&amp;query=idn%3D1066776202", "Portal")</f>
        <v/>
      </c>
      <c r="G478" t="inlineStr">
        <is>
          <t>Aaf</t>
        </is>
      </c>
      <c r="H478" t="inlineStr">
        <is>
          <t>L-1523-315198222</t>
        </is>
      </c>
      <c r="I478" t="inlineStr">
        <is>
          <t>1066776202</t>
        </is>
      </c>
      <c r="J478" t="inlineStr">
        <is>
          <t>III 59, 4</t>
        </is>
      </c>
      <c r="K478" t="inlineStr">
        <is>
          <t>III 59, 4</t>
        </is>
      </c>
      <c r="L478" t="inlineStr">
        <is>
          <t>III 59, 4</t>
        </is>
      </c>
      <c r="M478" t="inlineStr"/>
      <c r="N478" t="inlineStr">
        <is>
          <t>Bucolica : cum commento familiari discentibus quamvtilisimo</t>
        </is>
      </c>
      <c r="O478" t="inlineStr">
        <is>
          <t xml:space="preserve"> : </t>
        </is>
      </c>
      <c r="P478" t="inlineStr"/>
      <c r="Q478" t="inlineStr"/>
      <c r="R478" t="inlineStr"/>
      <c r="S478" t="inlineStr"/>
      <c r="T478" t="inlineStr"/>
      <c r="U478" t="inlineStr"/>
      <c r="V478" t="inlineStr"/>
      <c r="W478" t="inlineStr"/>
      <c r="X478" t="inlineStr"/>
      <c r="Y478" t="inlineStr"/>
      <c r="Z478" t="inlineStr"/>
      <c r="AA478" t="inlineStr"/>
      <c r="AB478" t="inlineStr"/>
      <c r="AC478" t="inlineStr"/>
      <c r="AD478" t="inlineStr"/>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c r="BB478" t="inlineStr"/>
      <c r="BC478" t="inlineStr"/>
      <c r="BD478" t="inlineStr"/>
      <c r="BE478" t="inlineStr"/>
      <c r="BF478" t="inlineStr"/>
      <c r="BG478" t="inlineStr"/>
      <c r="BH478" t="inlineStr"/>
      <c r="BI478" t="inlineStr"/>
      <c r="BJ478" t="inlineStr"/>
      <c r="BK478" t="inlineStr"/>
      <c r="BL478" t="inlineStr"/>
      <c r="BM478" t="inlineStr"/>
      <c r="BN478" t="n">
        <v>0</v>
      </c>
      <c r="BO478" t="inlineStr"/>
      <c r="BP478" t="inlineStr"/>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c r="DA478" t="inlineStr"/>
      <c r="DB478" t="inlineStr"/>
      <c r="DC478" t="inlineStr"/>
      <c r="DD478" t="inlineStr"/>
      <c r="DE478" t="inlineStr"/>
      <c r="DF478" t="inlineStr"/>
      <c r="DG478" t="inlineStr"/>
    </row>
    <row r="479">
      <c r="A479" t="inlineStr">
        <is>
          <t>III</t>
        </is>
      </c>
      <c r="B479" t="b">
        <v>1</v>
      </c>
      <c r="C479" t="inlineStr"/>
      <c r="D479" t="inlineStr"/>
      <c r="E479" t="n">
        <v>547</v>
      </c>
      <c r="F479">
        <f>HYPERLINK("https://portal.dnb.de/opac.htm?method=simpleSearch&amp;cqlMode=true&amp;query=idn%3D1066956421", "Portal")</f>
        <v/>
      </c>
      <c r="G479" t="inlineStr">
        <is>
          <t>Aaf</t>
        </is>
      </c>
      <c r="H479" t="inlineStr">
        <is>
          <t>L-1505-315487100</t>
        </is>
      </c>
      <c r="I479" t="inlineStr">
        <is>
          <t>1066956421</t>
        </is>
      </c>
      <c r="J479" t="inlineStr">
        <is>
          <t>III 60, 1</t>
        </is>
      </c>
      <c r="K479" t="inlineStr">
        <is>
          <t>III 60, 1</t>
        </is>
      </c>
      <c r="L479" t="inlineStr">
        <is>
          <t>III 60, 1</t>
        </is>
      </c>
      <c r="M479" t="inlineStr"/>
      <c r="N479" t="inlineStr">
        <is>
          <t xml:space="preserve">ROmische Historie : </t>
        </is>
      </c>
      <c r="O479" t="inlineStr">
        <is>
          <t xml:space="preserve"> : </t>
        </is>
      </c>
      <c r="P479" t="inlineStr"/>
      <c r="Q479" t="inlineStr"/>
      <c r="R479" t="inlineStr"/>
      <c r="S479" t="inlineStr"/>
      <c r="T479" t="inlineStr"/>
      <c r="U479" t="inlineStr"/>
      <c r="V479" t="inlineStr"/>
      <c r="W479" t="inlineStr"/>
      <c r="X479" t="inlineStr"/>
      <c r="Y479" t="inlineStr"/>
      <c r="Z479" t="inlineStr"/>
      <c r="AA479" t="inlineStr"/>
      <c r="AB479" t="inlineStr"/>
      <c r="AC479" t="inlineStr"/>
      <c r="AD479" t="inlineStr"/>
      <c r="AE479" t="inlineStr"/>
      <c r="AF479" t="inlineStr"/>
      <c r="AG479" t="inlineStr"/>
      <c r="AH479" t="inlineStr"/>
      <c r="AI479" t="inlineStr"/>
      <c r="AJ479" t="inlineStr"/>
      <c r="AK479" t="inlineStr"/>
      <c r="AL479" t="inlineStr"/>
      <c r="AM479" t="inlineStr"/>
      <c r="AN479" t="inlineStr"/>
      <c r="AO479" t="inlineStr"/>
      <c r="AP479" t="inlineStr"/>
      <c r="AQ479" t="inlineStr"/>
      <c r="AR479" t="inlineStr"/>
      <c r="AS479" t="inlineStr"/>
      <c r="AT479" t="inlineStr"/>
      <c r="AU479" t="inlineStr"/>
      <c r="AV479" t="inlineStr"/>
      <c r="AW479" t="inlineStr"/>
      <c r="AX479" t="inlineStr"/>
      <c r="AY479" t="inlineStr"/>
      <c r="AZ479" t="inlineStr"/>
      <c r="BA479" t="inlineStr"/>
      <c r="BB479" t="inlineStr"/>
      <c r="BC479" t="inlineStr"/>
      <c r="BD479" t="inlineStr"/>
      <c r="BE479" t="inlineStr"/>
      <c r="BF479" t="inlineStr"/>
      <c r="BG479" t="inlineStr"/>
      <c r="BH479" t="inlineStr"/>
      <c r="BI479" t="inlineStr"/>
      <c r="BJ479" t="inlineStr"/>
      <c r="BK479" t="inlineStr"/>
      <c r="BL479" t="inlineStr"/>
      <c r="BM479" t="inlineStr"/>
      <c r="BN479" t="n">
        <v>0</v>
      </c>
      <c r="BO479" t="inlineStr"/>
      <c r="BP479" t="inlineStr"/>
      <c r="BQ479" t="inlineStr"/>
      <c r="BR479" t="inlineStr"/>
      <c r="BS479" t="inlineStr"/>
      <c r="BT479" t="inlineStr"/>
      <c r="BU479" t="inlineStr"/>
      <c r="BV479" t="inlineStr"/>
      <c r="BW479" t="inlineStr"/>
      <c r="BX479" t="inlineStr"/>
      <c r="BY479" t="inlineStr"/>
      <c r="BZ479" t="inlineStr"/>
      <c r="CA479" t="inlineStr"/>
      <c r="CB479" t="inlineStr"/>
      <c r="CC479" t="inlineStr"/>
      <c r="CD479" t="inlineStr"/>
      <c r="CE479" t="inlineStr"/>
      <c r="CF479" t="inlineStr"/>
      <c r="CG479" t="inlineStr"/>
      <c r="CH479" t="inlineStr"/>
      <c r="CI479" t="inlineStr"/>
      <c r="CJ479" t="inlineStr"/>
      <c r="CK479" t="inlineStr"/>
      <c r="CL479" t="inlineStr"/>
      <c r="CM479" t="inlineStr"/>
      <c r="CN479" t="inlineStr"/>
      <c r="CO479" t="inlineStr"/>
      <c r="CP479" t="inlineStr"/>
      <c r="CQ479" t="inlineStr"/>
      <c r="CR479" t="inlineStr"/>
      <c r="CS479" t="inlineStr"/>
      <c r="CT479" t="inlineStr"/>
      <c r="CU479" t="inlineStr"/>
      <c r="CV479" t="inlineStr"/>
      <c r="CW479" t="inlineStr"/>
      <c r="CX479" t="inlineStr"/>
      <c r="CY479" t="inlineStr"/>
      <c r="CZ479" t="inlineStr"/>
      <c r="DA479" t="inlineStr"/>
      <c r="DB479" t="inlineStr"/>
      <c r="DC479" t="inlineStr"/>
      <c r="DD479" t="inlineStr"/>
      <c r="DE479" t="inlineStr"/>
      <c r="DF479" t="inlineStr"/>
      <c r="DG479" t="inlineStr"/>
    </row>
    <row r="480">
      <c r="A480" t="inlineStr">
        <is>
          <t>III</t>
        </is>
      </c>
      <c r="B480" t="b">
        <v>1</v>
      </c>
      <c r="C480" t="inlineStr">
        <is>
          <t>x</t>
        </is>
      </c>
      <c r="D480" t="inlineStr"/>
      <c r="E480" t="n">
        <v>548</v>
      </c>
      <c r="F480">
        <f>HYPERLINK("https://portal.dnb.de/opac.htm?method=simpleSearch&amp;cqlMode=true&amp;query=idn%3D1066941939", "Portal")</f>
        <v/>
      </c>
      <c r="G480" t="inlineStr">
        <is>
          <t>Aaf</t>
        </is>
      </c>
      <c r="H480" t="inlineStr">
        <is>
          <t>L-1506-315469579</t>
        </is>
      </c>
      <c r="I480" t="inlineStr">
        <is>
          <t>1066941939</t>
        </is>
      </c>
      <c r="J480" t="inlineStr">
        <is>
          <t>III 60, 2</t>
        </is>
      </c>
      <c r="K480" t="inlineStr">
        <is>
          <t>III 60, 2</t>
        </is>
      </c>
      <c r="L480" t="inlineStr">
        <is>
          <t>III 60, 2</t>
        </is>
      </c>
      <c r="M480" t="inlineStr"/>
      <c r="N480" t="inlineStr">
        <is>
          <t xml:space="preserve">Directorium Misse.|| : </t>
        </is>
      </c>
      <c r="O480" t="inlineStr">
        <is>
          <t xml:space="preserve"> : </t>
        </is>
      </c>
      <c r="P480" t="inlineStr"/>
      <c r="Q480" t="inlineStr"/>
      <c r="R480" t="inlineStr"/>
      <c r="S480" t="inlineStr">
        <is>
          <t>bis 25 cm</t>
        </is>
      </c>
      <c r="T480" t="inlineStr"/>
      <c r="U480" t="inlineStr"/>
      <c r="V480" t="inlineStr"/>
      <c r="W480" t="inlineStr"/>
      <c r="X480" t="inlineStr"/>
      <c r="Y480" t="inlineStr"/>
      <c r="Z480" t="inlineStr"/>
      <c r="AA480" t="inlineStr"/>
      <c r="AB480" t="inlineStr"/>
      <c r="AC480" t="inlineStr"/>
      <c r="AD480" t="inlineStr"/>
      <c r="AE480" t="inlineStr"/>
      <c r="AF480" t="inlineStr"/>
      <c r="AG480" t="inlineStr"/>
      <c r="AH480" t="inlineStr"/>
      <c r="AI480" t="inlineStr">
        <is>
          <t>Pa</t>
        </is>
      </c>
      <c r="AJ480" t="inlineStr"/>
      <c r="AK480" t="inlineStr">
        <is>
          <t>x</t>
        </is>
      </c>
      <c r="AL480" t="inlineStr"/>
      <c r="AM480" t="inlineStr">
        <is>
          <t>h/E</t>
        </is>
      </c>
      <c r="AN480" t="inlineStr"/>
      <c r="AO480" t="inlineStr"/>
      <c r="AP480" t="inlineStr"/>
      <c r="AQ480" t="inlineStr"/>
      <c r="AR480" t="inlineStr"/>
      <c r="AS480" t="inlineStr">
        <is>
          <t>Pa</t>
        </is>
      </c>
      <c r="AT480" t="inlineStr"/>
      <c r="AU480" t="inlineStr"/>
      <c r="AV480" t="inlineStr"/>
      <c r="AW480" t="inlineStr"/>
      <c r="AX480" t="inlineStr"/>
      <c r="AY480" t="inlineStr"/>
      <c r="AZ480" t="inlineStr"/>
      <c r="BA480" t="inlineStr"/>
      <c r="BB480" t="inlineStr"/>
      <c r="BC480" t="inlineStr"/>
      <c r="BD480" t="inlineStr"/>
      <c r="BE480" t="inlineStr"/>
      <c r="BF480" t="inlineStr"/>
      <c r="BG480" t="n">
        <v>110</v>
      </c>
      <c r="BH480" t="inlineStr"/>
      <c r="BI480" t="inlineStr"/>
      <c r="BJ480" t="inlineStr"/>
      <c r="BK480" t="inlineStr"/>
      <c r="BL480" t="inlineStr"/>
      <c r="BM480" t="inlineStr">
        <is>
          <t>ja vor</t>
        </is>
      </c>
      <c r="BN480" t="n">
        <v>0.5</v>
      </c>
      <c r="BO480" t="inlineStr"/>
      <c r="BP480" t="inlineStr">
        <is>
          <t>Wellpappe</t>
        </is>
      </c>
      <c r="BQ480" t="inlineStr"/>
      <c r="BR480" t="inlineStr"/>
      <c r="BS480" t="inlineStr"/>
      <c r="BT480" t="inlineStr"/>
      <c r="BU480" t="inlineStr"/>
      <c r="BV480" t="inlineStr"/>
      <c r="BW480" t="inlineStr"/>
      <c r="BX480" t="inlineStr"/>
      <c r="BY480" t="inlineStr"/>
      <c r="BZ480" t="inlineStr">
        <is>
          <t>x</t>
        </is>
      </c>
      <c r="CA480" t="inlineStr"/>
      <c r="CB480" t="inlineStr">
        <is>
          <t>x</t>
        </is>
      </c>
      <c r="CC480" t="inlineStr"/>
      <c r="CD480" t="inlineStr"/>
      <c r="CE480" t="inlineStr"/>
      <c r="CF480" t="inlineStr"/>
      <c r="CG480" t="inlineStr"/>
      <c r="CH480" t="inlineStr"/>
      <c r="CI480" t="inlineStr"/>
      <c r="CJ480" t="inlineStr"/>
      <c r="CK480" t="inlineStr"/>
      <c r="CL480" t="inlineStr"/>
      <c r="CM480" t="n">
        <v>0.5</v>
      </c>
      <c r="CN480" t="inlineStr">
        <is>
          <t>fixieren und mit JP überfangen</t>
        </is>
      </c>
      <c r="CO480" t="inlineStr"/>
      <c r="CP480" t="inlineStr"/>
      <c r="CQ480" t="inlineStr"/>
      <c r="CR480" t="inlineStr"/>
      <c r="CS480" t="inlineStr"/>
      <c r="CT480" t="inlineStr"/>
      <c r="CU480" t="inlineStr"/>
      <c r="CV480" t="inlineStr"/>
      <c r="CW480" t="inlineStr"/>
      <c r="CX480" t="inlineStr"/>
      <c r="CY480" t="inlineStr"/>
      <c r="CZ480" t="inlineStr"/>
      <c r="DA480" t="inlineStr"/>
      <c r="DB480" t="inlineStr"/>
      <c r="DC480" t="inlineStr"/>
      <c r="DD480" t="inlineStr"/>
      <c r="DE480" t="inlineStr"/>
      <c r="DF480" t="inlineStr"/>
      <c r="DG480" t="inlineStr"/>
    </row>
    <row r="481">
      <c r="A481" t="inlineStr">
        <is>
          <t>III</t>
        </is>
      </c>
      <c r="B481" t="b">
        <v>1</v>
      </c>
      <c r="C481" t="inlineStr"/>
      <c r="D481" t="inlineStr"/>
      <c r="E481" t="n">
        <v>549</v>
      </c>
      <c r="F481">
        <f>HYPERLINK("https://portal.dnb.de/opac.htm?method=simpleSearch&amp;cqlMode=true&amp;query=idn%3D1066963673", "Portal")</f>
        <v/>
      </c>
      <c r="G481" t="inlineStr">
        <is>
          <t>Aaf</t>
        </is>
      </c>
      <c r="H481" t="inlineStr">
        <is>
          <t>L-1508-315493917</t>
        </is>
      </c>
      <c r="I481" t="inlineStr">
        <is>
          <t>1066963673</t>
        </is>
      </c>
      <c r="J481" t="inlineStr">
        <is>
          <t>III 60, 3</t>
        </is>
      </c>
      <c r="K481" t="inlineStr">
        <is>
          <t>III 60, 3</t>
        </is>
      </c>
      <c r="L481" t="inlineStr">
        <is>
          <t>III 60, 3</t>
        </is>
      </c>
      <c r="M481" t="inlineStr"/>
      <c r="N481" t="inlineStr">
        <is>
          <t>BAmbergische Halßgerichts|| vnd rechtlich Ordenung/ jn peynlich? sachen zu volfarñ/ allen Stetten/ Communen|| Regimenten/ Amptleüten ... vñ richtern||</t>
        </is>
      </c>
      <c r="O481" t="inlineStr">
        <is>
          <t xml:space="preserve"> : </t>
        </is>
      </c>
      <c r="P481" t="inlineStr"/>
      <c r="Q481" t="inlineStr"/>
      <c r="R481" t="inlineStr"/>
      <c r="S481" t="inlineStr"/>
      <c r="T481" t="inlineStr"/>
      <c r="U481" t="inlineStr"/>
      <c r="V481" t="inlineStr"/>
      <c r="W481" t="inlineStr"/>
      <c r="X481" t="inlineStr"/>
      <c r="Y481" t="inlineStr"/>
      <c r="Z481" t="inlineStr"/>
      <c r="AA481" t="inlineStr"/>
      <c r="AB481" t="inlineStr"/>
      <c r="AC481" t="inlineStr"/>
      <c r="AD481" t="inlineStr"/>
      <c r="AE481" t="inlineStr"/>
      <c r="AF481" t="inlineStr"/>
      <c r="AG481" t="inlineStr"/>
      <c r="AH481" t="inlineStr"/>
      <c r="AI481" t="inlineStr"/>
      <c r="AJ481" t="inlineStr"/>
      <c r="AK481" t="inlineStr"/>
      <c r="AL481" t="inlineStr"/>
      <c r="AM481" t="inlineStr"/>
      <c r="AN481" t="inlineStr"/>
      <c r="AO481" t="inlineStr"/>
      <c r="AP481" t="inlineStr"/>
      <c r="AQ481" t="inlineStr"/>
      <c r="AR481" t="inlineStr"/>
      <c r="AS481" t="inlineStr"/>
      <c r="AT481" t="inlineStr"/>
      <c r="AU481" t="inlineStr"/>
      <c r="AV481" t="inlineStr"/>
      <c r="AW481" t="inlineStr"/>
      <c r="AX481" t="inlineStr"/>
      <c r="AY481" t="inlineStr"/>
      <c r="AZ481" t="inlineStr"/>
      <c r="BA481" t="inlineStr"/>
      <c r="BB481" t="inlineStr"/>
      <c r="BC481" t="inlineStr"/>
      <c r="BD481" t="inlineStr"/>
      <c r="BE481" t="inlineStr"/>
      <c r="BF481" t="inlineStr"/>
      <c r="BG481" t="inlineStr"/>
      <c r="BH481" t="inlineStr"/>
      <c r="BI481" t="inlineStr"/>
      <c r="BJ481" t="inlineStr"/>
      <c r="BK481" t="inlineStr"/>
      <c r="BL481" t="inlineStr"/>
      <c r="BM481" t="inlineStr"/>
      <c r="BN481" t="n">
        <v>0</v>
      </c>
      <c r="BO481" t="inlineStr"/>
      <c r="BP481" t="inlineStr"/>
      <c r="BQ481" t="inlineStr"/>
      <c r="BR481" t="inlineStr"/>
      <c r="BS481" t="inlineStr"/>
      <c r="BT481" t="inlineStr"/>
      <c r="BU481" t="inlineStr"/>
      <c r="BV481" t="inlineStr"/>
      <c r="BW481" t="inlineStr"/>
      <c r="BX481" t="inlineStr"/>
      <c r="BY481" t="inlineStr"/>
      <c r="BZ481" t="inlineStr"/>
      <c r="CA481" t="inlineStr"/>
      <c r="CB481" t="inlineStr"/>
      <c r="CC481" t="inlineStr"/>
      <c r="CD481" t="inlineStr"/>
      <c r="CE481" t="inlineStr"/>
      <c r="CF481" t="inlineStr"/>
      <c r="CG481" t="inlineStr"/>
      <c r="CH481" t="inlineStr"/>
      <c r="CI481" t="inlineStr"/>
      <c r="CJ481" t="inlineStr"/>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c r="DA481" t="inlineStr"/>
      <c r="DB481" t="inlineStr"/>
      <c r="DC481" t="inlineStr"/>
      <c r="DD481" t="inlineStr"/>
      <c r="DE481" t="inlineStr"/>
      <c r="DF481" t="inlineStr"/>
      <c r="DG481" t="inlineStr"/>
    </row>
    <row r="482">
      <c r="A482" t="inlineStr">
        <is>
          <t>III</t>
        </is>
      </c>
      <c r="B482" t="b">
        <v>1</v>
      </c>
      <c r="C482" t="inlineStr"/>
      <c r="D482" t="inlineStr"/>
      <c r="E482" t="n">
        <v>550</v>
      </c>
      <c r="F482">
        <f>HYPERLINK("https://portal.dnb.de/opac.htm?method=simpleSearch&amp;cqlMode=true&amp;query=idn%3D1066962332", "Portal")</f>
        <v/>
      </c>
      <c r="G482" t="inlineStr">
        <is>
          <t>Aaf</t>
        </is>
      </c>
      <c r="H482" t="inlineStr">
        <is>
          <t>L-1508-315492732</t>
        </is>
      </c>
      <c r="I482" t="inlineStr">
        <is>
          <t>1066962332</t>
        </is>
      </c>
      <c r="J482" t="inlineStr">
        <is>
          <t>III 60, 4</t>
        </is>
      </c>
      <c r="K482" t="inlineStr">
        <is>
          <t>III 60, 4</t>
        </is>
      </c>
      <c r="L482" t="inlineStr">
        <is>
          <t>III 60, 4</t>
        </is>
      </c>
      <c r="M482" t="inlineStr"/>
      <c r="N482" t="inlineStr">
        <is>
          <t xml:space="preserve">MAnuale Curato=||ru. predicdi preb?s : </t>
        </is>
      </c>
      <c r="O482" t="inlineStr">
        <is>
          <t xml:space="preserve"> : </t>
        </is>
      </c>
      <c r="P482" t="inlineStr"/>
      <c r="Q482" t="inlineStr"/>
      <c r="R482" t="inlineStr"/>
      <c r="S482" t="inlineStr"/>
      <c r="T482" t="inlineStr"/>
      <c r="U482" t="inlineStr"/>
      <c r="V482" t="inlineStr"/>
      <c r="W482" t="inlineStr"/>
      <c r="X482" t="inlineStr"/>
      <c r="Y482" t="inlineStr"/>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c r="BD482" t="inlineStr"/>
      <c r="BE482" t="inlineStr"/>
      <c r="BF482" t="inlineStr"/>
      <c r="BG482" t="inlineStr"/>
      <c r="BH482" t="inlineStr"/>
      <c r="BI482" t="inlineStr"/>
      <c r="BJ482" t="inlineStr"/>
      <c r="BK482" t="inlineStr"/>
      <c r="BL482" t="inlineStr"/>
      <c r="BM482" t="inlineStr"/>
      <c r="BN482" t="n">
        <v>0</v>
      </c>
      <c r="BO482" t="inlineStr"/>
      <c r="BP482" t="inlineStr"/>
      <c r="BQ482" t="inlineStr"/>
      <c r="BR482" t="inlineStr"/>
      <c r="BS482" t="inlineStr"/>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c r="DB482" t="inlineStr"/>
      <c r="DC482" t="inlineStr"/>
      <c r="DD482" t="inlineStr"/>
      <c r="DE482" t="inlineStr"/>
      <c r="DF482" t="inlineStr"/>
      <c r="DG482" t="inlineStr"/>
    </row>
    <row r="483">
      <c r="A483" t="inlineStr">
        <is>
          <t>III</t>
        </is>
      </c>
      <c r="B483" t="b">
        <v>1</v>
      </c>
      <c r="C483" t="inlineStr"/>
      <c r="D483" t="inlineStr"/>
      <c r="E483" t="n">
        <v>551</v>
      </c>
      <c r="F483">
        <f>HYPERLINK("https://portal.dnb.de/opac.htm?method=simpleSearch&amp;cqlMode=true&amp;query=idn%3D1066848513", "Portal")</f>
        <v/>
      </c>
      <c r="G483" t="inlineStr">
        <is>
          <t>Aaf</t>
        </is>
      </c>
      <c r="H483" t="inlineStr">
        <is>
          <t>L-1509-315307617</t>
        </is>
      </c>
      <c r="I483" t="inlineStr">
        <is>
          <t>1066848513</t>
        </is>
      </c>
      <c r="J483" t="inlineStr">
        <is>
          <t>III 60, 5</t>
        </is>
      </c>
      <c r="K483" t="inlineStr">
        <is>
          <t>III 60, 5</t>
        </is>
      </c>
      <c r="L483" t="inlineStr">
        <is>
          <t>III 60, 5</t>
        </is>
      </c>
      <c r="M483" t="inlineStr"/>
      <c r="N483" t="inlineStr">
        <is>
          <t>Breuiarium Maguntinense.|| Nouissime Jmpressum.|| emendatum: ac plurimis luculẽ=||tissimis additamẽtis con||gestum et absolutũ.|| Feliciter incipit.||</t>
        </is>
      </c>
      <c r="O483" t="inlineStr">
        <is>
          <t xml:space="preserve"> : </t>
        </is>
      </c>
      <c r="P483" t="inlineStr">
        <is>
          <t>X</t>
        </is>
      </c>
      <c r="Q483" t="inlineStr"/>
      <c r="R483" t="inlineStr">
        <is>
          <t>Ledereinband, Schließen, erhabene Buchbeschläge</t>
        </is>
      </c>
      <c r="S483" t="inlineStr">
        <is>
          <t>bis 35 cm</t>
        </is>
      </c>
      <c r="T483" t="inlineStr">
        <is>
          <t>80° bis 110°, einseitig digitalisierbar?</t>
        </is>
      </c>
      <c r="U483" t="inlineStr"/>
      <c r="V483" t="inlineStr"/>
      <c r="W483" t="inlineStr">
        <is>
          <t>Buchschuh</t>
        </is>
      </c>
      <c r="X483" t="inlineStr">
        <is>
          <t>Nein, Signaturfahne austauschen</t>
        </is>
      </c>
      <c r="Y483" t="n">
        <v>0</v>
      </c>
      <c r="Z483" t="inlineStr"/>
      <c r="AA483" t="inlineStr"/>
      <c r="AB483" t="inlineStr"/>
      <c r="AC483" t="inlineStr"/>
      <c r="AD483" t="inlineStr"/>
      <c r="AE483" t="inlineStr"/>
      <c r="AF483" t="inlineStr"/>
      <c r="AG483" t="inlineStr"/>
      <c r="AH483" t="inlineStr"/>
      <c r="AI483" t="inlineStr">
        <is>
          <t>L</t>
        </is>
      </c>
      <c r="AJ483" t="inlineStr"/>
      <c r="AK483" t="inlineStr">
        <is>
          <t>x</t>
        </is>
      </c>
      <c r="AL483" t="inlineStr"/>
      <c r="AM483" t="inlineStr">
        <is>
          <t>h/E</t>
        </is>
      </c>
      <c r="AN483" t="inlineStr"/>
      <c r="AO483" t="inlineStr"/>
      <c r="AP483" t="inlineStr"/>
      <c r="AQ483" t="inlineStr">
        <is>
          <t>x</t>
        </is>
      </c>
      <c r="AR483" t="inlineStr"/>
      <c r="AS483" t="inlineStr">
        <is>
          <t>Pa</t>
        </is>
      </c>
      <c r="AT483" t="inlineStr"/>
      <c r="AU483" t="inlineStr"/>
      <c r="AV483" t="inlineStr"/>
      <c r="AW483" t="inlineStr"/>
      <c r="AX483" t="inlineStr"/>
      <c r="AY483" t="inlineStr"/>
      <c r="AZ483" t="inlineStr"/>
      <c r="BA483" t="inlineStr"/>
      <c r="BB483" t="inlineStr"/>
      <c r="BC483" t="inlineStr">
        <is>
          <t>I/R</t>
        </is>
      </c>
      <c r="BD483" t="inlineStr">
        <is>
          <t>x</t>
        </is>
      </c>
      <c r="BE483" t="inlineStr"/>
      <c r="BF483" t="inlineStr"/>
      <c r="BG483" t="n">
        <v>45</v>
      </c>
      <c r="BH483" t="inlineStr"/>
      <c r="BI483" t="inlineStr"/>
      <c r="BJ483" t="inlineStr"/>
      <c r="BK483" t="inlineStr"/>
      <c r="BL483" t="inlineStr"/>
      <c r="BM483" t="inlineStr">
        <is>
          <t>n</t>
        </is>
      </c>
      <c r="BN483" t="n">
        <v>0</v>
      </c>
      <c r="BO483" t="inlineStr"/>
      <c r="BP483" t="inlineStr"/>
      <c r="BQ483" t="inlineStr"/>
      <c r="BR483" t="inlineStr">
        <is>
          <t>x</t>
        </is>
      </c>
      <c r="BS483" t="inlineStr"/>
      <c r="BT483" t="inlineStr"/>
      <c r="BU483" t="inlineStr"/>
      <c r="BV483" t="inlineStr"/>
      <c r="BW483" t="inlineStr">
        <is>
          <t>x 45</t>
        </is>
      </c>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c r="CV483" t="inlineStr"/>
      <c r="CW483" t="inlineStr"/>
      <c r="CX483" t="inlineStr"/>
      <c r="CY483" t="inlineStr"/>
      <c r="CZ483" t="inlineStr"/>
      <c r="DA483" t="inlineStr"/>
      <c r="DB483" t="inlineStr"/>
      <c r="DC483" t="inlineStr"/>
      <c r="DD483" t="inlineStr"/>
      <c r="DE483" t="inlineStr"/>
      <c r="DF483" t="inlineStr"/>
      <c r="DG483" t="inlineStr"/>
    </row>
    <row r="484">
      <c r="A484" t="inlineStr">
        <is>
          <t>III</t>
        </is>
      </c>
      <c r="B484" t="b">
        <v>0</v>
      </c>
      <c r="C484" t="inlineStr"/>
      <c r="D484" t="inlineStr"/>
      <c r="E484" t="n">
        <v>552</v>
      </c>
      <c r="F484">
        <f>HYPERLINK("https://portal.dnb.de/opac.htm?method=simpleSearch&amp;cqlMode=true&amp;query=idn%3D1066671311", "Portal")</f>
        <v/>
      </c>
      <c r="G484" t="inlineStr"/>
      <c r="H484" t="inlineStr">
        <is>
          <t>L-1509-315059818</t>
        </is>
      </c>
      <c r="I484" t="inlineStr">
        <is>
          <t>1066671311</t>
        </is>
      </c>
      <c r="J484" t="inlineStr"/>
      <c r="K484" t="inlineStr"/>
      <c r="L484" t="inlineStr">
        <is>
          <t>III 60, 6</t>
        </is>
      </c>
      <c r="M484" t="inlineStr"/>
      <c r="N484" t="inlineStr"/>
      <c r="O484" t="inlineStr"/>
      <c r="P484" t="inlineStr"/>
      <c r="Q484" t="inlineStr"/>
      <c r="R484" t="inlineStr"/>
      <c r="S484" t="inlineStr"/>
      <c r="T484" t="inlineStr"/>
      <c r="U484" t="inlineStr"/>
      <c r="V484" t="inlineStr"/>
      <c r="W484" t="inlineStr"/>
      <c r="X484" t="inlineStr"/>
      <c r="Y484" t="inlineStr"/>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inlineStr"/>
      <c r="BI484" t="inlineStr"/>
      <c r="BJ484" t="inlineStr"/>
      <c r="BK484" t="inlineStr"/>
      <c r="BL484" t="inlineStr"/>
      <c r="BM484" t="inlineStr"/>
      <c r="BN484" t="n">
        <v>0</v>
      </c>
      <c r="BO484" t="inlineStr"/>
      <c r="BP484" t="inlineStr"/>
      <c r="BQ484" t="inlineStr"/>
      <c r="BR484" t="inlineStr"/>
      <c r="BS484" t="inlineStr"/>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c r="CV484" t="inlineStr"/>
      <c r="CW484" t="inlineStr"/>
      <c r="CX484" t="inlineStr"/>
      <c r="CY484" t="inlineStr"/>
      <c r="CZ484" t="inlineStr"/>
      <c r="DA484" t="inlineStr"/>
      <c r="DB484" t="inlineStr"/>
      <c r="DC484" t="inlineStr"/>
      <c r="DD484" t="inlineStr"/>
      <c r="DE484" t="inlineStr"/>
      <c r="DF484" t="inlineStr"/>
      <c r="DG484" t="inlineStr"/>
    </row>
    <row r="485">
      <c r="A485" t="inlineStr">
        <is>
          <t>III</t>
        </is>
      </c>
      <c r="B485" t="b">
        <v>1</v>
      </c>
      <c r="C485" t="inlineStr"/>
      <c r="D485" t="inlineStr"/>
      <c r="E485" t="n">
        <v>553</v>
      </c>
      <c r="F485">
        <f>HYPERLINK("https://portal.dnb.de/opac.htm?method=simpleSearch&amp;cqlMode=true&amp;query=idn%3D994273215", "Portal")</f>
        <v/>
      </c>
      <c r="G485" t="inlineStr">
        <is>
          <t>Aal</t>
        </is>
      </c>
      <c r="H485" t="inlineStr">
        <is>
          <t>L-9999-155008226</t>
        </is>
      </c>
      <c r="I485" t="inlineStr">
        <is>
          <t>994273215</t>
        </is>
      </c>
      <c r="J485" t="inlineStr">
        <is>
          <t>III 60, 8</t>
        </is>
      </c>
      <c r="K485" t="inlineStr">
        <is>
          <t>III 60, 8</t>
        </is>
      </c>
      <c r="L485" t="inlineStr">
        <is>
          <t>III 60, 8</t>
        </is>
      </c>
      <c r="M485" t="inlineStr"/>
      <c r="N485" t="inlineStr">
        <is>
          <t>Agēda Magūtin̄|| cum vtilissimis scituqz dignissi||mis (prioribz tamen non|| insertis) qbusdā nota||bilibus: iam nouiter|| ac diligenter|| jmp̄ss : [F</t>
        </is>
      </c>
      <c r="O485" t="inlineStr">
        <is>
          <t xml:space="preserve"> : </t>
        </is>
      </c>
      <c r="P485" t="inlineStr"/>
      <c r="Q485" t="inlineStr"/>
      <c r="R485" t="inlineStr"/>
      <c r="S485" t="inlineStr"/>
      <c r="T485" t="inlineStr"/>
      <c r="U485" t="inlineStr"/>
      <c r="V485" t="inlineStr"/>
      <c r="W485" t="inlineStr"/>
      <c r="X485" t="inlineStr"/>
      <c r="Y485" t="inlineStr"/>
      <c r="Z485" t="inlineStr"/>
      <c r="AA485" t="inlineStr"/>
      <c r="AB485" t="inlineStr"/>
      <c r="AC485" t="inlineStr"/>
      <c r="AD485" t="inlineStr"/>
      <c r="AE485" t="inlineStr"/>
      <c r="AF485" t="inlineStr"/>
      <c r="AG485" t="inlineStr"/>
      <c r="AH485" t="inlineStr"/>
      <c r="AI485" t="inlineStr"/>
      <c r="AJ485" t="inlineStr"/>
      <c r="AK485" t="inlineStr"/>
      <c r="AL485" t="inlineStr"/>
      <c r="AM485" t="inlineStr"/>
      <c r="AN485" t="inlineStr"/>
      <c r="AO485" t="inlineStr"/>
      <c r="AP485" t="inlineStr"/>
      <c r="AQ485" t="inlineStr"/>
      <c r="AR485" t="inlineStr"/>
      <c r="AS485" t="inlineStr"/>
      <c r="AT485" t="inlineStr"/>
      <c r="AU485" t="inlineStr"/>
      <c r="AV485" t="inlineStr"/>
      <c r="AW485" t="inlineStr"/>
      <c r="AX485" t="inlineStr"/>
      <c r="AY485" t="inlineStr"/>
      <c r="AZ485" t="inlineStr"/>
      <c r="BA485" t="inlineStr"/>
      <c r="BB485" t="inlineStr"/>
      <c r="BC485" t="inlineStr"/>
      <c r="BD485" t="inlineStr"/>
      <c r="BE485" t="inlineStr"/>
      <c r="BF485" t="inlineStr"/>
      <c r="BG485" t="inlineStr"/>
      <c r="BH485" t="inlineStr"/>
      <c r="BI485" t="inlineStr"/>
      <c r="BJ485" t="inlineStr"/>
      <c r="BK485" t="inlineStr"/>
      <c r="BL485" t="inlineStr"/>
      <c r="BM485" t="inlineStr"/>
      <c r="BN485" t="n">
        <v>0</v>
      </c>
      <c r="BO485" t="inlineStr"/>
      <c r="BP485" t="inlineStr"/>
      <c r="BQ485" t="inlineStr"/>
      <c r="BR485" t="inlineStr"/>
      <c r="BS485" t="inlineStr"/>
      <c r="BT485" t="inlineStr"/>
      <c r="BU485" t="inlineStr"/>
      <c r="BV485" t="inlineStr"/>
      <c r="BW485" t="inlineStr"/>
      <c r="BX485" t="inlineStr"/>
      <c r="BY485" t="inlineStr"/>
      <c r="BZ485" t="inlineStr"/>
      <c r="CA485" t="inlineStr"/>
      <c r="CB485" t="inlineStr"/>
      <c r="CC485" t="inlineStr"/>
      <c r="CD485" t="inlineStr"/>
      <c r="CE485" t="inlineStr"/>
      <c r="CF485" t="inlineStr"/>
      <c r="CG485" t="inlineStr"/>
      <c r="CH485" t="inlineStr"/>
      <c r="CI485" t="inlineStr"/>
      <c r="CJ485" t="inlineStr"/>
      <c r="CK485" t="inlineStr"/>
      <c r="CL485" t="inlineStr"/>
      <c r="CM485" t="inlineStr"/>
      <c r="CN485" t="inlineStr"/>
      <c r="CO485" t="inlineStr"/>
      <c r="CP485" t="inlineStr"/>
      <c r="CQ485" t="inlineStr"/>
      <c r="CR485" t="inlineStr"/>
      <c r="CS485" t="inlineStr"/>
      <c r="CT485" t="inlineStr"/>
      <c r="CU485" t="inlineStr"/>
      <c r="CV485" t="inlineStr"/>
      <c r="CW485" t="inlineStr"/>
      <c r="CX485" t="inlineStr"/>
      <c r="CY485" t="inlineStr"/>
      <c r="CZ485" t="inlineStr"/>
      <c r="DA485" t="inlineStr"/>
      <c r="DB485" t="inlineStr"/>
      <c r="DC485" t="inlineStr"/>
      <c r="DD485" t="inlineStr"/>
      <c r="DE485" t="inlineStr"/>
      <c r="DF485" t="inlineStr"/>
      <c r="DG485" t="inlineStr"/>
    </row>
    <row r="486">
      <c r="A486" t="inlineStr">
        <is>
          <t>III</t>
        </is>
      </c>
      <c r="B486" t="b">
        <v>1</v>
      </c>
      <c r="C486" t="inlineStr">
        <is>
          <t>x</t>
        </is>
      </c>
      <c r="D486" t="inlineStr"/>
      <c r="E486" t="n">
        <v>554</v>
      </c>
      <c r="F486">
        <f>HYPERLINK("https://portal.dnb.de/opac.htm?method=simpleSearch&amp;cqlMode=true&amp;query=idn%3D1066956650", "Portal")</f>
        <v/>
      </c>
      <c r="G486" t="inlineStr">
        <is>
          <t>Aa</t>
        </is>
      </c>
      <c r="H486" t="inlineStr">
        <is>
          <t>L-1514-315487291</t>
        </is>
      </c>
      <c r="I486" t="inlineStr">
        <is>
          <t>1066956650</t>
        </is>
      </c>
      <c r="J486" t="inlineStr">
        <is>
          <t>III 60, 9</t>
        </is>
      </c>
      <c r="K486" t="inlineStr">
        <is>
          <t>III 60, 9</t>
        </is>
      </c>
      <c r="L486" t="inlineStr">
        <is>
          <t>III 60, 9</t>
        </is>
      </c>
      <c r="M486" t="inlineStr"/>
      <c r="N486" t="inlineStr">
        <is>
          <t xml:space="preserve">ROmische Historie : </t>
        </is>
      </c>
      <c r="O486" t="inlineStr">
        <is>
          <t xml:space="preserve"> : </t>
        </is>
      </c>
      <c r="P486" t="inlineStr"/>
      <c r="Q486" t="inlineStr"/>
      <c r="R486" t="inlineStr"/>
      <c r="S486" t="inlineStr">
        <is>
          <t>bis 35 cm</t>
        </is>
      </c>
      <c r="T486" t="inlineStr"/>
      <c r="U486" t="inlineStr"/>
      <c r="V486" t="inlineStr"/>
      <c r="W486" t="inlineStr"/>
      <c r="X486" t="inlineStr"/>
      <c r="Y486" t="inlineStr"/>
      <c r="Z486" t="inlineStr"/>
      <c r="AA486" t="inlineStr"/>
      <c r="AB486" t="inlineStr"/>
      <c r="AC486" t="inlineStr"/>
      <c r="AD486" t="inlineStr"/>
      <c r="AE486" t="inlineStr"/>
      <c r="AF486" t="inlineStr"/>
      <c r="AG486" t="inlineStr"/>
      <c r="AH486" t="inlineStr"/>
      <c r="AI486" t="inlineStr">
        <is>
          <t>L</t>
        </is>
      </c>
      <c r="AJ486" t="inlineStr"/>
      <c r="AK486" t="inlineStr"/>
      <c r="AL486" t="inlineStr">
        <is>
          <t>x</t>
        </is>
      </c>
      <c r="AM486" t="inlineStr">
        <is>
          <t>f/V</t>
        </is>
      </c>
      <c r="AN486" t="inlineStr"/>
      <c r="AO486" t="inlineStr"/>
      <c r="AP486" t="inlineStr"/>
      <c r="AQ486" t="inlineStr"/>
      <c r="AR486" t="inlineStr"/>
      <c r="AS486" t="inlineStr">
        <is>
          <t>Pa</t>
        </is>
      </c>
      <c r="AT486" t="inlineStr"/>
      <c r="AU486" t="inlineStr"/>
      <c r="AV486" t="inlineStr"/>
      <c r="AW486" t="inlineStr"/>
      <c r="AX486" t="inlineStr"/>
      <c r="AY486" t="inlineStr"/>
      <c r="AZ486" t="inlineStr"/>
      <c r="BA486" t="inlineStr"/>
      <c r="BB486" t="inlineStr"/>
      <c r="BC486" t="inlineStr"/>
      <c r="BD486" t="inlineStr"/>
      <c r="BE486" t="inlineStr"/>
      <c r="BF486" t="inlineStr"/>
      <c r="BG486" t="n">
        <v>80</v>
      </c>
      <c r="BH486" t="inlineStr"/>
      <c r="BI486" t="inlineStr"/>
      <c r="BJ486" t="inlineStr"/>
      <c r="BK486" t="inlineStr"/>
      <c r="BL486" t="inlineStr"/>
      <c r="BM486" t="inlineStr">
        <is>
          <t>ja vor</t>
        </is>
      </c>
      <c r="BN486" t="n">
        <v>6</v>
      </c>
      <c r="BO486" t="inlineStr"/>
      <c r="BP486" t="inlineStr"/>
      <c r="BQ486" t="inlineStr"/>
      <c r="BR486" t="inlineStr">
        <is>
          <t>x</t>
        </is>
      </c>
      <c r="BS486" t="inlineStr"/>
      <c r="BT486" t="inlineStr"/>
      <c r="BU486" t="inlineStr"/>
      <c r="BV486" t="inlineStr"/>
      <c r="BW486" t="inlineStr"/>
      <c r="BX486" t="inlineStr"/>
      <c r="BY486" t="inlineStr"/>
      <c r="BZ486" t="inlineStr">
        <is>
          <t>x</t>
        </is>
      </c>
      <c r="CA486" t="inlineStr">
        <is>
          <t>x</t>
        </is>
      </c>
      <c r="CB486" t="inlineStr">
        <is>
          <t>x</t>
        </is>
      </c>
      <c r="CC486" t="inlineStr"/>
      <c r="CD486" t="inlineStr">
        <is>
          <t>v</t>
        </is>
      </c>
      <c r="CE486" t="inlineStr"/>
      <c r="CF486" t="inlineStr"/>
      <c r="CG486" t="inlineStr"/>
      <c r="CH486" t="inlineStr"/>
      <c r="CI486" t="inlineStr"/>
      <c r="CJ486" t="inlineStr"/>
      <c r="CK486" t="inlineStr"/>
      <c r="CL486" t="inlineStr"/>
      <c r="CM486" t="n">
        <v>6</v>
      </c>
      <c r="CN486" t="inlineStr">
        <is>
          <t>Gelenk vorn mit Leder unterlegen, hinten belassen (ist stabil)</t>
        </is>
      </c>
      <c r="CO486" t="inlineStr"/>
      <c r="CP486" t="inlineStr"/>
      <c r="CQ486" t="inlineStr"/>
      <c r="CR486" t="inlineStr"/>
      <c r="CS486" t="inlineStr"/>
      <c r="CT486" t="inlineStr"/>
      <c r="CU486" t="inlineStr"/>
      <c r="CV486" t="inlineStr"/>
      <c r="CW486" t="inlineStr"/>
      <c r="CX486" t="inlineStr"/>
      <c r="CY486" t="inlineStr"/>
      <c r="CZ486" t="inlineStr"/>
      <c r="DA486" t="inlineStr"/>
      <c r="DB486" t="inlineStr"/>
      <c r="DC486" t="inlineStr"/>
      <c r="DD486" t="inlineStr"/>
      <c r="DE486" t="inlineStr"/>
      <c r="DF486" t="inlineStr"/>
      <c r="DG486" t="inlineStr"/>
    </row>
    <row r="487">
      <c r="A487" t="inlineStr">
        <is>
          <t>III</t>
        </is>
      </c>
      <c r="B487" t="b">
        <v>1</v>
      </c>
      <c r="C487" t="inlineStr"/>
      <c r="D487" t="inlineStr"/>
      <c r="E487" t="n">
        <v>555</v>
      </c>
      <c r="F487">
        <f>HYPERLINK("https://portal.dnb.de/opac.htm?method=simpleSearch&amp;cqlMode=true&amp;query=idn%3D1066956464", "Portal")</f>
        <v/>
      </c>
      <c r="G487" t="inlineStr">
        <is>
          <t>Aaf</t>
        </is>
      </c>
      <c r="H487" t="inlineStr">
        <is>
          <t>L-1514-315487135</t>
        </is>
      </c>
      <c r="I487" t="inlineStr">
        <is>
          <t>1066956464</t>
        </is>
      </c>
      <c r="J487" t="inlineStr">
        <is>
          <t>III 60, 10</t>
        </is>
      </c>
      <c r="K487" t="inlineStr">
        <is>
          <t>III 60, 10</t>
        </is>
      </c>
      <c r="L487" t="inlineStr">
        <is>
          <t>III 60, 10</t>
        </is>
      </c>
      <c r="M487" t="inlineStr"/>
      <c r="N487" t="inlineStr">
        <is>
          <t xml:space="preserve">HOrtul#[us]|| anime|| : </t>
        </is>
      </c>
      <c r="O487" t="inlineStr">
        <is>
          <t xml:space="preserve"> : </t>
        </is>
      </c>
      <c r="P487" t="inlineStr"/>
      <c r="Q487" t="inlineStr"/>
      <c r="R487" t="inlineStr"/>
      <c r="S487" t="inlineStr"/>
      <c r="T487" t="inlineStr"/>
      <c r="U487" t="inlineStr"/>
      <c r="V487" t="inlineStr"/>
      <c r="W487" t="inlineStr"/>
      <c r="X487" t="inlineStr"/>
      <c r="Y487" t="inlineStr"/>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c r="BB487" t="inlineStr"/>
      <c r="BC487" t="inlineStr"/>
      <c r="BD487" t="inlineStr"/>
      <c r="BE487" t="inlineStr"/>
      <c r="BF487" t="inlineStr"/>
      <c r="BG487" t="inlineStr"/>
      <c r="BH487" t="inlineStr"/>
      <c r="BI487" t="inlineStr"/>
      <c r="BJ487" t="inlineStr"/>
      <c r="BK487" t="inlineStr"/>
      <c r="BL487" t="inlineStr"/>
      <c r="BM487" t="inlineStr"/>
      <c r="BN487" t="n">
        <v>0</v>
      </c>
      <c r="BO487" t="inlineStr"/>
      <c r="BP487" t="inlineStr"/>
      <c r="BQ487" t="inlineStr"/>
      <c r="BR487" t="inlineStr"/>
      <c r="BS487" t="inlineStr"/>
      <c r="BT487" t="inlineStr"/>
      <c r="BU487" t="inlineStr"/>
      <c r="BV487" t="inlineStr"/>
      <c r="BW487" t="inlineStr"/>
      <c r="BX487" t="inlineStr"/>
      <c r="BY487" t="inlineStr"/>
      <c r="BZ487" t="inlineStr"/>
      <c r="CA487" t="inlineStr"/>
      <c r="CB487" t="inlineStr"/>
      <c r="CC487" t="inlineStr"/>
      <c r="CD487" t="inlineStr"/>
      <c r="CE487" t="inlineStr"/>
      <c r="CF487" t="inlineStr"/>
      <c r="CG487" t="inlineStr"/>
      <c r="CH487" t="inlineStr"/>
      <c r="CI487" t="inlineStr"/>
      <c r="CJ487" t="inlineStr"/>
      <c r="CK487" t="inlineStr"/>
      <c r="CL487" t="inlineStr"/>
      <c r="CM487" t="inlineStr"/>
      <c r="CN487" t="inlineStr"/>
      <c r="CO487" t="inlineStr"/>
      <c r="CP487" t="inlineStr"/>
      <c r="CQ487" t="inlineStr"/>
      <c r="CR487" t="inlineStr"/>
      <c r="CS487" t="inlineStr"/>
      <c r="CT487" t="inlineStr"/>
      <c r="CU487" t="inlineStr"/>
      <c r="CV487" t="inlineStr"/>
      <c r="CW487" t="inlineStr"/>
      <c r="CX487" t="inlineStr"/>
      <c r="CY487" t="inlineStr"/>
      <c r="CZ487" t="inlineStr"/>
      <c r="DA487" t="inlineStr"/>
      <c r="DB487" t="inlineStr"/>
      <c r="DC487" t="inlineStr"/>
      <c r="DD487" t="inlineStr"/>
      <c r="DE487" t="inlineStr"/>
      <c r="DF487" t="inlineStr"/>
      <c r="DG487" t="inlineStr"/>
    </row>
    <row r="488">
      <c r="A488" t="inlineStr">
        <is>
          <t>III</t>
        </is>
      </c>
      <c r="B488" t="b">
        <v>1</v>
      </c>
      <c r="C488" t="inlineStr"/>
      <c r="D488" t="inlineStr"/>
      <c r="E488" t="n">
        <v>556</v>
      </c>
      <c r="F488">
        <f>HYPERLINK("https://portal.dnb.de/opac.htm?method=simpleSearch&amp;cqlMode=true&amp;query=idn%3D1066962812", "Portal")</f>
        <v/>
      </c>
      <c r="G488" t="inlineStr">
        <is>
          <t>Aaf</t>
        </is>
      </c>
      <c r="H488" t="inlineStr">
        <is>
          <t>L-1515-315493119</t>
        </is>
      </c>
      <c r="I488" t="inlineStr">
        <is>
          <t>1066962812</t>
        </is>
      </c>
      <c r="J488" t="inlineStr">
        <is>
          <t>III 60, 11</t>
        </is>
      </c>
      <c r="K488" t="inlineStr">
        <is>
          <t>III 60, 11</t>
        </is>
      </c>
      <c r="L488" t="inlineStr">
        <is>
          <t>III 60, 11</t>
        </is>
      </c>
      <c r="M488" t="inlineStr"/>
      <c r="N488" t="inlineStr">
        <is>
          <t>Compendiu siue Breuiariu|| PRIMI VOLVMINIS ANNALIVM SIVE HISTORIARVM,|| DE ORIGINE REGVM ET GENTIS FRAN=||CORVM AD REVERENDISSIMVM|| IN CHRISTO PATREM</t>
        </is>
      </c>
      <c r="O488" t="inlineStr">
        <is>
          <t xml:space="preserve"> : </t>
        </is>
      </c>
      <c r="P488" t="inlineStr"/>
      <c r="Q488" t="inlineStr"/>
      <c r="R488" t="inlineStr"/>
      <c r="S488" t="inlineStr">
        <is>
          <t>bis 35 cm</t>
        </is>
      </c>
      <c r="T488" t="inlineStr"/>
      <c r="U488" t="inlineStr"/>
      <c r="V488" t="inlineStr"/>
      <c r="W488" t="inlineStr"/>
      <c r="X488" t="inlineStr"/>
      <c r="Y488" t="inlineStr"/>
      <c r="Z488" t="inlineStr"/>
      <c r="AA488" t="inlineStr"/>
      <c r="AB488" t="inlineStr"/>
      <c r="AC488" t="inlineStr"/>
      <c r="AD488" t="inlineStr"/>
      <c r="AE488" t="inlineStr"/>
      <c r="AF488" t="inlineStr"/>
      <c r="AG488" t="inlineStr"/>
      <c r="AH488" t="inlineStr"/>
      <c r="AI488" t="inlineStr">
        <is>
          <t>L</t>
        </is>
      </c>
      <c r="AJ488" t="inlineStr"/>
      <c r="AK488" t="inlineStr"/>
      <c r="AL488" t="inlineStr"/>
      <c r="AM488" t="inlineStr">
        <is>
          <t>f/V</t>
        </is>
      </c>
      <c r="AN488" t="inlineStr"/>
      <c r="AO488" t="inlineStr"/>
      <c r="AP488" t="inlineStr"/>
      <c r="AQ488" t="inlineStr"/>
      <c r="AR488" t="inlineStr"/>
      <c r="AS488" t="inlineStr">
        <is>
          <t>Pa</t>
        </is>
      </c>
      <c r="AT488" t="inlineStr"/>
      <c r="AU488" t="inlineStr"/>
      <c r="AV488" t="inlineStr"/>
      <c r="AW488" t="inlineStr"/>
      <c r="AX488" t="inlineStr"/>
      <c r="AY488" t="inlineStr"/>
      <c r="AZ488" t="inlineStr"/>
      <c r="BA488" t="inlineStr"/>
      <c r="BB488" t="inlineStr"/>
      <c r="BC488" t="inlineStr"/>
      <c r="BD488" t="inlineStr"/>
      <c r="BE488" t="inlineStr"/>
      <c r="BF488" t="inlineStr"/>
      <c r="BG488" t="n">
        <v>80</v>
      </c>
      <c r="BH488" t="inlineStr"/>
      <c r="BI488" t="inlineStr"/>
      <c r="BJ488" t="inlineStr"/>
      <c r="BK488" t="inlineStr"/>
      <c r="BL488" t="inlineStr"/>
      <c r="BM488" t="inlineStr">
        <is>
          <t>n</t>
        </is>
      </c>
      <c r="BN488" t="n">
        <v>0</v>
      </c>
      <c r="BO488" t="inlineStr"/>
      <c r="BP488" t="inlineStr"/>
      <c r="BQ488" t="inlineStr"/>
      <c r="BR488" t="inlineStr">
        <is>
          <t>x</t>
        </is>
      </c>
      <c r="BS488" t="inlineStr"/>
      <c r="BT488" t="inlineStr"/>
      <c r="BU488" t="inlineStr"/>
      <c r="BV488" t="inlineStr">
        <is>
          <t>Schaden stabil</t>
        </is>
      </c>
      <c r="BW488" t="inlineStr"/>
      <c r="BX488" t="inlineStr"/>
      <c r="BY488" t="inlineStr"/>
      <c r="BZ488" t="inlineStr"/>
      <c r="CA488" t="inlineStr"/>
      <c r="CB488" t="inlineStr"/>
      <c r="CC488" t="inlineStr"/>
      <c r="CD488" t="inlineStr"/>
      <c r="CE488" t="inlineStr"/>
      <c r="CF488" t="inlineStr"/>
      <c r="CG488" t="inlineStr"/>
      <c r="CH488" t="inlineStr"/>
      <c r="CI488" t="inlineStr"/>
      <c r="CJ488" t="inlineStr"/>
      <c r="CK488" t="inlineStr"/>
      <c r="CL488" t="inlineStr"/>
      <c r="CM488" t="inlineStr"/>
      <c r="CN488" t="inlineStr"/>
      <c r="CO488" t="inlineStr"/>
      <c r="CP488" t="inlineStr"/>
      <c r="CQ488" t="inlineStr"/>
      <c r="CR488" t="inlineStr"/>
      <c r="CS488" t="inlineStr"/>
      <c r="CT488" t="inlineStr"/>
      <c r="CU488" t="inlineStr"/>
      <c r="CV488" t="inlineStr"/>
      <c r="CW488" t="inlineStr"/>
      <c r="CX488" t="inlineStr"/>
      <c r="CY488" t="inlineStr"/>
      <c r="CZ488" t="inlineStr"/>
      <c r="DA488" t="inlineStr"/>
      <c r="DB488" t="inlineStr"/>
      <c r="DC488" t="inlineStr"/>
      <c r="DD488" t="inlineStr"/>
      <c r="DE488" t="inlineStr"/>
      <c r="DF488" t="inlineStr"/>
      <c r="DG488" t="inlineStr"/>
    </row>
    <row r="489">
      <c r="A489" t="inlineStr">
        <is>
          <t>III</t>
        </is>
      </c>
      <c r="B489" t="b">
        <v>1</v>
      </c>
      <c r="C489" t="inlineStr"/>
      <c r="D489" t="inlineStr"/>
      <c r="E489" t="n">
        <v>557</v>
      </c>
      <c r="F489">
        <f>HYPERLINK("https://portal.dnb.de/opac.htm?method=simpleSearch&amp;cqlMode=true&amp;query=idn%3D1066964084", "Portal")</f>
        <v/>
      </c>
      <c r="G489" t="inlineStr">
        <is>
          <t>Aaf</t>
        </is>
      </c>
      <c r="H489" t="inlineStr">
        <is>
          <t>L-1516-315494301</t>
        </is>
      </c>
      <c r="I489" t="inlineStr">
        <is>
          <t>1066964084</t>
        </is>
      </c>
      <c r="J489" t="inlineStr">
        <is>
          <t>III 60, 12 (Großformat)</t>
        </is>
      </c>
      <c r="K489" t="inlineStr">
        <is>
          <t>III 60, 12</t>
        </is>
      </c>
      <c r="L489" t="inlineStr">
        <is>
          <t>III 60, 12</t>
        </is>
      </c>
      <c r="M489" t="inlineStr"/>
      <c r="N489" t="inlineStr">
        <is>
          <t xml:space="preserve">PSALTERIUM ORDINIS S. BENEDICTI DE|| OBSERVANTIA BURSFELDEN.|| : </t>
        </is>
      </c>
      <c r="O489" t="inlineStr">
        <is>
          <t xml:space="preserve"> : </t>
        </is>
      </c>
      <c r="P489" t="inlineStr"/>
      <c r="Q489" t="inlineStr"/>
      <c r="R489" t="inlineStr"/>
      <c r="S489" t="inlineStr">
        <is>
          <t>bis 35 cm</t>
        </is>
      </c>
      <c r="T489" t="inlineStr"/>
      <c r="U489" t="inlineStr"/>
      <c r="V489" t="inlineStr"/>
      <c r="W489" t="inlineStr"/>
      <c r="X489" t="inlineStr"/>
      <c r="Y489" t="inlineStr"/>
      <c r="Z489" t="inlineStr"/>
      <c r="AA489" t="inlineStr"/>
      <c r="AB489" t="inlineStr"/>
      <c r="AC489" t="inlineStr"/>
      <c r="AD489" t="inlineStr"/>
      <c r="AE489" t="inlineStr"/>
      <c r="AF489" t="inlineStr"/>
      <c r="AG489" t="inlineStr"/>
      <c r="AH489" t="inlineStr"/>
      <c r="AI489" t="inlineStr">
        <is>
          <t>L</t>
        </is>
      </c>
      <c r="AJ489" t="inlineStr"/>
      <c r="AK489" t="inlineStr">
        <is>
          <t>x</t>
        </is>
      </c>
      <c r="AL489" t="inlineStr"/>
      <c r="AM489" t="inlineStr">
        <is>
          <t>h/E</t>
        </is>
      </c>
      <c r="AN489" t="inlineStr"/>
      <c r="AO489" t="inlineStr"/>
      <c r="AP489" t="inlineStr"/>
      <c r="AQ489" t="inlineStr"/>
      <c r="AR489" t="inlineStr"/>
      <c r="AS489" t="inlineStr">
        <is>
          <t>Pa</t>
        </is>
      </c>
      <c r="AT489" t="inlineStr"/>
      <c r="AU489" t="inlineStr"/>
      <c r="AV489" t="inlineStr"/>
      <c r="AW489" t="inlineStr"/>
      <c r="AX489" t="inlineStr"/>
      <c r="AY489" t="inlineStr"/>
      <c r="AZ489" t="inlineStr"/>
      <c r="BA489" t="inlineStr"/>
      <c r="BB489" t="inlineStr"/>
      <c r="BC489" t="inlineStr">
        <is>
          <t>I/R</t>
        </is>
      </c>
      <c r="BD489" t="inlineStr">
        <is>
          <t>x</t>
        </is>
      </c>
      <c r="BE489" t="inlineStr"/>
      <c r="BF489" t="inlineStr"/>
      <c r="BG489" t="n">
        <v>110</v>
      </c>
      <c r="BH489" t="inlineStr"/>
      <c r="BI489" t="inlineStr"/>
      <c r="BJ489" t="inlineStr"/>
      <c r="BK489" t="inlineStr"/>
      <c r="BL489" t="inlineStr"/>
      <c r="BM489" t="inlineStr">
        <is>
          <t>n</t>
        </is>
      </c>
      <c r="BN489" t="n">
        <v>0</v>
      </c>
      <c r="BO489" t="inlineStr"/>
      <c r="BP489" t="inlineStr"/>
      <c r="BQ489" t="inlineStr"/>
      <c r="BR489" t="inlineStr"/>
      <c r="BS489" t="inlineStr"/>
      <c r="BT489" t="inlineStr"/>
      <c r="BU489" t="inlineStr"/>
      <c r="BV489" t="inlineStr">
        <is>
          <t>Altreparaturen am Buchblock mit säurehaltigem Papier (belassen?) und auf Ergänzungen Schrift nachgezeichnet --&gt; etwas kurios --&gt; mit Stephanie besprechen</t>
        </is>
      </c>
      <c r="BW489" t="inlineStr"/>
      <c r="BX489" t="inlineStr"/>
      <c r="BY489" t="inlineStr"/>
      <c r="BZ489" t="inlineStr"/>
      <c r="CA489" t="inlineStr"/>
      <c r="CB489" t="inlineStr"/>
      <c r="CC489" t="inlineStr"/>
      <c r="CD489" t="inlineStr"/>
      <c r="CE489" t="inlineStr"/>
      <c r="CF489" t="inlineStr"/>
      <c r="CG489" t="inlineStr"/>
      <c r="CH489" t="inlineStr"/>
      <c r="CI489" t="inlineStr"/>
      <c r="CJ489" t="inlineStr"/>
      <c r="CK489" t="inlineStr"/>
      <c r="CL489" t="inlineStr"/>
      <c r="CM489" t="inlineStr"/>
      <c r="CN489" t="inlineStr"/>
      <c r="CO489" t="inlineStr"/>
      <c r="CP489" t="inlineStr"/>
      <c r="CQ489" t="inlineStr"/>
      <c r="CR489" t="inlineStr"/>
      <c r="CS489" t="inlineStr"/>
      <c r="CT489" t="inlineStr"/>
      <c r="CU489" t="inlineStr"/>
      <c r="CV489" t="inlineStr"/>
      <c r="CW489" t="inlineStr"/>
      <c r="CX489" t="inlineStr"/>
      <c r="CY489" t="inlineStr"/>
      <c r="CZ489" t="inlineStr"/>
      <c r="DA489" t="inlineStr"/>
      <c r="DB489" t="inlineStr"/>
      <c r="DC489" t="inlineStr"/>
      <c r="DD489" t="inlineStr"/>
      <c r="DE489" t="inlineStr"/>
      <c r="DF489" t="inlineStr"/>
      <c r="DG489" t="inlineStr"/>
    </row>
    <row r="490">
      <c r="A490" t="inlineStr">
        <is>
          <t>III</t>
        </is>
      </c>
      <c r="B490" t="b">
        <v>1</v>
      </c>
      <c r="C490" t="inlineStr"/>
      <c r="D490" t="inlineStr"/>
      <c r="E490" t="n">
        <v>558</v>
      </c>
      <c r="F490">
        <f>HYPERLINK("https://portal.dnb.de/opac.htm?method=simpleSearch&amp;cqlMode=true&amp;query=idn%3D1066962502", "Portal")</f>
        <v/>
      </c>
      <c r="G490" t="inlineStr">
        <is>
          <t>Aaf</t>
        </is>
      </c>
      <c r="H490" t="inlineStr">
        <is>
          <t>L-1517-315492864</t>
        </is>
      </c>
      <c r="I490" t="inlineStr">
        <is>
          <t>1066962502</t>
        </is>
      </c>
      <c r="J490" t="inlineStr">
        <is>
          <t>III 60, 13</t>
        </is>
      </c>
      <c r="K490" t="inlineStr">
        <is>
          <t>III 60, 13</t>
        </is>
      </c>
      <c r="L490" t="inlineStr">
        <is>
          <t>III 60, 13</t>
        </is>
      </c>
      <c r="M490" t="inlineStr"/>
      <c r="N490" t="inlineStr">
        <is>
          <t>Regiment Hen-||richen Stromers võ Aur||bach der ertzney Doctors|| inhaltendt vie sich wider|| die Pestilentz zu bewaren|| auch den jhen? die damit|| b</t>
        </is>
      </c>
      <c r="O490" t="inlineStr">
        <is>
          <t xml:space="preserve"> : </t>
        </is>
      </c>
      <c r="P490" t="inlineStr"/>
      <c r="Q490" t="inlineStr"/>
      <c r="R490" t="inlineStr"/>
      <c r="S490" t="inlineStr"/>
      <c r="T490" t="inlineStr"/>
      <c r="U490" t="inlineStr"/>
      <c r="V490" t="inlineStr"/>
      <c r="W490" t="inlineStr"/>
      <c r="X490" t="inlineStr"/>
      <c r="Y490" t="inlineStr"/>
      <c r="Z490" t="inlineStr"/>
      <c r="AA490" t="inlineStr"/>
      <c r="AB490" t="inlineStr"/>
      <c r="AC490" t="inlineStr"/>
      <c r="AD490" t="inlineStr"/>
      <c r="AE490" t="inlineStr"/>
      <c r="AF490" t="inlineStr"/>
      <c r="AG490" t="inlineStr"/>
      <c r="AH490" t="inlineStr"/>
      <c r="AI490" t="inlineStr"/>
      <c r="AJ490" t="inlineStr"/>
      <c r="AK490" t="inlineStr"/>
      <c r="AL490" t="inlineStr"/>
      <c r="AM490" t="inlineStr"/>
      <c r="AN490" t="inlineStr"/>
      <c r="AO490" t="inlineStr"/>
      <c r="AP490" t="inlineStr"/>
      <c r="AQ490" t="inlineStr"/>
      <c r="AR490" t="inlineStr"/>
      <c r="AS490" t="inlineStr"/>
      <c r="AT490" t="inlineStr"/>
      <c r="AU490" t="inlineStr"/>
      <c r="AV490" t="inlineStr"/>
      <c r="AW490" t="inlineStr"/>
      <c r="AX490" t="inlineStr"/>
      <c r="AY490" t="inlineStr"/>
      <c r="AZ490" t="inlineStr"/>
      <c r="BA490" t="inlineStr"/>
      <c r="BB490" t="inlineStr"/>
      <c r="BC490" t="inlineStr"/>
      <c r="BD490" t="inlineStr"/>
      <c r="BE490" t="inlineStr"/>
      <c r="BF490" t="inlineStr"/>
      <c r="BG490" t="inlineStr"/>
      <c r="BH490" t="inlineStr"/>
      <c r="BI490" t="inlineStr"/>
      <c r="BJ490" t="inlineStr"/>
      <c r="BK490" t="inlineStr"/>
      <c r="BL490" t="inlineStr"/>
      <c r="BM490" t="inlineStr"/>
      <c r="BN490" t="n">
        <v>0</v>
      </c>
      <c r="BO490" t="inlineStr"/>
      <c r="BP490" t="inlineStr"/>
      <c r="BQ490" t="inlineStr"/>
      <c r="BR490" t="inlineStr"/>
      <c r="BS490" t="inlineStr"/>
      <c r="BT490" t="inlineStr"/>
      <c r="BU490" t="inlineStr"/>
      <c r="BV490" t="inlineStr"/>
      <c r="BW490" t="inlineStr"/>
      <c r="BX490" t="inlineStr"/>
      <c r="BY490" t="inlineStr"/>
      <c r="BZ490" t="inlineStr"/>
      <c r="CA490" t="inlineStr"/>
      <c r="CB490" t="inlineStr"/>
      <c r="CC490" t="inlineStr"/>
      <c r="CD490" t="inlineStr"/>
      <c r="CE490" t="inlineStr"/>
      <c r="CF490" t="inlineStr"/>
      <c r="CG490" t="inlineStr"/>
      <c r="CH490" t="inlineStr"/>
      <c r="CI490" t="inlineStr"/>
      <c r="CJ490" t="inlineStr"/>
      <c r="CK490" t="inlineStr"/>
      <c r="CL490" t="inlineStr"/>
      <c r="CM490" t="inlineStr"/>
      <c r="CN490" t="inlineStr"/>
      <c r="CO490" t="inlineStr"/>
      <c r="CP490" t="inlineStr"/>
      <c r="CQ490" t="inlineStr"/>
      <c r="CR490" t="inlineStr"/>
      <c r="CS490" t="inlineStr"/>
      <c r="CT490" t="inlineStr"/>
      <c r="CU490" t="inlineStr"/>
      <c r="CV490" t="inlineStr"/>
      <c r="CW490" t="inlineStr"/>
      <c r="CX490" t="inlineStr"/>
      <c r="CY490" t="inlineStr"/>
      <c r="CZ490" t="inlineStr"/>
      <c r="DA490" t="inlineStr"/>
      <c r="DB490" t="inlineStr"/>
      <c r="DC490" t="inlineStr"/>
      <c r="DD490" t="inlineStr"/>
      <c r="DE490" t="inlineStr"/>
      <c r="DF490" t="inlineStr"/>
      <c r="DG490" t="inlineStr"/>
    </row>
    <row r="491">
      <c r="A491" t="inlineStr">
        <is>
          <t>III</t>
        </is>
      </c>
      <c r="B491" t="b">
        <v>1</v>
      </c>
      <c r="C491" t="inlineStr">
        <is>
          <t>x</t>
        </is>
      </c>
      <c r="D491" t="inlineStr"/>
      <c r="E491" t="n">
        <v>559</v>
      </c>
      <c r="F491">
        <f>HYPERLINK("https://portal.dnb.de/opac.htm?method=simpleSearch&amp;cqlMode=true&amp;query=idn%3D106667292X", "Portal")</f>
        <v/>
      </c>
      <c r="G491" t="inlineStr">
        <is>
          <t>Aaf</t>
        </is>
      </c>
      <c r="H491" t="inlineStr">
        <is>
          <t>L-1518-315061391</t>
        </is>
      </c>
      <c r="I491" t="inlineStr">
        <is>
          <t>106667292X</t>
        </is>
      </c>
      <c r="J491" t="inlineStr">
        <is>
          <t>III 60, 14</t>
        </is>
      </c>
      <c r="K491" t="inlineStr">
        <is>
          <t>III 60, 14</t>
        </is>
      </c>
      <c r="L491" t="inlineStr">
        <is>
          <t>III 60, 14</t>
        </is>
      </c>
      <c r="M491" t="inlineStr"/>
      <c r="N491" t="inlineStr">
        <is>
          <t xml:space="preserve">T.LIVIVS PA||TAVINVS HISTO||RICVS.DVOBVS|| LIBRIS AVCTVS|| CVM L.FLORI|| EPITOME. ET|| ANNOTATIS IN|| LIBROS VII.BEL||LI MACED.|| : </t>
        </is>
      </c>
      <c r="O491" t="inlineStr">
        <is>
          <t xml:space="preserve"> : </t>
        </is>
      </c>
      <c r="P491" t="inlineStr"/>
      <c r="Q491" t="inlineStr"/>
      <c r="R491" t="inlineStr"/>
      <c r="S491" t="inlineStr">
        <is>
          <t>bis 35 cm</t>
        </is>
      </c>
      <c r="T491" t="inlineStr"/>
      <c r="U491" t="inlineStr"/>
      <c r="V491" t="inlineStr"/>
      <c r="W491" t="inlineStr"/>
      <c r="X491" t="inlineStr"/>
      <c r="Y491" t="inlineStr"/>
      <c r="Z491" t="inlineStr"/>
      <c r="AA491" t="inlineStr"/>
      <c r="AB491" t="inlineStr"/>
      <c r="AC491" t="inlineStr"/>
      <c r="AD491" t="inlineStr"/>
      <c r="AE491" t="inlineStr"/>
      <c r="AF491" t="inlineStr"/>
      <c r="AG491" t="inlineStr"/>
      <c r="AH491" t="inlineStr"/>
      <c r="AI491" t="inlineStr">
        <is>
          <t>HD</t>
        </is>
      </c>
      <c r="AJ491" t="inlineStr"/>
      <c r="AK491" t="inlineStr">
        <is>
          <t>x</t>
        </is>
      </c>
      <c r="AL491" t="inlineStr"/>
      <c r="AM491" t="inlineStr">
        <is>
          <t>f/V</t>
        </is>
      </c>
      <c r="AN491" t="inlineStr"/>
      <c r="AO491" t="inlineStr"/>
      <c r="AP491" t="inlineStr"/>
      <c r="AQ491" t="inlineStr"/>
      <c r="AR491" t="inlineStr">
        <is>
          <t>x</t>
        </is>
      </c>
      <c r="AS491" t="inlineStr">
        <is>
          <t>Pa</t>
        </is>
      </c>
      <c r="AT491" t="inlineStr"/>
      <c r="AU491" t="inlineStr"/>
      <c r="AV491" t="inlineStr"/>
      <c r="AW491" t="inlineStr"/>
      <c r="AX491" t="inlineStr"/>
      <c r="AY491" t="inlineStr"/>
      <c r="AZ491" t="inlineStr"/>
      <c r="BA491" t="inlineStr"/>
      <c r="BB491" t="inlineStr"/>
      <c r="BC491" t="inlineStr"/>
      <c r="BD491" t="inlineStr"/>
      <c r="BE491" t="inlineStr"/>
      <c r="BF491" t="inlineStr"/>
      <c r="BG491" t="n">
        <v>60</v>
      </c>
      <c r="BH491" t="inlineStr"/>
      <c r="BI491" t="inlineStr"/>
      <c r="BJ491" t="inlineStr"/>
      <c r="BK491" t="inlineStr"/>
      <c r="BL491" t="inlineStr"/>
      <c r="BM491" t="inlineStr">
        <is>
          <t>ja vor</t>
        </is>
      </c>
      <c r="BN491" t="n">
        <v>1</v>
      </c>
      <c r="BO491" t="inlineStr"/>
      <c r="BP491" t="inlineStr"/>
      <c r="BQ491" t="inlineStr"/>
      <c r="BR491" t="inlineStr">
        <is>
          <t>x</t>
        </is>
      </c>
      <c r="BS491" t="inlineStr"/>
      <c r="BT491" t="inlineStr"/>
      <c r="BU491" t="inlineStr"/>
      <c r="BV491" t="inlineStr">
        <is>
          <t>Schaden im Gelenk vorn ist stabil (alles sehr steif)</t>
        </is>
      </c>
      <c r="BW491" t="inlineStr"/>
      <c r="BX491" t="inlineStr"/>
      <c r="BY491" t="inlineStr"/>
      <c r="BZ491" t="inlineStr">
        <is>
          <t>x</t>
        </is>
      </c>
      <c r="CA491" t="inlineStr"/>
      <c r="CB491" t="inlineStr">
        <is>
          <t>x</t>
        </is>
      </c>
      <c r="CC491" t="inlineStr"/>
      <c r="CD491" t="inlineStr"/>
      <c r="CE491" t="inlineStr"/>
      <c r="CF491" t="inlineStr"/>
      <c r="CG491" t="inlineStr"/>
      <c r="CH491" t="inlineStr">
        <is>
          <t>x</t>
        </is>
      </c>
      <c r="CI491" t="inlineStr"/>
      <c r="CJ491" t="inlineStr"/>
      <c r="CK491" t="inlineStr"/>
      <c r="CL491" t="inlineStr"/>
      <c r="CM491" t="n">
        <v>1</v>
      </c>
      <c r="CN491" t="inlineStr">
        <is>
          <t>nur Schließe und Titelschild bearbeiten, Gelenk vorn ist stabil (alles steif)</t>
        </is>
      </c>
      <c r="CO491" t="inlineStr"/>
      <c r="CP491" t="inlineStr"/>
      <c r="CQ491" t="inlineStr"/>
      <c r="CR491" t="inlineStr"/>
      <c r="CS491" t="inlineStr"/>
      <c r="CT491" t="inlineStr"/>
      <c r="CU491" t="inlineStr"/>
      <c r="CV491" t="inlineStr"/>
      <c r="CW491" t="inlineStr"/>
      <c r="CX491" t="inlineStr"/>
      <c r="CY491" t="inlineStr"/>
      <c r="CZ491" t="inlineStr"/>
      <c r="DA491" t="inlineStr"/>
      <c r="DB491" t="inlineStr"/>
      <c r="DC491" t="inlineStr"/>
      <c r="DD491" t="inlineStr"/>
      <c r="DE491" t="inlineStr"/>
      <c r="DF491" t="inlineStr"/>
      <c r="DG491" t="inlineStr"/>
    </row>
    <row r="492">
      <c r="A492" t="inlineStr">
        <is>
          <t>III</t>
        </is>
      </c>
      <c r="B492" t="b">
        <v>1</v>
      </c>
      <c r="C492" t="inlineStr"/>
      <c r="D492" t="inlineStr"/>
      <c r="E492" t="n">
        <v>560</v>
      </c>
      <c r="F492">
        <f>HYPERLINK("https://portal.dnb.de/opac.htm?method=simpleSearch&amp;cqlMode=true&amp;query=idn%3D106695660X", "Portal")</f>
        <v/>
      </c>
      <c r="G492" t="inlineStr">
        <is>
          <t>Aaf</t>
        </is>
      </c>
      <c r="H492" t="inlineStr">
        <is>
          <t>L-1518-315487267</t>
        </is>
      </c>
      <c r="I492" t="inlineStr">
        <is>
          <t>106695660X</t>
        </is>
      </c>
      <c r="J492" t="inlineStr">
        <is>
          <t>III 60, 15</t>
        </is>
      </c>
      <c r="K492" t="inlineStr">
        <is>
          <t>III 60, 15</t>
        </is>
      </c>
      <c r="L492" t="inlineStr">
        <is>
          <t>III 60, 15</t>
        </is>
      </c>
      <c r="M492" t="inlineStr"/>
      <c r="N492" t="inlineStr">
        <is>
          <t xml:space="preserve">T.LIVIVS PA||TAVINVS HISTO||RICVS.DVOBVS|| LIBRIS AVCTVS|| CVM L.FLORI|| EPITOME.INDI||CE COPIOSO. ET|| ANNOTATIS IN|| LIBROS VII.BEL||LI MACED.|| : </t>
        </is>
      </c>
      <c r="O492" t="inlineStr">
        <is>
          <t xml:space="preserve"> : </t>
        </is>
      </c>
      <c r="P492" t="inlineStr"/>
      <c r="Q492" t="inlineStr"/>
      <c r="R492" t="inlineStr"/>
      <c r="S492" t="inlineStr"/>
      <c r="T492" t="inlineStr"/>
      <c r="U492" t="inlineStr"/>
      <c r="V492" t="inlineStr"/>
      <c r="W492" t="inlineStr"/>
      <c r="X492" t="inlineStr"/>
      <c r="Y492" t="inlineStr"/>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inlineStr"/>
      <c r="BI492" t="inlineStr"/>
      <c r="BJ492" t="inlineStr"/>
      <c r="BK492" t="inlineStr"/>
      <c r="BL492" t="inlineStr"/>
      <c r="BM492" t="inlineStr"/>
      <c r="BN492" t="n">
        <v>0</v>
      </c>
      <c r="BO492" t="inlineStr"/>
      <c r="BP492" t="inlineStr"/>
      <c r="BQ492" t="inlineStr"/>
      <c r="BR492" t="inlineStr"/>
      <c r="BS492" t="inlineStr"/>
      <c r="BT492" t="inlineStr"/>
      <c r="BU492" t="inlineStr"/>
      <c r="BV492" t="inlineStr"/>
      <c r="BW492" t="inlineStr"/>
      <c r="BX492" t="inlineStr"/>
      <c r="BY492" t="inlineStr"/>
      <c r="BZ492" t="inlineStr"/>
      <c r="CA492" t="inlineStr"/>
      <c r="CB492" t="inlineStr"/>
      <c r="CC492" t="inlineStr"/>
      <c r="CD492" t="inlineStr"/>
      <c r="CE492" t="inlineStr"/>
      <c r="CF492" t="inlineStr"/>
      <c r="CG492" t="inlineStr"/>
      <c r="CH492" t="inlineStr"/>
      <c r="CI492" t="inlineStr"/>
      <c r="CJ492" t="inlineStr"/>
      <c r="CK492" t="inlineStr"/>
      <c r="CL492" t="inlineStr"/>
      <c r="CM492" t="inlineStr"/>
      <c r="CN492" t="inlineStr"/>
      <c r="CO492" t="inlineStr"/>
      <c r="CP492" t="inlineStr"/>
      <c r="CQ492" t="inlineStr"/>
      <c r="CR492" t="inlineStr"/>
      <c r="CS492" t="inlineStr"/>
      <c r="CT492" t="inlineStr"/>
      <c r="CU492" t="inlineStr"/>
      <c r="CV492" t="inlineStr"/>
      <c r="CW492" t="inlineStr"/>
      <c r="CX492" t="inlineStr"/>
      <c r="CY492" t="inlineStr"/>
      <c r="CZ492" t="inlineStr"/>
      <c r="DA492" t="inlineStr"/>
      <c r="DB492" t="inlineStr"/>
      <c r="DC492" t="inlineStr"/>
      <c r="DD492" t="inlineStr"/>
      <c r="DE492" t="inlineStr"/>
      <c r="DF492" t="inlineStr"/>
      <c r="DG492" t="inlineStr"/>
    </row>
    <row r="493">
      <c r="A493" t="inlineStr">
        <is>
          <t>III</t>
        </is>
      </c>
      <c r="B493" t="b">
        <v>1</v>
      </c>
      <c r="C493" t="inlineStr"/>
      <c r="D493" t="inlineStr"/>
      <c r="E493" t="n">
        <v>561</v>
      </c>
      <c r="F493">
        <f>HYPERLINK("https://portal.dnb.de/opac.htm?method=simpleSearch&amp;cqlMode=true&amp;query=idn%3D1066956537", "Portal")</f>
        <v/>
      </c>
      <c r="G493" t="inlineStr">
        <is>
          <t>Aaf</t>
        </is>
      </c>
      <c r="H493" t="inlineStr">
        <is>
          <t>L-1519-315487208</t>
        </is>
      </c>
      <c r="I493" t="inlineStr">
        <is>
          <t>1066956537</t>
        </is>
      </c>
      <c r="J493" t="inlineStr">
        <is>
          <t>III 60, 16</t>
        </is>
      </c>
      <c r="K493" t="inlineStr">
        <is>
          <t>III 60, 16</t>
        </is>
      </c>
      <c r="L493" t="inlineStr">
        <is>
          <t>III 60, 16</t>
        </is>
      </c>
      <c r="M493" t="inlineStr"/>
      <c r="N493" t="inlineStr">
        <is>
          <t xml:space="preserve">VLRICHI|| HVTTENI AD PRINCI=||PES GERMANOS VT|| BELLVM TVRCIS|| INFERANT|| EXHORTATORIA.|| INSVNT quae priori editione ex=||empta erant ... | : </t>
        </is>
      </c>
      <c r="O493" t="inlineStr">
        <is>
          <t xml:space="preserve"> : </t>
        </is>
      </c>
      <c r="P493" t="inlineStr">
        <is>
          <t>X</t>
        </is>
      </c>
      <c r="Q493" t="inlineStr"/>
      <c r="R493" t="inlineStr">
        <is>
          <t>Gewebeeinband</t>
        </is>
      </c>
      <c r="S493" t="inlineStr">
        <is>
          <t>bis 25 cm</t>
        </is>
      </c>
      <c r="T493" t="inlineStr">
        <is>
          <t>180°</t>
        </is>
      </c>
      <c r="U493" t="inlineStr">
        <is>
          <t>hohler Rücken</t>
        </is>
      </c>
      <c r="V493" t="inlineStr"/>
      <c r="W493" t="inlineStr"/>
      <c r="X493" t="inlineStr"/>
      <c r="Y493" t="n">
        <v>0</v>
      </c>
      <c r="Z493" t="inlineStr"/>
      <c r="AA493" t="inlineStr">
        <is>
          <t>enth. Blindlagen</t>
        </is>
      </c>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c r="BD493" t="inlineStr"/>
      <c r="BE493" t="inlineStr"/>
      <c r="BF493" t="inlineStr"/>
      <c r="BG493" t="inlineStr"/>
      <c r="BH493" t="inlineStr"/>
      <c r="BI493" t="inlineStr"/>
      <c r="BJ493" t="inlineStr"/>
      <c r="BK493" t="inlineStr"/>
      <c r="BL493" t="inlineStr"/>
      <c r="BM493" t="inlineStr"/>
      <c r="BN493" t="n">
        <v>0</v>
      </c>
      <c r="BO493" t="inlineStr"/>
      <c r="BP493" t="inlineStr"/>
      <c r="BQ493" t="inlineStr"/>
      <c r="BR493" t="inlineStr"/>
      <c r="BS493" t="inlineStr"/>
      <c r="BT493" t="inlineStr"/>
      <c r="BU493" t="inlineStr"/>
      <c r="BV493" t="inlineStr"/>
      <c r="BW493" t="inlineStr"/>
      <c r="BX493" t="inlineStr"/>
      <c r="BY493" t="inlineStr"/>
      <c r="BZ493" t="inlineStr"/>
      <c r="CA493" t="inlineStr"/>
      <c r="CB493" t="inlineStr"/>
      <c r="CC493" t="inlineStr"/>
      <c r="CD493" t="inlineStr"/>
      <c r="CE493" t="inlineStr"/>
      <c r="CF493" t="inlineStr"/>
      <c r="CG493" t="inlineStr"/>
      <c r="CH493" t="inlineStr"/>
      <c r="CI493" t="inlineStr"/>
      <c r="CJ493" t="inlineStr"/>
      <c r="CK493" t="inlineStr"/>
      <c r="CL493" t="inlineStr"/>
      <c r="CM493" t="inlineStr"/>
      <c r="CN493" t="inlineStr"/>
      <c r="CO493" t="inlineStr"/>
      <c r="CP493" t="inlineStr"/>
      <c r="CQ493" t="inlineStr"/>
      <c r="CR493" t="inlineStr"/>
      <c r="CS493" t="inlineStr"/>
      <c r="CT493" t="inlineStr"/>
      <c r="CU493" t="inlineStr"/>
      <c r="CV493" t="inlineStr"/>
      <c r="CW493" t="inlineStr"/>
      <c r="CX493" t="inlineStr"/>
      <c r="CY493" t="inlineStr"/>
      <c r="CZ493" t="inlineStr"/>
      <c r="DA493" t="inlineStr"/>
      <c r="DB493" t="inlineStr"/>
      <c r="DC493" t="inlineStr"/>
      <c r="DD493" t="inlineStr"/>
      <c r="DE493" t="inlineStr"/>
      <c r="DF493" t="inlineStr"/>
      <c r="DG493" t="inlineStr"/>
    </row>
    <row r="494">
      <c r="A494" t="inlineStr">
        <is>
          <t>III</t>
        </is>
      </c>
      <c r="B494" t="b">
        <v>1</v>
      </c>
      <c r="C494" t="inlineStr"/>
      <c r="D494" t="inlineStr"/>
      <c r="E494" t="n">
        <v>562</v>
      </c>
      <c r="F494">
        <f>HYPERLINK("https://portal.dnb.de/opac.htm?method=simpleSearch&amp;cqlMode=true&amp;query=idn%3D1066959404", "Portal")</f>
        <v/>
      </c>
      <c r="G494" t="inlineStr">
        <is>
          <t>Aaf</t>
        </is>
      </c>
      <c r="H494" t="inlineStr">
        <is>
          <t>L-1519-315489987</t>
        </is>
      </c>
      <c r="I494" t="inlineStr">
        <is>
          <t>1066959404</t>
        </is>
      </c>
      <c r="J494" t="inlineStr">
        <is>
          <t>III 60, 17</t>
        </is>
      </c>
      <c r="K494" t="inlineStr">
        <is>
          <t>III 60, 17</t>
        </is>
      </c>
      <c r="L494" t="inlineStr">
        <is>
          <t>III 60, 17</t>
        </is>
      </c>
      <c r="M494" t="inlineStr"/>
      <c r="N494" t="inlineStr">
        <is>
          <t>HOC IN VOLV||MINE HAEC CONTINENTVR|| VLRICHI HVTTENI EQV.|| Super interfectione propinqui sui Ioannis Hut/||teni Equ.Deploratio.|| Ad Ludouichum Hutte</t>
        </is>
      </c>
      <c r="O494" t="inlineStr">
        <is>
          <t xml:space="preserve"> : </t>
        </is>
      </c>
      <c r="P494" t="inlineStr">
        <is>
          <t>X</t>
        </is>
      </c>
      <c r="Q494" t="inlineStr"/>
      <c r="R494" t="inlineStr">
        <is>
          <t>Halbledereinband</t>
        </is>
      </c>
      <c r="S494" t="inlineStr">
        <is>
          <t>bis 25 cm</t>
        </is>
      </c>
      <c r="T494" t="inlineStr">
        <is>
          <t>180°</t>
        </is>
      </c>
      <c r="U494" t="inlineStr">
        <is>
          <t>hohler Rücken</t>
        </is>
      </c>
      <c r="V494" t="inlineStr"/>
      <c r="W494" t="inlineStr"/>
      <c r="X494" t="inlineStr">
        <is>
          <t>Signaturfahne austauschen</t>
        </is>
      </c>
      <c r="Y494" t="n">
        <v>0</v>
      </c>
      <c r="Z494" t="inlineStr"/>
      <c r="AA494" t="inlineStr"/>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inlineStr"/>
      <c r="BI494" t="inlineStr"/>
      <c r="BJ494" t="inlineStr"/>
      <c r="BK494" t="inlineStr"/>
      <c r="BL494" t="inlineStr"/>
      <c r="BM494" t="inlineStr"/>
      <c r="BN494" t="n">
        <v>0</v>
      </c>
      <c r="BO494" t="inlineStr"/>
      <c r="BP494" t="inlineStr"/>
      <c r="BQ494" t="inlineStr"/>
      <c r="BR494" t="inlineStr"/>
      <c r="BS494" t="inlineStr"/>
      <c r="BT494" t="inlineStr"/>
      <c r="BU494" t="inlineStr"/>
      <c r="BV494" t="inlineStr"/>
      <c r="BW494" t="inlineStr"/>
      <c r="BX494" t="inlineStr"/>
      <c r="BY494" t="inlineStr"/>
      <c r="BZ494" t="inlineStr"/>
      <c r="CA494" t="inlineStr"/>
      <c r="CB494" t="inlineStr"/>
      <c r="CC494" t="inlineStr"/>
      <c r="CD494" t="inlineStr"/>
      <c r="CE494" t="inlineStr"/>
      <c r="CF494" t="inlineStr"/>
      <c r="CG494" t="inlineStr"/>
      <c r="CH494" t="inlineStr"/>
      <c r="CI494" t="inlineStr"/>
      <c r="CJ494" t="inlineStr"/>
      <c r="CK494" t="inlineStr"/>
      <c r="CL494" t="inlineStr"/>
      <c r="CM494" t="inlineStr"/>
      <c r="CN494" t="inlineStr"/>
      <c r="CO494" t="inlineStr"/>
      <c r="CP494" t="inlineStr"/>
      <c r="CQ494" t="inlineStr"/>
      <c r="CR494" t="inlineStr"/>
      <c r="CS494" t="inlineStr"/>
      <c r="CT494" t="inlineStr"/>
      <c r="CU494" t="inlineStr"/>
      <c r="CV494" t="inlineStr"/>
      <c r="CW494" t="inlineStr"/>
      <c r="CX494" t="inlineStr"/>
      <c r="CY494" t="inlineStr"/>
      <c r="CZ494" t="inlineStr"/>
      <c r="DA494" t="inlineStr"/>
      <c r="DB494" t="inlineStr"/>
      <c r="DC494" t="inlineStr"/>
      <c r="DD494" t="inlineStr"/>
      <c r="DE494" t="inlineStr"/>
      <c r="DF494" t="inlineStr"/>
      <c r="DG494" t="inlineStr"/>
    </row>
    <row r="495">
      <c r="A495" t="inlineStr">
        <is>
          <t>III</t>
        </is>
      </c>
      <c r="B495" t="b">
        <v>1</v>
      </c>
      <c r="C495" t="inlineStr"/>
      <c r="D495" t="inlineStr"/>
      <c r="E495" t="n">
        <v>661</v>
      </c>
      <c r="F495">
        <f>HYPERLINK("https://portal.dnb.de/opac.htm?method=simpleSearch&amp;cqlMode=true&amp;query=idn%3D1066964076", "Portal")</f>
        <v/>
      </c>
      <c r="G495" t="inlineStr">
        <is>
          <t>Aaf</t>
        </is>
      </c>
      <c r="H495" t="inlineStr">
        <is>
          <t>L-1521-315494298</t>
        </is>
      </c>
      <c r="I495" t="inlineStr">
        <is>
          <t>1066964076</t>
        </is>
      </c>
      <c r="J495" t="inlineStr">
        <is>
          <t>III 60, 18 - Fragm.</t>
        </is>
      </c>
      <c r="K495" t="inlineStr">
        <is>
          <t>III 60, 18 - Fragm.</t>
        </is>
      </c>
      <c r="L495" t="inlineStr">
        <is>
          <t>III 60, 18 - Fragm.</t>
        </is>
      </c>
      <c r="M495" t="inlineStr"/>
      <c r="N495" t="inlineStr">
        <is>
          <t xml:space="preserve">OPERA POMPONII|| LAETI VARIA.|| ...|| (HENRICI BE||BELII DE ROMANORVM MA||GISTRATIBVS LIBELLVS||) : </t>
        </is>
      </c>
      <c r="O495" t="inlineStr">
        <is>
          <t xml:space="preserve"> : </t>
        </is>
      </c>
      <c r="P495" t="inlineStr"/>
      <c r="Q495" t="inlineStr"/>
      <c r="R495" t="inlineStr"/>
      <c r="S495" t="inlineStr"/>
      <c r="T495" t="inlineStr"/>
      <c r="U495" t="inlineStr"/>
      <c r="V495" t="inlineStr"/>
      <c r="W495" t="inlineStr"/>
      <c r="X495" t="inlineStr"/>
      <c r="Y495" t="inlineStr"/>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inlineStr"/>
      <c r="BI495" t="inlineStr"/>
      <c r="BJ495" t="inlineStr"/>
      <c r="BK495" t="inlineStr"/>
      <c r="BL495" t="inlineStr"/>
      <c r="BM495" t="inlineStr"/>
      <c r="BN495" t="n">
        <v>0</v>
      </c>
      <c r="BO495" t="inlineStr"/>
      <c r="BP495" t="inlineStr"/>
      <c r="BQ495" t="inlineStr"/>
      <c r="BR495" t="inlineStr"/>
      <c r="BS495" t="inlineStr"/>
      <c r="BT495" t="inlineStr"/>
      <c r="BU495" t="inlineStr"/>
      <c r="BV495" t="inlineStr"/>
      <c r="BW495" t="inlineStr"/>
      <c r="BX495" t="inlineStr"/>
      <c r="BY495" t="inlineStr"/>
      <c r="BZ495" t="inlineStr"/>
      <c r="CA495" t="inlineStr"/>
      <c r="CB495" t="inlineStr"/>
      <c r="CC495" t="inlineStr"/>
      <c r="CD495" t="inlineStr"/>
      <c r="CE495" t="inlineStr"/>
      <c r="CF495" t="inlineStr"/>
      <c r="CG495" t="inlineStr"/>
      <c r="CH495" t="inlineStr"/>
      <c r="CI495" t="inlineStr"/>
      <c r="CJ495" t="inlineStr"/>
      <c r="CK495" t="inlineStr"/>
      <c r="CL495" t="inlineStr"/>
      <c r="CM495" t="inlineStr"/>
      <c r="CN495" t="inlineStr"/>
      <c r="CO495" t="inlineStr"/>
      <c r="CP495" t="inlineStr"/>
      <c r="CQ495" t="inlineStr"/>
      <c r="CR495" t="inlineStr"/>
      <c r="CS495" t="inlineStr"/>
      <c r="CT495" t="inlineStr"/>
      <c r="CU495" t="inlineStr"/>
      <c r="CV495" t="inlineStr"/>
      <c r="CW495" t="inlineStr"/>
      <c r="CX495" t="inlineStr"/>
      <c r="CY495" t="inlineStr"/>
      <c r="CZ495" t="inlineStr"/>
      <c r="DA495" t="inlineStr"/>
      <c r="DB495" t="inlineStr"/>
      <c r="DC495" t="inlineStr"/>
      <c r="DD495" t="inlineStr"/>
      <c r="DE495" t="inlineStr"/>
      <c r="DF495" t="inlineStr"/>
      <c r="DG495" t="inlineStr"/>
    </row>
    <row r="496">
      <c r="A496" t="inlineStr">
        <is>
          <t>III</t>
        </is>
      </c>
      <c r="B496" t="b">
        <v>1</v>
      </c>
      <c r="C496" t="inlineStr"/>
      <c r="D496" t="inlineStr"/>
      <c r="E496" t="n">
        <v>563</v>
      </c>
      <c r="F496">
        <f>HYPERLINK("https://portal.dnb.de/opac.htm?method=simpleSearch&amp;cqlMode=true&amp;query=idn%3D1066956642", "Portal")</f>
        <v/>
      </c>
      <c r="G496" t="inlineStr">
        <is>
          <t>Aaf</t>
        </is>
      </c>
      <c r="H496" t="inlineStr">
        <is>
          <t>L-1520-315487283</t>
        </is>
      </c>
      <c r="I496" t="inlineStr">
        <is>
          <t>1066956642</t>
        </is>
      </c>
      <c r="J496" t="inlineStr">
        <is>
          <t>III 60, 19</t>
        </is>
      </c>
      <c r="K496" t="inlineStr">
        <is>
          <t>III 60, 19</t>
        </is>
      </c>
      <c r="L496" t="inlineStr">
        <is>
          <t>III 60, 19</t>
        </is>
      </c>
      <c r="M496" t="inlineStr"/>
      <c r="N496" t="inlineStr">
        <is>
          <t xml:space="preserve">HVLDERICHI|| HVTTENI EQ. GERM.|| DIALOGI.|| FORTVNA.|| Febris prima.|| Febris secunda|| Trias Romana.|| Inspicientes.|| : </t>
        </is>
      </c>
      <c r="O496" t="inlineStr">
        <is>
          <t xml:space="preserve"> : </t>
        </is>
      </c>
      <c r="P496" t="inlineStr">
        <is>
          <t>X</t>
        </is>
      </c>
      <c r="Q496" t="inlineStr"/>
      <c r="R496" t="inlineStr">
        <is>
          <t>Papier- oder Pappeinband, Schließen, erhabene Buchbeschläge</t>
        </is>
      </c>
      <c r="S496" t="inlineStr">
        <is>
          <t>bis 25 cm</t>
        </is>
      </c>
      <c r="T496" t="inlineStr">
        <is>
          <t>180°</t>
        </is>
      </c>
      <c r="U496" t="inlineStr">
        <is>
          <t>hohler Rücken</t>
        </is>
      </c>
      <c r="V496" t="inlineStr"/>
      <c r="W496" t="inlineStr">
        <is>
          <t>Buchschuh</t>
        </is>
      </c>
      <c r="X496" t="inlineStr">
        <is>
          <t>Nein</t>
        </is>
      </c>
      <c r="Y496" t="n">
        <v>1</v>
      </c>
      <c r="Z496" t="inlineStr"/>
      <c r="AA496" t="inlineStr"/>
      <c r="AB496" t="inlineStr"/>
      <c r="AC496" t="inlineStr"/>
      <c r="AD496" t="inlineStr"/>
      <c r="AE496" t="inlineStr"/>
      <c r="AF496" t="inlineStr"/>
      <c r="AG496" t="inlineStr"/>
      <c r="AH496" t="inlineStr"/>
      <c r="AI496" t="inlineStr">
        <is>
          <t>Pa</t>
        </is>
      </c>
      <c r="AJ496" t="inlineStr"/>
      <c r="AK496" t="inlineStr">
        <is>
          <t>x</t>
        </is>
      </c>
      <c r="AL496" t="inlineStr"/>
      <c r="AM496" t="inlineStr">
        <is>
          <t>h/E</t>
        </is>
      </c>
      <c r="AN496" t="inlineStr"/>
      <c r="AO496" t="inlineStr"/>
      <c r="AP496" t="inlineStr"/>
      <c r="AQ496" t="inlineStr"/>
      <c r="AR496" t="inlineStr"/>
      <c r="AS496" t="inlineStr">
        <is>
          <t>Pa</t>
        </is>
      </c>
      <c r="AT496" t="inlineStr"/>
      <c r="AU496" t="inlineStr"/>
      <c r="AV496" t="inlineStr"/>
      <c r="AW496" t="inlineStr"/>
      <c r="AX496" t="inlineStr"/>
      <c r="AY496" t="inlineStr"/>
      <c r="AZ496" t="inlineStr"/>
      <c r="BA496" t="inlineStr"/>
      <c r="BB496" t="inlineStr"/>
      <c r="BC496" t="inlineStr"/>
      <c r="BD496" t="inlineStr"/>
      <c r="BE496" t="inlineStr"/>
      <c r="BF496" t="inlineStr"/>
      <c r="BG496" t="n">
        <v>110</v>
      </c>
      <c r="BH496" t="inlineStr"/>
      <c r="BI496" t="inlineStr"/>
      <c r="BJ496" t="inlineStr"/>
      <c r="BK496" t="inlineStr"/>
      <c r="BL496" t="inlineStr"/>
      <c r="BM496" t="inlineStr">
        <is>
          <t>n</t>
        </is>
      </c>
      <c r="BN496" t="n">
        <v>0</v>
      </c>
      <c r="BO496" t="inlineStr"/>
      <c r="BP496" t="inlineStr"/>
      <c r="BQ496" t="inlineStr"/>
      <c r="BR496" t="inlineStr">
        <is>
          <t>x</t>
        </is>
      </c>
      <c r="BS496" t="inlineStr"/>
      <c r="BT496" t="inlineStr"/>
      <c r="BU496" t="inlineStr"/>
      <c r="BV496" t="inlineStr">
        <is>
          <t>Schaden stabil</t>
        </is>
      </c>
      <c r="BW496" t="inlineStr"/>
      <c r="BX496" t="inlineStr"/>
      <c r="BY496" t="inlineStr"/>
      <c r="BZ496" t="inlineStr"/>
      <c r="CA496" t="inlineStr"/>
      <c r="CB496" t="inlineStr"/>
      <c r="CC496" t="inlineStr"/>
      <c r="CD496" t="inlineStr"/>
      <c r="CE496" t="inlineStr"/>
      <c r="CF496" t="inlineStr"/>
      <c r="CG496" t="inlineStr"/>
      <c r="CH496" t="inlineStr"/>
      <c r="CI496" t="inlineStr"/>
      <c r="CJ496" t="inlineStr"/>
      <c r="CK496" t="inlineStr"/>
      <c r="CL496" t="inlineStr"/>
      <c r="CM496" t="inlineStr"/>
      <c r="CN496" t="inlineStr"/>
      <c r="CO496" t="inlineStr"/>
      <c r="CP496" t="inlineStr"/>
      <c r="CQ496" t="inlineStr"/>
      <c r="CR496" t="inlineStr"/>
      <c r="CS496" t="inlineStr"/>
      <c r="CT496" t="inlineStr"/>
      <c r="CU496" t="inlineStr"/>
      <c r="CV496" t="inlineStr"/>
      <c r="CW496" t="inlineStr"/>
      <c r="CX496" t="inlineStr"/>
      <c r="CY496" t="inlineStr"/>
      <c r="CZ496" t="inlineStr"/>
      <c r="DA496" t="inlineStr"/>
      <c r="DB496" t="inlineStr"/>
      <c r="DC496" t="inlineStr"/>
      <c r="DD496" t="inlineStr"/>
      <c r="DE496" t="inlineStr"/>
      <c r="DF496" t="inlineStr"/>
      <c r="DG496" t="inlineStr"/>
    </row>
    <row r="497">
      <c r="A497" t="inlineStr">
        <is>
          <t>III</t>
        </is>
      </c>
      <c r="B497" t="b">
        <v>1</v>
      </c>
      <c r="C497" t="inlineStr"/>
      <c r="D497" t="inlineStr"/>
      <c r="E497" t="n">
        <v>564</v>
      </c>
      <c r="F497">
        <f>HYPERLINK("https://portal.dnb.de/opac.htm?method=simpleSearch&amp;cqlMode=true&amp;query=idn%3D1066873240", "Portal")</f>
        <v/>
      </c>
      <c r="G497" t="inlineStr">
        <is>
          <t>Aaf</t>
        </is>
      </c>
      <c r="H497" t="inlineStr">
        <is>
          <t>L-1520-315331054</t>
        </is>
      </c>
      <c r="I497" t="inlineStr">
        <is>
          <t>1066873240</t>
        </is>
      </c>
      <c r="J497" t="inlineStr">
        <is>
          <t>III 60, 20</t>
        </is>
      </c>
      <c r="K497" t="inlineStr">
        <is>
          <t>III 60, 20</t>
        </is>
      </c>
      <c r="L497" t="inlineStr">
        <is>
          <t>III 60, 20</t>
        </is>
      </c>
      <c r="M497" t="inlineStr"/>
      <c r="N497" t="inlineStr">
        <is>
          <t xml:space="preserve">FAMILI||ARIVM COLLOQ||VIORVM FOR||MVLAE, : </t>
        </is>
      </c>
      <c r="O497" t="inlineStr">
        <is>
          <t xml:space="preserve"> : </t>
        </is>
      </c>
      <c r="P497" t="inlineStr"/>
      <c r="Q497" t="inlineStr"/>
      <c r="R497" t="inlineStr"/>
      <c r="S497" t="inlineStr"/>
      <c r="T497" t="inlineStr"/>
      <c r="U497" t="inlineStr"/>
      <c r="V497" t="inlineStr"/>
      <c r="W497" t="inlineStr"/>
      <c r="X497" t="inlineStr"/>
      <c r="Y497" t="inlineStr"/>
      <c r="Z497" t="inlineStr"/>
      <c r="AA497" t="inlineStr"/>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c r="BB497" t="inlineStr"/>
      <c r="BC497" t="inlineStr"/>
      <c r="BD497" t="inlineStr"/>
      <c r="BE497" t="inlineStr"/>
      <c r="BF497" t="inlineStr"/>
      <c r="BG497" t="inlineStr"/>
      <c r="BH497" t="inlineStr"/>
      <c r="BI497" t="inlineStr"/>
      <c r="BJ497" t="inlineStr"/>
      <c r="BK497" t="inlineStr"/>
      <c r="BL497" t="inlineStr"/>
      <c r="BM497" t="inlineStr"/>
      <c r="BN497" t="n">
        <v>0</v>
      </c>
      <c r="BO497" t="inlineStr"/>
      <c r="BP497" t="inlineStr"/>
      <c r="BQ497" t="inlineStr"/>
      <c r="BR497" t="inlineStr"/>
      <c r="BS497" t="inlineStr"/>
      <c r="BT497" t="inlineStr"/>
      <c r="BU497" t="inlineStr"/>
      <c r="BV497" t="inlineStr"/>
      <c r="BW497" t="inlineStr"/>
      <c r="BX497" t="inlineStr"/>
      <c r="BY497" t="inlineStr"/>
      <c r="BZ497" t="inlineStr"/>
      <c r="CA497" t="inlineStr"/>
      <c r="CB497" t="inlineStr"/>
      <c r="CC497" t="inlineStr"/>
      <c r="CD497" t="inlineStr"/>
      <c r="CE497" t="inlineStr"/>
      <c r="CF497" t="inlineStr"/>
      <c r="CG497" t="inlineStr"/>
      <c r="CH497" t="inlineStr"/>
      <c r="CI497" t="inlineStr"/>
      <c r="CJ497" t="inlineStr"/>
      <c r="CK497" t="inlineStr"/>
      <c r="CL497" t="inlineStr"/>
      <c r="CM497" t="inlineStr"/>
      <c r="CN497" t="inlineStr"/>
      <c r="CO497" t="inlineStr"/>
      <c r="CP497" t="inlineStr"/>
      <c r="CQ497" t="inlineStr"/>
      <c r="CR497" t="inlineStr"/>
      <c r="CS497" t="inlineStr"/>
      <c r="CT497" t="inlineStr"/>
      <c r="CU497" t="inlineStr"/>
      <c r="CV497" t="inlineStr"/>
      <c r="CW497" t="inlineStr"/>
      <c r="CX497" t="inlineStr"/>
      <c r="CY497" t="inlineStr"/>
      <c r="CZ497" t="inlineStr"/>
      <c r="DA497" t="inlineStr"/>
      <c r="DB497" t="inlineStr"/>
      <c r="DC497" t="inlineStr"/>
      <c r="DD497" t="inlineStr"/>
      <c r="DE497" t="inlineStr"/>
      <c r="DF497" t="inlineStr"/>
      <c r="DG497" t="inlineStr"/>
    </row>
    <row r="498">
      <c r="A498" t="inlineStr">
        <is>
          <t>III</t>
        </is>
      </c>
      <c r="B498" t="b">
        <v>1</v>
      </c>
      <c r="C498" t="inlineStr"/>
      <c r="D498" t="inlineStr"/>
      <c r="E498" t="n">
        <v>565</v>
      </c>
      <c r="F498">
        <f>HYPERLINK("https://portal.dnb.de/opac.htm?method=simpleSearch&amp;cqlMode=true&amp;query=idn%3D994054432", "Portal")</f>
        <v/>
      </c>
      <c r="G498" t="inlineStr">
        <is>
          <t>Aal</t>
        </is>
      </c>
      <c r="H498" t="inlineStr">
        <is>
          <t>L-1521-154383287</t>
        </is>
      </c>
      <c r="I498" t="inlineStr">
        <is>
          <t>994054432</t>
        </is>
      </c>
      <c r="J498" t="inlineStr">
        <is>
          <t>III 60, 22</t>
        </is>
      </c>
      <c r="K498" t="inlineStr">
        <is>
          <t>III 60, 22</t>
        </is>
      </c>
      <c r="L498" t="inlineStr">
        <is>
          <t>III 60, 22</t>
        </is>
      </c>
      <c r="M498" t="inlineStr"/>
      <c r="N498" t="inlineStr">
        <is>
          <t>DIALO||GVS MYTHOLOGICVS|| Bartolomaei Coloniēsis ...|| dulci||bus iocis, iucūdis sali||bus, cōcinnisq? sen=||tentijs refertus,||...||Huius subinde ann</t>
        </is>
      </c>
      <c r="O498" t="inlineStr">
        <is>
          <t xml:space="preserve"> : </t>
        </is>
      </c>
      <c r="P498" t="inlineStr">
        <is>
          <t>X</t>
        </is>
      </c>
      <c r="Q498" t="inlineStr"/>
      <c r="R498" t="inlineStr">
        <is>
          <t>Ledereinband, Schließen, erhabene Buchbeschläge</t>
        </is>
      </c>
      <c r="S498" t="inlineStr">
        <is>
          <t>bis 25 cm</t>
        </is>
      </c>
      <c r="T498" t="inlineStr"/>
      <c r="U498" t="inlineStr">
        <is>
          <t>hohler Rücken</t>
        </is>
      </c>
      <c r="V498" t="inlineStr"/>
      <c r="W498" t="inlineStr">
        <is>
          <t>Buchschuh</t>
        </is>
      </c>
      <c r="X498" t="inlineStr">
        <is>
          <t>Nein</t>
        </is>
      </c>
      <c r="Y498" t="n">
        <v>0</v>
      </c>
      <c r="Z498" t="inlineStr"/>
      <c r="AA498" t="inlineStr">
        <is>
          <t>enth. Blindlagen</t>
        </is>
      </c>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inlineStr"/>
      <c r="BI498" t="inlineStr"/>
      <c r="BJ498" t="inlineStr"/>
      <c r="BK498" t="inlineStr"/>
      <c r="BL498" t="inlineStr"/>
      <c r="BM498" t="inlineStr"/>
      <c r="BN498" t="n">
        <v>0</v>
      </c>
      <c r="BO498" t="inlineStr"/>
      <c r="BP498" t="inlineStr"/>
      <c r="BQ498" t="inlineStr"/>
      <c r="BR498" t="inlineStr"/>
      <c r="BS498" t="inlineStr"/>
      <c r="BT498" t="inlineStr"/>
      <c r="BU498" t="inlineStr"/>
      <c r="BV498" t="inlineStr"/>
      <c r="BW498" t="inlineStr"/>
      <c r="BX498" t="inlineStr"/>
      <c r="BY498" t="inlineStr"/>
      <c r="BZ498" t="inlineStr"/>
      <c r="CA498" t="inlineStr"/>
      <c r="CB498" t="inlineStr"/>
      <c r="CC498" t="inlineStr"/>
      <c r="CD498" t="inlineStr"/>
      <c r="CE498" t="inlineStr"/>
      <c r="CF498" t="inlineStr"/>
      <c r="CG498" t="inlineStr"/>
      <c r="CH498" t="inlineStr"/>
      <c r="CI498" t="inlineStr"/>
      <c r="CJ498" t="inlineStr"/>
      <c r="CK498" t="inlineStr"/>
      <c r="CL498" t="inlineStr"/>
      <c r="CM498" t="inlineStr"/>
      <c r="CN498" t="inlineStr"/>
      <c r="CO498" t="inlineStr"/>
      <c r="CP498" t="inlineStr"/>
      <c r="CQ498" t="inlineStr"/>
      <c r="CR498" t="inlineStr"/>
      <c r="CS498" t="inlineStr"/>
      <c r="CT498" t="inlineStr"/>
      <c r="CU498" t="inlineStr"/>
      <c r="CV498" t="inlineStr"/>
      <c r="CW498" t="inlineStr"/>
      <c r="CX498" t="inlineStr"/>
      <c r="CY498" t="inlineStr"/>
      <c r="CZ498" t="inlineStr"/>
      <c r="DA498" t="inlineStr"/>
      <c r="DB498" t="inlineStr"/>
      <c r="DC498" t="inlineStr"/>
      <c r="DD498" t="inlineStr"/>
      <c r="DE498" t="inlineStr"/>
      <c r="DF498" t="inlineStr"/>
      <c r="DG498" t="inlineStr"/>
    </row>
    <row r="499">
      <c r="A499" t="inlineStr">
        <is>
          <t>III</t>
        </is>
      </c>
      <c r="B499" t="b">
        <v>1</v>
      </c>
      <c r="C499" t="inlineStr"/>
      <c r="D499" t="inlineStr"/>
      <c r="E499" t="n">
        <v>566</v>
      </c>
      <c r="F499">
        <f>HYPERLINK("https://portal.dnb.de/opac.htm?method=simpleSearch&amp;cqlMode=true&amp;query=idn%3D1079607048", "Portal")</f>
        <v/>
      </c>
      <c r="G499" t="inlineStr">
        <is>
          <t>Aaf</t>
        </is>
      </c>
      <c r="H499" t="inlineStr">
        <is>
          <t>L-1521-679893105</t>
        </is>
      </c>
      <c r="I499" t="inlineStr">
        <is>
          <t>1079607048</t>
        </is>
      </c>
      <c r="J499" t="inlineStr">
        <is>
          <t>III 60, 23 - Fragm.</t>
        </is>
      </c>
      <c r="K499" t="inlineStr">
        <is>
          <t>III 60, 23 - Fragm.</t>
        </is>
      </c>
      <c r="L499" t="inlineStr">
        <is>
          <t>III 60, 23</t>
        </is>
      </c>
      <c r="M499" t="inlineStr"/>
      <c r="N499" t="inlineStr">
        <is>
          <t>Romischer kayserlicher|| Maiestat Regiment: Camergericht: Landt=||fridt vnnd Abschiedt vff dem Reichs||tag zu Wormbs. Anno M vc||xxj. beschlossen vñ v</t>
        </is>
      </c>
      <c r="O499" t="inlineStr">
        <is>
          <t xml:space="preserve"> : </t>
        </is>
      </c>
      <c r="P499" t="inlineStr">
        <is>
          <t>X</t>
        </is>
      </c>
      <c r="Q499" t="inlineStr"/>
      <c r="R499" t="inlineStr">
        <is>
          <t>Gewebeeinband, Schließen, erhabene Buchbeschläge</t>
        </is>
      </c>
      <c r="S499" t="inlineStr">
        <is>
          <t>bis 35 cm</t>
        </is>
      </c>
      <c r="T499" t="inlineStr">
        <is>
          <t>180°</t>
        </is>
      </c>
      <c r="U499" t="inlineStr">
        <is>
          <t>hohler Rücken</t>
        </is>
      </c>
      <c r="V499" t="inlineStr"/>
      <c r="W499" t="inlineStr">
        <is>
          <t>Buchschuh</t>
        </is>
      </c>
      <c r="X499" t="inlineStr">
        <is>
          <t>Nein</t>
        </is>
      </c>
      <c r="Y499" t="n">
        <v>0</v>
      </c>
      <c r="Z499" t="inlineStr"/>
      <c r="AA499" t="inlineStr">
        <is>
          <t>enth. Blindlagen</t>
        </is>
      </c>
      <c r="AB499" t="inlineStr"/>
      <c r="AC499" t="inlineStr"/>
      <c r="AD499" t="inlineStr"/>
      <c r="AE499" t="inlineStr"/>
      <c r="AF499" t="inlineStr"/>
      <c r="AG499" t="inlineStr"/>
      <c r="AH499" t="inlineStr"/>
      <c r="AI499" t="inlineStr"/>
      <c r="AJ499" t="inlineStr"/>
      <c r="AK499" t="inlineStr"/>
      <c r="AL499" t="inlineStr"/>
      <c r="AM499" t="inlineStr"/>
      <c r="AN499" t="inlineStr"/>
      <c r="AO499" t="inlineStr"/>
      <c r="AP499" t="inlineStr"/>
      <c r="AQ499" t="inlineStr"/>
      <c r="AR499" t="inlineStr"/>
      <c r="AS499" t="inlineStr"/>
      <c r="AT499" t="inlineStr"/>
      <c r="AU499" t="inlineStr"/>
      <c r="AV499" t="inlineStr"/>
      <c r="AW499" t="inlineStr"/>
      <c r="AX499" t="inlineStr"/>
      <c r="AY499" t="inlineStr"/>
      <c r="AZ499" t="inlineStr"/>
      <c r="BA499" t="inlineStr"/>
      <c r="BB499" t="inlineStr"/>
      <c r="BC499" t="inlineStr"/>
      <c r="BD499" t="inlineStr"/>
      <c r="BE499" t="inlineStr"/>
      <c r="BF499" t="inlineStr"/>
      <c r="BG499" t="inlineStr"/>
      <c r="BH499" t="inlineStr"/>
      <c r="BI499" t="inlineStr"/>
      <c r="BJ499" t="inlineStr"/>
      <c r="BK499" t="inlineStr"/>
      <c r="BL499" t="inlineStr"/>
      <c r="BM499" t="inlineStr"/>
      <c r="BN499" t="n">
        <v>0</v>
      </c>
      <c r="BO499" t="inlineStr"/>
      <c r="BP499" t="inlineStr"/>
      <c r="BQ499" t="inlineStr"/>
      <c r="BR499" t="inlineStr"/>
      <c r="BS499" t="inlineStr"/>
      <c r="BT499" t="inlineStr"/>
      <c r="BU499" t="inlineStr"/>
      <c r="BV499" t="inlineStr"/>
      <c r="BW499" t="inlineStr"/>
      <c r="BX499" t="inlineStr"/>
      <c r="BY499" t="inlineStr"/>
      <c r="BZ499" t="inlineStr"/>
      <c r="CA499" t="inlineStr"/>
      <c r="CB499" t="inlineStr"/>
      <c r="CC499" t="inlineStr"/>
      <c r="CD499" t="inlineStr"/>
      <c r="CE499" t="inlineStr"/>
      <c r="CF499" t="inlineStr"/>
      <c r="CG499" t="inlineStr"/>
      <c r="CH499" t="inlineStr"/>
      <c r="CI499" t="inlineStr"/>
      <c r="CJ499" t="inlineStr"/>
      <c r="CK499" t="inlineStr"/>
      <c r="CL499" t="inlineStr"/>
      <c r="CM499" t="inlineStr"/>
      <c r="CN499" t="inlineStr"/>
      <c r="CO499" t="inlineStr"/>
      <c r="CP499" t="inlineStr"/>
      <c r="CQ499" t="inlineStr"/>
      <c r="CR499" t="inlineStr"/>
      <c r="CS499" t="inlineStr"/>
      <c r="CT499" t="inlineStr"/>
      <c r="CU499" t="inlineStr"/>
      <c r="CV499" t="inlineStr"/>
      <c r="CW499" t="inlineStr"/>
      <c r="CX499" t="inlineStr"/>
      <c r="CY499" t="inlineStr"/>
      <c r="CZ499" t="inlineStr"/>
      <c r="DA499" t="inlineStr"/>
      <c r="DB499" t="inlineStr"/>
      <c r="DC499" t="inlineStr"/>
      <c r="DD499" t="inlineStr"/>
      <c r="DE499" t="inlineStr"/>
      <c r="DF499" t="inlineStr"/>
      <c r="DG499" t="inlineStr"/>
    </row>
    <row r="500">
      <c r="A500" t="inlineStr">
        <is>
          <t>III</t>
        </is>
      </c>
      <c r="B500" t="b">
        <v>1</v>
      </c>
      <c r="C500" t="inlineStr"/>
      <c r="D500" t="inlineStr"/>
      <c r="E500" t="n">
        <v>568</v>
      </c>
      <c r="F500">
        <f>HYPERLINK("https://portal.dnb.de/opac.htm?method=simpleSearch&amp;cqlMode=true&amp;query=idn%3D1066837856", "Portal")</f>
        <v/>
      </c>
      <c r="G500" t="inlineStr">
        <is>
          <t>Aaf</t>
        </is>
      </c>
      <c r="H500" t="inlineStr">
        <is>
          <t>L-1521-315297972</t>
        </is>
      </c>
      <c r="I500" t="inlineStr">
        <is>
          <t>1066837856</t>
        </is>
      </c>
      <c r="J500" t="inlineStr">
        <is>
          <t>III 60, 24</t>
        </is>
      </c>
      <c r="K500" t="inlineStr">
        <is>
          <t>III 60, 24</t>
        </is>
      </c>
      <c r="L500" t="inlineStr">
        <is>
          <t>III 60, 24</t>
        </is>
      </c>
      <c r="M500" t="inlineStr"/>
      <c r="N500" t="inlineStr">
        <is>
          <t>Herr Erasmus von Ro||terdam/ verteutschte außlegung/|| über das/ göttlich tröstlich wort|| vnsers lieben Herrñ vnnd selig=||machers Christi/ Nement au</t>
        </is>
      </c>
      <c r="O500" t="inlineStr">
        <is>
          <t xml:space="preserve"> : </t>
        </is>
      </c>
      <c r="P500" t="inlineStr"/>
      <c r="Q500" t="inlineStr"/>
      <c r="R500" t="inlineStr"/>
      <c r="S500" t="inlineStr"/>
      <c r="T500" t="inlineStr"/>
      <c r="U500" t="inlineStr"/>
      <c r="V500" t="inlineStr"/>
      <c r="W500" t="inlineStr"/>
      <c r="X500" t="inlineStr"/>
      <c r="Y500" t="inlineStr"/>
      <c r="Z500" t="inlineStr"/>
      <c r="AA500" t="inlineStr"/>
      <c r="AB500" t="inlineStr"/>
      <c r="AC500" t="inlineStr"/>
      <c r="AD500" t="inlineStr"/>
      <c r="AE500" t="inlineStr"/>
      <c r="AF500" t="inlineStr"/>
      <c r="AG500" t="inlineStr"/>
      <c r="AH500" t="inlineStr"/>
      <c r="AI500" t="inlineStr"/>
      <c r="AJ500" t="inlineStr"/>
      <c r="AK500" t="inlineStr"/>
      <c r="AL500" t="inlineStr"/>
      <c r="AM500" t="inlineStr"/>
      <c r="AN500" t="inlineStr"/>
      <c r="AO500" t="inlineStr"/>
      <c r="AP500" t="inlineStr"/>
      <c r="AQ500" t="inlineStr"/>
      <c r="AR500" t="inlineStr"/>
      <c r="AS500" t="inlineStr"/>
      <c r="AT500" t="inlineStr"/>
      <c r="AU500" t="inlineStr"/>
      <c r="AV500" t="inlineStr"/>
      <c r="AW500" t="inlineStr"/>
      <c r="AX500" t="inlineStr"/>
      <c r="AY500" t="inlineStr"/>
      <c r="AZ500" t="inlineStr"/>
      <c r="BA500" t="inlineStr"/>
      <c r="BB500" t="inlineStr"/>
      <c r="BC500" t="inlineStr"/>
      <c r="BD500" t="inlineStr"/>
      <c r="BE500" t="inlineStr"/>
      <c r="BF500" t="inlineStr"/>
      <c r="BG500" t="inlineStr"/>
      <c r="BH500" t="inlineStr"/>
      <c r="BI500" t="inlineStr"/>
      <c r="BJ500" t="inlineStr"/>
      <c r="BK500" t="inlineStr"/>
      <c r="BL500" t="inlineStr"/>
      <c r="BM500" t="inlineStr"/>
      <c r="BN500" t="n">
        <v>0</v>
      </c>
      <c r="BO500" t="inlineStr"/>
      <c r="BP500" t="inlineStr"/>
      <c r="BQ500" t="inlineStr"/>
      <c r="BR500" t="inlineStr"/>
      <c r="BS500" t="inlineStr"/>
      <c r="BT500" t="inlineStr"/>
      <c r="BU500" t="inlineStr"/>
      <c r="BV500" t="inlineStr"/>
      <c r="BW500" t="inlineStr"/>
      <c r="BX500" t="inlineStr"/>
      <c r="BY500" t="inlineStr"/>
      <c r="BZ500" t="inlineStr"/>
      <c r="CA500" t="inlineStr"/>
      <c r="CB500" t="inlineStr"/>
      <c r="CC500" t="inlineStr"/>
      <c r="CD500" t="inlineStr"/>
      <c r="CE500" t="inlineStr"/>
      <c r="CF500" t="inlineStr"/>
      <c r="CG500" t="inlineStr"/>
      <c r="CH500" t="inlineStr"/>
      <c r="CI500" t="inlineStr"/>
      <c r="CJ500" t="inlineStr"/>
      <c r="CK500" t="inlineStr"/>
      <c r="CL500" t="inlineStr"/>
      <c r="CM500" t="inlineStr"/>
      <c r="CN500" t="inlineStr"/>
      <c r="CO500" t="inlineStr"/>
      <c r="CP500" t="inlineStr"/>
      <c r="CQ500" t="inlineStr"/>
      <c r="CR500" t="inlineStr"/>
      <c r="CS500" t="inlineStr"/>
      <c r="CT500" t="inlineStr"/>
      <c r="CU500" t="inlineStr"/>
      <c r="CV500" t="inlineStr"/>
      <c r="CW500" t="inlineStr"/>
      <c r="CX500" t="inlineStr"/>
      <c r="CY500" t="inlineStr"/>
      <c r="CZ500" t="inlineStr"/>
      <c r="DA500" t="inlineStr"/>
      <c r="DB500" t="inlineStr"/>
      <c r="DC500" t="inlineStr"/>
      <c r="DD500" t="inlineStr"/>
      <c r="DE500" t="inlineStr"/>
      <c r="DF500" t="inlineStr"/>
      <c r="DG500" t="inlineStr"/>
    </row>
    <row r="501">
      <c r="A501" t="inlineStr">
        <is>
          <t>III</t>
        </is>
      </c>
      <c r="B501" t="b">
        <v>1</v>
      </c>
      <c r="C501" t="inlineStr"/>
      <c r="D501" t="inlineStr"/>
      <c r="E501" t="n">
        <v>569</v>
      </c>
      <c r="F501">
        <f>HYPERLINK("https://portal.dnb.de/opac.htm?method=simpleSearch&amp;cqlMode=true&amp;query=idn%3D1066873720", "Portal")</f>
        <v/>
      </c>
      <c r="G501" t="inlineStr">
        <is>
          <t>Aaf</t>
        </is>
      </c>
      <c r="H501" t="inlineStr">
        <is>
          <t>L-1521-315331518</t>
        </is>
      </c>
      <c r="I501" t="inlineStr">
        <is>
          <t>1066873720</t>
        </is>
      </c>
      <c r="J501" t="inlineStr">
        <is>
          <t>III 60, 25</t>
        </is>
      </c>
      <c r="K501" t="inlineStr">
        <is>
          <t>III 60, 25</t>
        </is>
      </c>
      <c r="L501" t="inlineStr">
        <is>
          <t>III 60, 25</t>
        </is>
      </c>
      <c r="M501" t="inlineStr"/>
      <c r="N501" t="inlineStr">
        <is>
          <t>ERASMI|| ROTERODAMI.|| De ratione studij, ac legendi, interpretandíq;|| authores libellus.|| Officium discipulorum ex Quintiliano.|| ...ERASMI.|| Cont</t>
        </is>
      </c>
      <c r="O501" t="inlineStr">
        <is>
          <t xml:space="preserve"> : </t>
        </is>
      </c>
      <c r="P501" t="inlineStr"/>
      <c r="Q501" t="inlineStr"/>
      <c r="R501" t="inlineStr"/>
      <c r="S501" t="inlineStr"/>
      <c r="T501" t="inlineStr"/>
      <c r="U501" t="inlineStr"/>
      <c r="V501" t="inlineStr"/>
      <c r="W501" t="inlineStr"/>
      <c r="X501" t="inlineStr"/>
      <c r="Y501" t="inlineStr"/>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inlineStr"/>
      <c r="BI501" t="inlineStr"/>
      <c r="BJ501" t="inlineStr"/>
      <c r="BK501" t="inlineStr"/>
      <c r="BL501" t="inlineStr"/>
      <c r="BM501" t="inlineStr"/>
      <c r="BN501" t="n">
        <v>0</v>
      </c>
      <c r="BO501" t="inlineStr"/>
      <c r="BP501" t="inlineStr"/>
      <c r="BQ501" t="inlineStr"/>
      <c r="BR501" t="inlineStr"/>
      <c r="BS501" t="inlineStr"/>
      <c r="BT501" t="inlineStr"/>
      <c r="BU501" t="inlineStr"/>
      <c r="BV501" t="inlineStr"/>
      <c r="BW501" t="inlineStr"/>
      <c r="BX501" t="inlineStr"/>
      <c r="BY501" t="inlineStr"/>
      <c r="BZ501" t="inlineStr"/>
      <c r="CA501" t="inlineStr"/>
      <c r="CB501" t="inlineStr"/>
      <c r="CC501" t="inlineStr"/>
      <c r="CD501" t="inlineStr"/>
      <c r="CE501" t="inlineStr"/>
      <c r="CF501" t="inlineStr"/>
      <c r="CG501" t="inlineStr"/>
      <c r="CH501" t="inlineStr"/>
      <c r="CI501" t="inlineStr"/>
      <c r="CJ501" t="inlineStr"/>
      <c r="CK501" t="inlineStr"/>
      <c r="CL501" t="inlineStr"/>
      <c r="CM501" t="inlineStr"/>
      <c r="CN501" t="inlineStr"/>
      <c r="CO501" t="inlineStr"/>
      <c r="CP501" t="inlineStr"/>
      <c r="CQ501" t="inlineStr"/>
      <c r="CR501" t="inlineStr"/>
      <c r="CS501" t="inlineStr"/>
      <c r="CT501" t="inlineStr"/>
      <c r="CU501" t="inlineStr"/>
      <c r="CV501" t="inlineStr"/>
      <c r="CW501" t="inlineStr"/>
      <c r="CX501" t="inlineStr"/>
      <c r="CY501" t="inlineStr"/>
      <c r="CZ501" t="inlineStr"/>
      <c r="DA501" t="inlineStr"/>
      <c r="DB501" t="inlineStr"/>
      <c r="DC501" t="inlineStr"/>
      <c r="DD501" t="inlineStr"/>
      <c r="DE501" t="inlineStr"/>
      <c r="DF501" t="inlineStr"/>
      <c r="DG501" t="inlineStr"/>
    </row>
    <row r="502">
      <c r="A502" t="inlineStr">
        <is>
          <t>III</t>
        </is>
      </c>
      <c r="B502" t="b">
        <v>1</v>
      </c>
      <c r="C502" t="inlineStr">
        <is>
          <t>x</t>
        </is>
      </c>
      <c r="D502" t="inlineStr"/>
      <c r="E502" t="n">
        <v>570</v>
      </c>
      <c r="F502">
        <f>HYPERLINK("https://portal.dnb.de/opac.htm?method=simpleSearch&amp;cqlMode=true&amp;query=idn%3D1066961905", "Portal")</f>
        <v/>
      </c>
      <c r="G502" t="inlineStr">
        <is>
          <t>Aaf</t>
        </is>
      </c>
      <c r="H502" t="inlineStr">
        <is>
          <t>L-1521-315492309</t>
        </is>
      </c>
      <c r="I502" t="inlineStr">
        <is>
          <t>1066961905</t>
        </is>
      </c>
      <c r="J502" t="inlineStr">
        <is>
          <t>III 60, 26</t>
        </is>
      </c>
      <c r="K502" t="inlineStr">
        <is>
          <t>III 60, 26</t>
        </is>
      </c>
      <c r="L502" t="inlineStr">
        <is>
          <t>III 60, 26</t>
        </is>
      </c>
      <c r="M502" t="inlineStr"/>
      <c r="N502" t="inlineStr">
        <is>
          <t>REGINO||NIS MONACHI PRV//||MIENSIS ANNA=||LES, NON TAM DE|| AVGVSTO=||RVM VI||TIS,|| QVAM ALIORVM GER||MANORVM GE//||STIS ET DO//||CTE ET COM||PENDIOS</t>
        </is>
      </c>
      <c r="O502" t="inlineStr">
        <is>
          <t xml:space="preserve"> : </t>
        </is>
      </c>
      <c r="P502" t="inlineStr"/>
      <c r="Q502" t="inlineStr"/>
      <c r="R502" t="inlineStr"/>
      <c r="S502" t="inlineStr">
        <is>
          <t>bis 25 cm</t>
        </is>
      </c>
      <c r="T502" t="inlineStr"/>
      <c r="U502" t="inlineStr"/>
      <c r="V502" t="inlineStr"/>
      <c r="W502" t="inlineStr"/>
      <c r="X502" t="inlineStr"/>
      <c r="Y502" t="inlineStr"/>
      <c r="Z502" t="inlineStr"/>
      <c r="AA502" t="inlineStr"/>
      <c r="AB502" t="inlineStr"/>
      <c r="AC502" t="inlineStr"/>
      <c r="AD502" t="inlineStr"/>
      <c r="AE502" t="inlineStr"/>
      <c r="AF502" t="inlineStr"/>
      <c r="AG502" t="inlineStr"/>
      <c r="AH502" t="inlineStr"/>
      <c r="AI502" t="inlineStr">
        <is>
          <t>HL</t>
        </is>
      </c>
      <c r="AJ502" t="inlineStr"/>
      <c r="AK502" t="inlineStr">
        <is>
          <t>x</t>
        </is>
      </c>
      <c r="AL502" t="inlineStr"/>
      <c r="AM502" t="inlineStr">
        <is>
          <t>h/E</t>
        </is>
      </c>
      <c r="AN502" t="inlineStr"/>
      <c r="AO502" t="inlineStr"/>
      <c r="AP502" t="inlineStr"/>
      <c r="AQ502" t="inlineStr"/>
      <c r="AR502" t="inlineStr"/>
      <c r="AS502" t="inlineStr">
        <is>
          <t>Pa</t>
        </is>
      </c>
      <c r="AT502" t="inlineStr"/>
      <c r="AU502" t="inlineStr"/>
      <c r="AV502" t="inlineStr"/>
      <c r="AW502" t="inlineStr"/>
      <c r="AX502" t="inlineStr"/>
      <c r="AY502" t="inlineStr"/>
      <c r="AZ502" t="inlineStr"/>
      <c r="BA502" t="inlineStr"/>
      <c r="BB502" t="inlineStr"/>
      <c r="BC502" t="inlineStr"/>
      <c r="BD502" t="inlineStr"/>
      <c r="BE502" t="inlineStr"/>
      <c r="BF502" t="inlineStr"/>
      <c r="BG502" t="n">
        <v>110</v>
      </c>
      <c r="BH502" t="inlineStr"/>
      <c r="BI502" t="inlineStr"/>
      <c r="BJ502" t="inlineStr"/>
      <c r="BK502" t="inlineStr"/>
      <c r="BL502" t="inlineStr"/>
      <c r="BM502" t="inlineStr">
        <is>
          <t>ja vor</t>
        </is>
      </c>
      <c r="BN502" t="n">
        <v>0.5</v>
      </c>
      <c r="BO502" t="inlineStr"/>
      <c r="BP502" t="inlineStr"/>
      <c r="BQ502" t="inlineStr"/>
      <c r="BR502" t="inlineStr">
        <is>
          <t>x</t>
        </is>
      </c>
      <c r="BS502" t="inlineStr"/>
      <c r="BT502" t="inlineStr"/>
      <c r="BU502" t="inlineStr"/>
      <c r="BV502" t="inlineStr"/>
      <c r="BW502" t="inlineStr"/>
      <c r="BX502" t="inlineStr"/>
      <c r="BY502" t="inlineStr"/>
      <c r="BZ502" t="inlineStr">
        <is>
          <t>x</t>
        </is>
      </c>
      <c r="CA502" t="inlineStr">
        <is>
          <t>x</t>
        </is>
      </c>
      <c r="CB502" t="inlineStr">
        <is>
          <t>x</t>
        </is>
      </c>
      <c r="CC502" t="inlineStr"/>
      <c r="CD502" t="inlineStr"/>
      <c r="CE502" t="inlineStr"/>
      <c r="CF502" t="inlineStr"/>
      <c r="CG502" t="inlineStr"/>
      <c r="CH502" t="inlineStr"/>
      <c r="CI502" t="inlineStr"/>
      <c r="CJ502" t="inlineStr"/>
      <c r="CK502" t="inlineStr"/>
      <c r="CL502" t="inlineStr"/>
      <c r="CM502" t="n">
        <v>0.5</v>
      </c>
      <c r="CN502" t="inlineStr"/>
      <c r="CO502" t="inlineStr"/>
      <c r="CP502" t="inlineStr"/>
      <c r="CQ502" t="inlineStr"/>
      <c r="CR502" t="inlineStr"/>
      <c r="CS502" t="inlineStr"/>
      <c r="CT502" t="inlineStr"/>
      <c r="CU502" t="inlineStr"/>
      <c r="CV502" t="inlineStr"/>
      <c r="CW502" t="inlineStr"/>
      <c r="CX502" t="inlineStr"/>
      <c r="CY502" t="inlineStr"/>
      <c r="CZ502" t="inlineStr"/>
      <c r="DA502" t="inlineStr"/>
      <c r="DB502" t="inlineStr"/>
      <c r="DC502" t="inlineStr"/>
      <c r="DD502" t="inlineStr"/>
      <c r="DE502" t="inlineStr"/>
      <c r="DF502" t="inlineStr"/>
      <c r="DG502" t="inlineStr"/>
    </row>
    <row r="503">
      <c r="A503" t="inlineStr">
        <is>
          <t>III</t>
        </is>
      </c>
      <c r="B503" t="b">
        <v>1</v>
      </c>
      <c r="C503" t="inlineStr"/>
      <c r="D503" t="inlineStr"/>
      <c r="E503" t="n">
        <v>571</v>
      </c>
      <c r="F503">
        <f>HYPERLINK("https://portal.dnb.de/opac.htm?method=simpleSearch&amp;cqlMode=true&amp;query=idn%3D1066959684", "Portal")</f>
        <v/>
      </c>
      <c r="G503" t="inlineStr">
        <is>
          <t>Aaf</t>
        </is>
      </c>
      <c r="H503" t="inlineStr">
        <is>
          <t>L-1521-315490217</t>
        </is>
      </c>
      <c r="I503" t="inlineStr">
        <is>
          <t>1066959684</t>
        </is>
      </c>
      <c r="J503" t="inlineStr">
        <is>
          <t>III 60, 27</t>
        </is>
      </c>
      <c r="K503" t="inlineStr">
        <is>
          <t>III 60, 27</t>
        </is>
      </c>
      <c r="L503" t="inlineStr">
        <is>
          <t>III 60, 27</t>
        </is>
      </c>
      <c r="M503" t="inlineStr"/>
      <c r="N503" t="inlineStr">
        <is>
          <t xml:space="preserve">MEintzisch hoff=||gerichts Ordnug|| zu allen andern gerichten dien=||lich. 1521.|| : </t>
        </is>
      </c>
      <c r="O503" t="inlineStr">
        <is>
          <t xml:space="preserve"> : </t>
        </is>
      </c>
      <c r="P503" t="inlineStr">
        <is>
          <t>X</t>
        </is>
      </c>
      <c r="Q503" t="inlineStr"/>
      <c r="R503" t="inlineStr">
        <is>
          <t>Gewebeeinband, Schließen, erhabene Buchbeschläge</t>
        </is>
      </c>
      <c r="S503" t="inlineStr">
        <is>
          <t>bis 35 cm</t>
        </is>
      </c>
      <c r="T503" t="inlineStr">
        <is>
          <t>180°</t>
        </is>
      </c>
      <c r="U503" t="inlineStr">
        <is>
          <t>hohler Rücken</t>
        </is>
      </c>
      <c r="V503" t="inlineStr"/>
      <c r="W503" t="inlineStr">
        <is>
          <t>Buchschuh</t>
        </is>
      </c>
      <c r="X503" t="inlineStr">
        <is>
          <t>Nein</t>
        </is>
      </c>
      <c r="Y503" t="n">
        <v>0</v>
      </c>
      <c r="Z503" t="inlineStr"/>
      <c r="AA503" t="inlineStr">
        <is>
          <t>enth. Blindlagen</t>
        </is>
      </c>
      <c r="AB503" t="inlineStr"/>
      <c r="AC503" t="inlineStr"/>
      <c r="AD503" t="inlineStr"/>
      <c r="AE503" t="inlineStr"/>
      <c r="AF503" t="inlineStr"/>
      <c r="AG503" t="inlineStr"/>
      <c r="AH503" t="inlineStr"/>
      <c r="AI503" t="inlineStr"/>
      <c r="AJ503" t="inlineStr"/>
      <c r="AK503" t="inlineStr"/>
      <c r="AL503" t="inlineStr"/>
      <c r="AM503" t="inlineStr"/>
      <c r="AN503" t="inlineStr"/>
      <c r="AO503" t="inlineStr"/>
      <c r="AP503" t="inlineStr"/>
      <c r="AQ503" t="inlineStr"/>
      <c r="AR503" t="inlineStr"/>
      <c r="AS503" t="inlineStr"/>
      <c r="AT503" t="inlineStr"/>
      <c r="AU503" t="inlineStr"/>
      <c r="AV503" t="inlineStr"/>
      <c r="AW503" t="inlineStr"/>
      <c r="AX503" t="inlineStr"/>
      <c r="AY503" t="inlineStr"/>
      <c r="AZ503" t="inlineStr"/>
      <c r="BA503" t="inlineStr"/>
      <c r="BB503" t="inlineStr"/>
      <c r="BC503" t="inlineStr"/>
      <c r="BD503" t="inlineStr"/>
      <c r="BE503" t="inlineStr"/>
      <c r="BF503" t="inlineStr"/>
      <c r="BG503" t="inlineStr"/>
      <c r="BH503" t="inlineStr"/>
      <c r="BI503" t="inlineStr"/>
      <c r="BJ503" t="inlineStr"/>
      <c r="BK503" t="inlineStr"/>
      <c r="BL503" t="inlineStr"/>
      <c r="BM503" t="inlineStr"/>
      <c r="BN503" t="n">
        <v>0</v>
      </c>
      <c r="BO503" t="inlineStr"/>
      <c r="BP503" t="inlineStr"/>
      <c r="BQ503" t="inlineStr"/>
      <c r="BR503" t="inlineStr"/>
      <c r="BS503" t="inlineStr"/>
      <c r="BT503" t="inlineStr"/>
      <c r="BU503" t="inlineStr"/>
      <c r="BV503" t="inlineStr"/>
      <c r="BW503" t="inlineStr"/>
      <c r="BX503" t="inlineStr"/>
      <c r="BY503" t="inlineStr"/>
      <c r="BZ503" t="inlineStr"/>
      <c r="CA503" t="inlineStr"/>
      <c r="CB503" t="inlineStr"/>
      <c r="CC503" t="inlineStr"/>
      <c r="CD503" t="inlineStr"/>
      <c r="CE503" t="inlineStr"/>
      <c r="CF503" t="inlineStr"/>
      <c r="CG503" t="inlineStr"/>
      <c r="CH503" t="inlineStr"/>
      <c r="CI503" t="inlineStr"/>
      <c r="CJ503" t="inlineStr"/>
      <c r="CK503" t="inlineStr"/>
      <c r="CL503" t="inlineStr"/>
      <c r="CM503" t="inlineStr"/>
      <c r="CN503" t="inlineStr"/>
      <c r="CO503" t="inlineStr"/>
      <c r="CP503" t="inlineStr"/>
      <c r="CQ503" t="inlineStr"/>
      <c r="CR503" t="inlineStr"/>
      <c r="CS503" t="inlineStr"/>
      <c r="CT503" t="inlineStr"/>
      <c r="CU503" t="inlineStr"/>
      <c r="CV503" t="inlineStr"/>
      <c r="CW503" t="inlineStr"/>
      <c r="CX503" t="inlineStr"/>
      <c r="CY503" t="inlineStr"/>
      <c r="CZ503" t="inlineStr"/>
      <c r="DA503" t="inlineStr"/>
      <c r="DB503" t="inlineStr"/>
      <c r="DC503" t="inlineStr"/>
      <c r="DD503" t="inlineStr"/>
      <c r="DE503" t="inlineStr"/>
      <c r="DF503" t="inlineStr"/>
      <c r="DG503" t="inlineStr"/>
    </row>
    <row r="504">
      <c r="A504" t="inlineStr">
        <is>
          <t>III</t>
        </is>
      </c>
      <c r="B504" t="b">
        <v>1</v>
      </c>
      <c r="C504" t="inlineStr"/>
      <c r="D504" t="inlineStr"/>
      <c r="E504" t="n">
        <v>662</v>
      </c>
      <c r="F504">
        <f>HYPERLINK("https://portal.dnb.de/opac.htm?method=simpleSearch&amp;cqlMode=true&amp;query=idn%3D1079607048", "Portal")</f>
        <v/>
      </c>
      <c r="G504" t="inlineStr">
        <is>
          <t>Aaf</t>
        </is>
      </c>
      <c r="H504" t="inlineStr">
        <is>
          <t>L-1521-343788284</t>
        </is>
      </c>
      <c r="I504" t="inlineStr">
        <is>
          <t>1079607048</t>
        </is>
      </c>
      <c r="J504" t="inlineStr">
        <is>
          <t>III 60, 28 - Fragm.</t>
        </is>
      </c>
      <c r="K504" t="inlineStr">
        <is>
          <t>III 60, 28 - Fragm.</t>
        </is>
      </c>
      <c r="L504" t="inlineStr">
        <is>
          <t>III 60, 28 - Fragm.</t>
        </is>
      </c>
      <c r="M504" t="inlineStr"/>
      <c r="N504" t="inlineStr">
        <is>
          <t>Romischer kayserlicher|| Maiestat Regiment: Camergericht: Landt=||fridt vnnd Abschiedt vff dem Reichs||tag zu Wormbs. Anno M vc||xxj. beschlossen vñ v</t>
        </is>
      </c>
      <c r="O504" t="inlineStr">
        <is>
          <t xml:space="preserve"> : </t>
        </is>
      </c>
      <c r="P504" t="inlineStr">
        <is>
          <t>X</t>
        </is>
      </c>
      <c r="Q504" t="inlineStr"/>
      <c r="R504" t="inlineStr">
        <is>
          <t>Gewebeeinband</t>
        </is>
      </c>
      <c r="S504" t="inlineStr">
        <is>
          <t>bis 35 cm</t>
        </is>
      </c>
      <c r="T504" t="inlineStr">
        <is>
          <t>180°</t>
        </is>
      </c>
      <c r="U504" t="inlineStr">
        <is>
          <t>hohler Rücken</t>
        </is>
      </c>
      <c r="V504" t="inlineStr"/>
      <c r="W504" t="inlineStr"/>
      <c r="X504" t="inlineStr"/>
      <c r="Y504" t="n">
        <v>0</v>
      </c>
      <c r="Z504" t="inlineStr"/>
      <c r="AA504" t="inlineStr">
        <is>
          <t>enth. Blindlagen</t>
        </is>
      </c>
      <c r="AB504" t="inlineStr"/>
      <c r="AC504" t="inlineStr"/>
      <c r="AD504" t="inlineStr"/>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inlineStr"/>
      <c r="BI504" t="inlineStr"/>
      <c r="BJ504" t="inlineStr"/>
      <c r="BK504" t="inlineStr"/>
      <c r="BL504" t="inlineStr"/>
      <c r="BM504" t="inlineStr"/>
      <c r="BN504" t="n">
        <v>0</v>
      </c>
      <c r="BO504" t="inlineStr"/>
      <c r="BP504" t="inlineStr"/>
      <c r="BQ504" t="inlineStr"/>
      <c r="BR504" t="inlineStr"/>
      <c r="BS504" t="inlineStr"/>
      <c r="BT504" t="inlineStr"/>
      <c r="BU504" t="inlineStr"/>
      <c r="BV504" t="inlineStr"/>
      <c r="BW504" t="inlineStr"/>
      <c r="BX504" t="inlineStr"/>
      <c r="BY504" t="inlineStr"/>
      <c r="BZ504" t="inlineStr"/>
      <c r="CA504" t="inlineStr"/>
      <c r="CB504" t="inlineStr"/>
      <c r="CC504" t="inlineStr"/>
      <c r="CD504" t="inlineStr"/>
      <c r="CE504" t="inlineStr"/>
      <c r="CF504" t="inlineStr"/>
      <c r="CG504" t="inlineStr"/>
      <c r="CH504" t="inlineStr"/>
      <c r="CI504" t="inlineStr"/>
      <c r="CJ504" t="inlineStr"/>
      <c r="CK504" t="inlineStr"/>
      <c r="CL504" t="inlineStr"/>
      <c r="CM504" t="inlineStr"/>
      <c r="CN504" t="inlineStr"/>
      <c r="CO504" t="inlineStr"/>
      <c r="CP504" t="inlineStr"/>
      <c r="CQ504" t="inlineStr"/>
      <c r="CR504" t="inlineStr"/>
      <c r="CS504" t="inlineStr"/>
      <c r="CT504" t="inlineStr"/>
      <c r="CU504" t="inlineStr"/>
      <c r="CV504" t="inlineStr"/>
      <c r="CW504" t="inlineStr"/>
      <c r="CX504" t="inlineStr"/>
      <c r="CY504" t="inlineStr"/>
      <c r="CZ504" t="inlineStr"/>
      <c r="DA504" t="inlineStr"/>
      <c r="DB504" t="inlineStr"/>
      <c r="DC504" t="inlineStr"/>
      <c r="DD504" t="inlineStr"/>
      <c r="DE504" t="inlineStr"/>
      <c r="DF504" t="inlineStr"/>
      <c r="DG504" t="inlineStr"/>
    </row>
    <row r="505">
      <c r="A505" t="inlineStr">
        <is>
          <t>III</t>
        </is>
      </c>
      <c r="B505" t="b">
        <v>1</v>
      </c>
      <c r="C505" t="inlineStr"/>
      <c r="D505" t="inlineStr"/>
      <c r="E505" t="n">
        <v>573</v>
      </c>
      <c r="F505">
        <f>HYPERLINK("https://portal.dnb.de/opac.htm?method=simpleSearch&amp;cqlMode=true&amp;query=idn%3D1066940509", "Portal")</f>
        <v/>
      </c>
      <c r="G505" t="inlineStr">
        <is>
          <t>Aaf</t>
        </is>
      </c>
      <c r="H505" t="inlineStr">
        <is>
          <t>L-1521-315468289</t>
        </is>
      </c>
      <c r="I505" t="inlineStr">
        <is>
          <t>1066940509</t>
        </is>
      </c>
      <c r="J505" t="inlineStr">
        <is>
          <t>III 60, 29</t>
        </is>
      </c>
      <c r="K505" t="inlineStr">
        <is>
          <t>III 60, 29</t>
        </is>
      </c>
      <c r="L505" t="inlineStr">
        <is>
          <t>III 60, 29</t>
        </is>
      </c>
      <c r="M505" t="inlineStr"/>
      <c r="N505" t="inlineStr">
        <is>
          <t xml:space="preserve">Ein @ser Cristliche pre=||dig des heilige Bischoffs sant Gre=||gorius võ Nazanz. Das man die|| armen lewt soll lieb habe. Durch|| Doctor Ecolampadius </t>
        </is>
      </c>
      <c r="O505" t="inlineStr">
        <is>
          <t xml:space="preserve"> : </t>
        </is>
      </c>
      <c r="P505" t="inlineStr"/>
      <c r="Q505" t="inlineStr"/>
      <c r="R505" t="inlineStr"/>
      <c r="S505" t="inlineStr">
        <is>
          <t>bis 25 cm</t>
        </is>
      </c>
      <c r="T505" t="inlineStr"/>
      <c r="U505" t="inlineStr"/>
      <c r="V505" t="inlineStr"/>
      <c r="W505" t="inlineStr"/>
      <c r="X505" t="inlineStr"/>
      <c r="Y505" t="inlineStr"/>
      <c r="Z505" t="inlineStr"/>
      <c r="AA505" t="inlineStr"/>
      <c r="AB505" t="inlineStr"/>
      <c r="AC505" t="inlineStr"/>
      <c r="AD505" t="inlineStr"/>
      <c r="AE505" t="inlineStr"/>
      <c r="AF505" t="inlineStr"/>
      <c r="AG505" t="inlineStr"/>
      <c r="AH505" t="inlineStr"/>
      <c r="AI505" t="inlineStr">
        <is>
          <t>HL</t>
        </is>
      </c>
      <c r="AJ505" t="inlineStr"/>
      <c r="AK505" t="inlineStr">
        <is>
          <t>x</t>
        </is>
      </c>
      <c r="AL505" t="inlineStr"/>
      <c r="AM505" t="inlineStr">
        <is>
          <t>h/E</t>
        </is>
      </c>
      <c r="AN505" t="inlineStr"/>
      <c r="AO505" t="inlineStr"/>
      <c r="AP505" t="inlineStr"/>
      <c r="AQ505" t="inlineStr"/>
      <c r="AR505" t="inlineStr"/>
      <c r="AS505" t="inlineStr">
        <is>
          <t>Pa</t>
        </is>
      </c>
      <c r="AT505" t="inlineStr">
        <is>
          <t>x</t>
        </is>
      </c>
      <c r="AU505" t="inlineStr"/>
      <c r="AV505" t="inlineStr"/>
      <c r="AW505" t="inlineStr"/>
      <c r="AX505" t="inlineStr"/>
      <c r="AY505" t="inlineStr"/>
      <c r="AZ505" t="inlineStr"/>
      <c r="BA505" t="inlineStr"/>
      <c r="BB505" t="inlineStr"/>
      <c r="BC505" t="inlineStr"/>
      <c r="BD505" t="inlineStr"/>
      <c r="BE505" t="inlineStr"/>
      <c r="BF505" t="inlineStr"/>
      <c r="BG505" t="n">
        <v>110</v>
      </c>
      <c r="BH505" t="inlineStr"/>
      <c r="BI505" t="inlineStr"/>
      <c r="BJ505" t="inlineStr"/>
      <c r="BK505" t="inlineStr"/>
      <c r="BL505" t="inlineStr"/>
      <c r="BM505" t="inlineStr">
        <is>
          <t>n</t>
        </is>
      </c>
      <c r="BN505" t="n">
        <v>0</v>
      </c>
      <c r="BO505" t="inlineStr"/>
      <c r="BP505" t="inlineStr"/>
      <c r="BQ505" t="inlineStr"/>
      <c r="BR505" t="inlineStr">
        <is>
          <t>x</t>
        </is>
      </c>
      <c r="BS505" t="inlineStr"/>
      <c r="BT505" t="inlineStr"/>
      <c r="BU505" t="inlineStr"/>
      <c r="BV505" t="inlineStr">
        <is>
          <t>Schaden stabil</t>
        </is>
      </c>
      <c r="BW505" t="inlineStr"/>
      <c r="BX505" t="inlineStr"/>
      <c r="BY505" t="inlineStr"/>
      <c r="BZ505" t="inlineStr"/>
      <c r="CA505" t="inlineStr"/>
      <c r="CB505" t="inlineStr"/>
      <c r="CC505" t="inlineStr"/>
      <c r="CD505" t="inlineStr"/>
      <c r="CE505" t="inlineStr"/>
      <c r="CF505" t="inlineStr"/>
      <c r="CG505" t="inlineStr"/>
      <c r="CH505" t="inlineStr"/>
      <c r="CI505" t="inlineStr"/>
      <c r="CJ505" t="inlineStr"/>
      <c r="CK505" t="inlineStr"/>
      <c r="CL505" t="inlineStr"/>
      <c r="CM505" t="inlineStr"/>
      <c r="CN505" t="inlineStr"/>
      <c r="CO505" t="inlineStr"/>
      <c r="CP505" t="inlineStr"/>
      <c r="CQ505" t="inlineStr"/>
      <c r="CR505" t="inlineStr"/>
      <c r="CS505" t="inlineStr"/>
      <c r="CT505" t="inlineStr"/>
      <c r="CU505" t="inlineStr"/>
      <c r="CV505" t="inlineStr"/>
      <c r="CW505" t="inlineStr"/>
      <c r="CX505" t="inlineStr"/>
      <c r="CY505" t="inlineStr"/>
      <c r="CZ505" t="inlineStr"/>
      <c r="DA505" t="inlineStr"/>
      <c r="DB505" t="inlineStr"/>
      <c r="DC505" t="inlineStr"/>
      <c r="DD505" t="inlineStr"/>
      <c r="DE505" t="inlineStr"/>
      <c r="DF505" t="inlineStr"/>
      <c r="DG505" t="inlineStr"/>
    </row>
    <row r="506">
      <c r="A506" t="inlineStr">
        <is>
          <t>III</t>
        </is>
      </c>
      <c r="B506" t="b">
        <v>1</v>
      </c>
      <c r="C506" t="inlineStr">
        <is>
          <t>x</t>
        </is>
      </c>
      <c r="D506" t="inlineStr"/>
      <c r="E506" t="n">
        <v>574</v>
      </c>
      <c r="F506">
        <f>HYPERLINK("https://portal.dnb.de/opac.htm?method=simpleSearch&amp;cqlMode=true&amp;query=idn%3D1066956723", "Portal")</f>
        <v/>
      </c>
      <c r="G506" t="inlineStr">
        <is>
          <t>Aaf</t>
        </is>
      </c>
      <c r="H506" t="inlineStr">
        <is>
          <t>L-1522-315487364</t>
        </is>
      </c>
      <c r="I506" t="inlineStr">
        <is>
          <t>1066956723</t>
        </is>
      </c>
      <c r="J506" t="inlineStr">
        <is>
          <t>III 60, 30</t>
        </is>
      </c>
      <c r="K506" t="inlineStr">
        <is>
          <t>III 60, 30</t>
        </is>
      </c>
      <c r="L506" t="inlineStr">
        <is>
          <t>III 60, 30</t>
        </is>
      </c>
      <c r="M506" t="inlineStr"/>
      <c r="N506" t="inlineStr">
        <is>
          <t>IN DICTV̂̃|| APOSTOLI AD|| CORINTHIOS.|| Cu autem subiecta fuerint|| illi omnia, tunc &amp; filius ipse|| subijcietur ei &amp;~c.|| De mudatõne leprosi, de my</t>
        </is>
      </c>
      <c r="O506" t="inlineStr">
        <is>
          <t xml:space="preserve"> : </t>
        </is>
      </c>
      <c r="P506" t="inlineStr"/>
      <c r="Q506" t="inlineStr"/>
      <c r="R506" t="inlineStr"/>
      <c r="S506" t="inlineStr">
        <is>
          <t>bis 25 cm</t>
        </is>
      </c>
      <c r="T506" t="inlineStr"/>
      <c r="U506" t="inlineStr"/>
      <c r="V506" t="inlineStr"/>
      <c r="W506" t="inlineStr"/>
      <c r="X506" t="inlineStr"/>
      <c r="Y506" t="inlineStr"/>
      <c r="Z506" t="inlineStr"/>
      <c r="AA506" t="inlineStr"/>
      <c r="AB506" t="inlineStr"/>
      <c r="AC506" t="inlineStr"/>
      <c r="AD506" t="inlineStr"/>
      <c r="AE506" t="inlineStr"/>
      <c r="AF506" t="inlineStr"/>
      <c r="AG506" t="inlineStr"/>
      <c r="AH506" t="inlineStr"/>
      <c r="AI506" t="inlineStr">
        <is>
          <t>Pa</t>
        </is>
      </c>
      <c r="AJ506" t="inlineStr"/>
      <c r="AK506" t="inlineStr"/>
      <c r="AL506" t="inlineStr"/>
      <c r="AM506" t="inlineStr">
        <is>
          <t>h/E</t>
        </is>
      </c>
      <c r="AN506" t="inlineStr"/>
      <c r="AO506" t="inlineStr"/>
      <c r="AP506" t="inlineStr"/>
      <c r="AQ506" t="inlineStr"/>
      <c r="AR506" t="inlineStr"/>
      <c r="AS506" t="inlineStr">
        <is>
          <t>Pa</t>
        </is>
      </c>
      <c r="AT506" t="inlineStr"/>
      <c r="AU506" t="inlineStr"/>
      <c r="AV506" t="inlineStr"/>
      <c r="AW506" t="inlineStr"/>
      <c r="AX506" t="inlineStr"/>
      <c r="AY506" t="inlineStr"/>
      <c r="AZ506" t="inlineStr"/>
      <c r="BA506" t="inlineStr"/>
      <c r="BB506" t="inlineStr"/>
      <c r="BC506" t="inlineStr"/>
      <c r="BD506" t="inlineStr"/>
      <c r="BE506" t="inlineStr"/>
      <c r="BF506" t="inlineStr"/>
      <c r="BG506" t="n">
        <v>110</v>
      </c>
      <c r="BH506" t="inlineStr"/>
      <c r="BI506" t="inlineStr"/>
      <c r="BJ506" t="inlineStr"/>
      <c r="BK506" t="inlineStr"/>
      <c r="BL506" t="inlineStr"/>
      <c r="BM506" t="inlineStr">
        <is>
          <t>ja vor</t>
        </is>
      </c>
      <c r="BN506" t="n">
        <v>0.5</v>
      </c>
      <c r="BO506" t="inlineStr"/>
      <c r="BP506" t="inlineStr"/>
      <c r="BQ506" t="inlineStr"/>
      <c r="BR506" t="inlineStr"/>
      <c r="BS506" t="inlineStr"/>
      <c r="BT506" t="inlineStr"/>
      <c r="BU506" t="inlineStr"/>
      <c r="BV506" t="inlineStr"/>
      <c r="BW506" t="inlineStr"/>
      <c r="BX506" t="inlineStr"/>
      <c r="BY506" t="inlineStr"/>
      <c r="BZ506" t="inlineStr">
        <is>
          <t>x</t>
        </is>
      </c>
      <c r="CA506" t="inlineStr"/>
      <c r="CB506" t="inlineStr">
        <is>
          <t>x</t>
        </is>
      </c>
      <c r="CC506" t="inlineStr"/>
      <c r="CD506" t="inlineStr"/>
      <c r="CE506" t="inlineStr"/>
      <c r="CF506" t="inlineStr"/>
      <c r="CG506" t="inlineStr"/>
      <c r="CH506" t="inlineStr"/>
      <c r="CI506" t="inlineStr"/>
      <c r="CJ506" t="inlineStr"/>
      <c r="CK506" t="inlineStr"/>
      <c r="CL506" t="inlineStr"/>
      <c r="CM506" t="n">
        <v>0.5</v>
      </c>
      <c r="CN506" t="inlineStr">
        <is>
          <t>fixieren und mit JP überfangen</t>
        </is>
      </c>
      <c r="CO506" t="inlineStr"/>
      <c r="CP506" t="inlineStr"/>
      <c r="CQ506" t="inlineStr"/>
      <c r="CR506" t="inlineStr"/>
      <c r="CS506" t="inlineStr"/>
      <c r="CT506" t="inlineStr"/>
      <c r="CU506" t="inlineStr"/>
      <c r="CV506" t="inlineStr"/>
      <c r="CW506" t="inlineStr"/>
      <c r="CX506" t="inlineStr"/>
      <c r="CY506" t="inlineStr"/>
      <c r="CZ506" t="inlineStr"/>
      <c r="DA506" t="inlineStr"/>
      <c r="DB506" t="inlineStr"/>
      <c r="DC506" t="inlineStr"/>
      <c r="DD506" t="inlineStr"/>
      <c r="DE506" t="inlineStr"/>
      <c r="DF506" t="inlineStr"/>
      <c r="DG506" t="inlineStr"/>
    </row>
    <row r="507">
      <c r="A507" t="inlineStr">
        <is>
          <t>III</t>
        </is>
      </c>
      <c r="B507" t="b">
        <v>1</v>
      </c>
      <c r="C507" t="inlineStr"/>
      <c r="D507" t="inlineStr"/>
      <c r="E507" t="n">
        <v>575</v>
      </c>
      <c r="F507">
        <f>HYPERLINK("https://portal.dnb.de/opac.htm?method=simpleSearch&amp;cqlMode=true&amp;query=idn%3D1066963401", "Portal")</f>
        <v/>
      </c>
      <c r="G507" t="inlineStr">
        <is>
          <t>Aaf</t>
        </is>
      </c>
      <c r="H507" t="inlineStr">
        <is>
          <t>L-1523-315493658</t>
        </is>
      </c>
      <c r="I507" t="inlineStr">
        <is>
          <t>1066963401</t>
        </is>
      </c>
      <c r="J507" t="inlineStr">
        <is>
          <t>III 60, 31</t>
        </is>
      </c>
      <c r="K507" t="inlineStr">
        <is>
          <t>III 60, 31</t>
        </is>
      </c>
      <c r="L507" t="inlineStr">
        <is>
          <t>III 60, 31</t>
        </is>
      </c>
      <c r="M507" t="inlineStr"/>
      <c r="N507" t="inlineStr">
        <is>
          <t xml:space="preserve">Landtfrid|| durch Kayser Ca||rol den funfften:|| vff dem Reichs=||tag zu Worms.|| Anno.M.vc.xxj.|| auffgericht.|| : </t>
        </is>
      </c>
      <c r="O507" t="inlineStr">
        <is>
          <t xml:space="preserve"> : </t>
        </is>
      </c>
      <c r="P507" t="inlineStr"/>
      <c r="Q507" t="inlineStr"/>
      <c r="R507" t="inlineStr"/>
      <c r="S507" t="inlineStr"/>
      <c r="T507" t="inlineStr"/>
      <c r="U507" t="inlineStr"/>
      <c r="V507" t="inlineStr"/>
      <c r="W507" t="inlineStr"/>
      <c r="X507" t="inlineStr"/>
      <c r="Y507" t="inlineStr"/>
      <c r="Z507" t="inlineStr"/>
      <c r="AA507" t="inlineStr"/>
      <c r="AB507" t="inlineStr"/>
      <c r="AC507" t="inlineStr"/>
      <c r="AD507" t="inlineStr"/>
      <c r="AE507" t="inlineStr"/>
      <c r="AF507" t="inlineStr"/>
      <c r="AG507" t="inlineStr"/>
      <c r="AH507" t="inlineStr"/>
      <c r="AI507" t="inlineStr"/>
      <c r="AJ507" t="inlineStr"/>
      <c r="AK507" t="inlineStr"/>
      <c r="AL507" t="inlineStr"/>
      <c r="AM507" t="inlineStr"/>
      <c r="AN507" t="inlineStr"/>
      <c r="AO507" t="inlineStr"/>
      <c r="AP507" t="inlineStr"/>
      <c r="AQ507" t="inlineStr"/>
      <c r="AR507" t="inlineStr"/>
      <c r="AS507" t="inlineStr"/>
      <c r="AT507" t="inlineStr"/>
      <c r="AU507" t="inlineStr"/>
      <c r="AV507" t="inlineStr"/>
      <c r="AW507" t="inlineStr"/>
      <c r="AX507" t="inlineStr"/>
      <c r="AY507" t="inlineStr"/>
      <c r="AZ507" t="inlineStr"/>
      <c r="BA507" t="inlineStr"/>
      <c r="BB507" t="inlineStr"/>
      <c r="BC507" t="inlineStr"/>
      <c r="BD507" t="inlineStr"/>
      <c r="BE507" t="inlineStr"/>
      <c r="BF507" t="inlineStr"/>
      <c r="BG507" t="inlineStr"/>
      <c r="BH507" t="inlineStr"/>
      <c r="BI507" t="inlineStr"/>
      <c r="BJ507" t="inlineStr"/>
      <c r="BK507" t="inlineStr"/>
      <c r="BL507" t="inlineStr"/>
      <c r="BM507" t="inlineStr"/>
      <c r="BN507" t="n">
        <v>0</v>
      </c>
      <c r="BO507" t="inlineStr"/>
      <c r="BP507" t="inlineStr"/>
      <c r="BQ507" t="inlineStr"/>
      <c r="BR507" t="inlineStr"/>
      <c r="BS507" t="inlineStr"/>
      <c r="BT507" t="inlineStr"/>
      <c r="BU507" t="inlineStr"/>
      <c r="BV507" t="inlineStr"/>
      <c r="BW507" t="inlineStr"/>
      <c r="BX507" t="inlineStr"/>
      <c r="BY507" t="inlineStr"/>
      <c r="BZ507" t="inlineStr"/>
      <c r="CA507" t="inlineStr"/>
      <c r="CB507" t="inlineStr"/>
      <c r="CC507" t="inlineStr"/>
      <c r="CD507" t="inlineStr"/>
      <c r="CE507" t="inlineStr"/>
      <c r="CF507" t="inlineStr"/>
      <c r="CG507" t="inlineStr"/>
      <c r="CH507" t="inlineStr"/>
      <c r="CI507" t="inlineStr"/>
      <c r="CJ507" t="inlineStr"/>
      <c r="CK507" t="inlineStr"/>
      <c r="CL507" t="inlineStr"/>
      <c r="CM507" t="inlineStr"/>
      <c r="CN507" t="inlineStr"/>
      <c r="CO507" t="inlineStr"/>
      <c r="CP507" t="inlineStr"/>
      <c r="CQ507" t="inlineStr"/>
      <c r="CR507" t="inlineStr"/>
      <c r="CS507" t="inlineStr"/>
      <c r="CT507" t="inlineStr"/>
      <c r="CU507" t="inlineStr"/>
      <c r="CV507" t="inlineStr"/>
      <c r="CW507" t="inlineStr"/>
      <c r="CX507" t="inlineStr"/>
      <c r="CY507" t="inlineStr"/>
      <c r="CZ507" t="inlineStr"/>
      <c r="DA507" t="inlineStr"/>
      <c r="DB507" t="inlineStr"/>
      <c r="DC507" t="inlineStr"/>
      <c r="DD507" t="inlineStr"/>
      <c r="DE507" t="inlineStr"/>
      <c r="DF507" t="inlineStr"/>
      <c r="DG507" t="inlineStr"/>
    </row>
    <row r="508">
      <c r="A508" t="inlineStr">
        <is>
          <t>III</t>
        </is>
      </c>
      <c r="B508" t="b">
        <v>1</v>
      </c>
      <c r="C508" t="inlineStr"/>
      <c r="D508" t="inlineStr"/>
      <c r="E508" t="n">
        <v>576</v>
      </c>
      <c r="F508">
        <f>HYPERLINK("https://portal.dnb.de/opac.htm?method=simpleSearch&amp;cqlMode=true&amp;query=idn%3D1066961743", "Portal")</f>
        <v/>
      </c>
      <c r="G508" t="inlineStr">
        <is>
          <t>Aaf</t>
        </is>
      </c>
      <c r="H508" t="inlineStr">
        <is>
          <t>L-1523-315492147</t>
        </is>
      </c>
      <c r="I508" t="inlineStr">
        <is>
          <t>1066961743</t>
        </is>
      </c>
      <c r="J508" t="inlineStr">
        <is>
          <t>III 60, 32</t>
        </is>
      </c>
      <c r="K508" t="inlineStr">
        <is>
          <t>III 60, 32</t>
        </is>
      </c>
      <c r="L508" t="inlineStr">
        <is>
          <t>III 60, 32</t>
        </is>
      </c>
      <c r="M508" t="inlineStr"/>
      <c r="N508" t="inlineStr">
        <is>
          <t xml:space="preserve">Romische historien : </t>
        </is>
      </c>
      <c r="O508" t="inlineStr">
        <is>
          <t xml:space="preserve"> : </t>
        </is>
      </c>
      <c r="P508" t="inlineStr">
        <is>
          <t>X</t>
        </is>
      </c>
      <c r="Q508" t="inlineStr"/>
      <c r="R508" t="inlineStr">
        <is>
          <t>Halbledereinband</t>
        </is>
      </c>
      <c r="S508" t="inlineStr">
        <is>
          <t>bis 35 cm</t>
        </is>
      </c>
      <c r="T508" t="inlineStr">
        <is>
          <t>80° bis 110°, einseitig digitalisierbar?</t>
        </is>
      </c>
      <c r="U508" t="inlineStr">
        <is>
          <t>hohler Rücken</t>
        </is>
      </c>
      <c r="V508" t="inlineStr"/>
      <c r="W508" t="inlineStr"/>
      <c r="X508" t="inlineStr"/>
      <c r="Y508" t="n">
        <v>0</v>
      </c>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inlineStr"/>
      <c r="BI508" t="inlineStr"/>
      <c r="BJ508" t="inlineStr"/>
      <c r="BK508" t="inlineStr"/>
      <c r="BL508" t="inlineStr"/>
      <c r="BM508" t="inlineStr"/>
      <c r="BN508" t="n">
        <v>0</v>
      </c>
      <c r="BO508" t="inlineStr"/>
      <c r="BP508" t="inlineStr"/>
      <c r="BQ508" t="inlineStr"/>
      <c r="BR508" t="inlineStr"/>
      <c r="BS508" t="inlineStr"/>
      <c r="BT508" t="inlineStr"/>
      <c r="BU508" t="inlineStr"/>
      <c r="BV508" t="inlineStr"/>
      <c r="BW508" t="inlineStr"/>
      <c r="BX508" t="inlineStr"/>
      <c r="BY508" t="inlineStr"/>
      <c r="BZ508" t="inlineStr"/>
      <c r="CA508" t="inlineStr"/>
      <c r="CB508" t="inlineStr"/>
      <c r="CC508" t="inlineStr"/>
      <c r="CD508" t="inlineStr"/>
      <c r="CE508" t="inlineStr"/>
      <c r="CF508" t="inlineStr"/>
      <c r="CG508" t="inlineStr"/>
      <c r="CH508" t="inlineStr"/>
      <c r="CI508" t="inlineStr"/>
      <c r="CJ508" t="inlineStr"/>
      <c r="CK508" t="inlineStr"/>
      <c r="CL508" t="inlineStr"/>
      <c r="CM508" t="inlineStr"/>
      <c r="CN508" t="inlineStr"/>
      <c r="CO508" t="inlineStr"/>
      <c r="CP508" t="inlineStr"/>
      <c r="CQ508" t="inlineStr"/>
      <c r="CR508" t="inlineStr"/>
      <c r="CS508" t="inlineStr"/>
      <c r="CT508" t="inlineStr"/>
      <c r="CU508" t="inlineStr"/>
      <c r="CV508" t="inlineStr"/>
      <c r="CW508" t="inlineStr"/>
      <c r="CX508" t="inlineStr"/>
      <c r="CY508" t="inlineStr"/>
      <c r="CZ508" t="inlineStr"/>
      <c r="DA508" t="inlineStr"/>
      <c r="DB508" t="inlineStr"/>
      <c r="DC508" t="inlineStr"/>
      <c r="DD508" t="inlineStr"/>
      <c r="DE508" t="inlineStr"/>
      <c r="DF508" t="inlineStr"/>
      <c r="DG508" t="inlineStr"/>
    </row>
    <row r="509">
      <c r="A509" t="inlineStr">
        <is>
          <t>III</t>
        </is>
      </c>
      <c r="B509" t="b">
        <v>1</v>
      </c>
      <c r="C509" t="inlineStr"/>
      <c r="D509" t="inlineStr"/>
      <c r="E509" t="n">
        <v>577</v>
      </c>
      <c r="F509">
        <f>HYPERLINK("https://portal.dnb.de/opac.htm?method=simpleSearch&amp;cqlMode=true&amp;query=idn%3D1066961840", "Portal")</f>
        <v/>
      </c>
      <c r="G509" t="inlineStr">
        <is>
          <t>Aaf</t>
        </is>
      </c>
      <c r="H509" t="inlineStr">
        <is>
          <t>L-1524-315492244</t>
        </is>
      </c>
      <c r="I509" t="inlineStr">
        <is>
          <t>1066961840</t>
        </is>
      </c>
      <c r="J509" t="inlineStr">
        <is>
          <t>III 60, 33</t>
        </is>
      </c>
      <c r="K509" t="inlineStr">
        <is>
          <t>III 60, 33</t>
        </is>
      </c>
      <c r="L509" t="inlineStr">
        <is>
          <t>III 60, 33</t>
        </is>
      </c>
      <c r="M509" t="inlineStr"/>
      <c r="N509" t="inlineStr">
        <is>
          <t>SANCTI|| PROSPERI presbyteri Aqui||tanici aduersus inimicos gratiae|| dei libellus, in quo &amp; de gratia,|| &amp; libero arbitrio sententia|| diui Aurelij A</t>
        </is>
      </c>
      <c r="O509" t="inlineStr">
        <is>
          <t xml:space="preserve"> : </t>
        </is>
      </c>
      <c r="P509" t="inlineStr"/>
      <c r="Q509" t="inlineStr"/>
      <c r="R509" t="inlineStr"/>
      <c r="S509" t="inlineStr"/>
      <c r="T509" t="inlineStr"/>
      <c r="U509" t="inlineStr"/>
      <c r="V509" t="inlineStr"/>
      <c r="W509" t="inlineStr"/>
      <c r="X509" t="inlineStr"/>
      <c r="Y509" t="inlineStr"/>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inlineStr"/>
      <c r="BI509" t="inlineStr"/>
      <c r="BJ509" t="inlineStr"/>
      <c r="BK509" t="inlineStr"/>
      <c r="BL509" t="inlineStr"/>
      <c r="BM509" t="inlineStr"/>
      <c r="BN509" t="n">
        <v>0</v>
      </c>
      <c r="BO509" t="inlineStr"/>
      <c r="BP509" t="inlineStr"/>
      <c r="BQ509" t="inlineStr"/>
      <c r="BR509" t="inlineStr"/>
      <c r="BS509" t="inlineStr"/>
      <c r="BT509" t="inlineStr"/>
      <c r="BU509" t="inlineStr"/>
      <c r="BV509" t="inlineStr"/>
      <c r="BW509" t="inlineStr"/>
      <c r="BX509" t="inlineStr"/>
      <c r="BY509" t="inlineStr"/>
      <c r="BZ509" t="inlineStr"/>
      <c r="CA509" t="inlineStr"/>
      <c r="CB509" t="inlineStr"/>
      <c r="CC509" t="inlineStr"/>
      <c r="CD509" t="inlineStr"/>
      <c r="CE509" t="inlineStr"/>
      <c r="CF509" t="inlineStr"/>
      <c r="CG509" t="inlineStr"/>
      <c r="CH509" t="inlineStr"/>
      <c r="CI509" t="inlineStr"/>
      <c r="CJ509" t="inlineStr"/>
      <c r="CK509" t="inlineStr"/>
      <c r="CL509" t="inlineStr"/>
      <c r="CM509" t="inlineStr"/>
      <c r="CN509" t="inlineStr"/>
      <c r="CO509" t="inlineStr"/>
      <c r="CP509" t="inlineStr"/>
      <c r="CQ509" t="inlineStr"/>
      <c r="CR509" t="inlineStr"/>
      <c r="CS509" t="inlineStr"/>
      <c r="CT509" t="inlineStr"/>
      <c r="CU509" t="inlineStr"/>
      <c r="CV509" t="inlineStr"/>
      <c r="CW509" t="inlineStr"/>
      <c r="CX509" t="inlineStr"/>
      <c r="CY509" t="inlineStr"/>
      <c r="CZ509" t="inlineStr"/>
      <c r="DA509" t="inlineStr"/>
      <c r="DB509" t="inlineStr"/>
      <c r="DC509" t="inlineStr"/>
      <c r="DD509" t="inlineStr"/>
      <c r="DE509" t="inlineStr"/>
      <c r="DF509" t="inlineStr"/>
      <c r="DG509" t="inlineStr"/>
    </row>
    <row r="510">
      <c r="A510" t="inlineStr">
        <is>
          <t>III</t>
        </is>
      </c>
      <c r="B510" t="b">
        <v>1</v>
      </c>
      <c r="C510" t="inlineStr"/>
      <c r="D510" t="inlineStr"/>
      <c r="E510" t="n">
        <v>578</v>
      </c>
      <c r="F510">
        <f>HYPERLINK("https://portal.dnb.de/opac.htm?method=simpleSearch&amp;cqlMode=true&amp;query=idn%3D1066956553", "Portal")</f>
        <v/>
      </c>
      <c r="G510" t="inlineStr">
        <is>
          <t>Aaf</t>
        </is>
      </c>
      <c r="H510" t="inlineStr">
        <is>
          <t>L-1524-315487224</t>
        </is>
      </c>
      <c r="I510" t="inlineStr">
        <is>
          <t>1066956553</t>
        </is>
      </c>
      <c r="J510" t="inlineStr">
        <is>
          <t>III 60, 34</t>
        </is>
      </c>
      <c r="K510" t="inlineStr">
        <is>
          <t>III 60, 34</t>
        </is>
      </c>
      <c r="L510" t="inlineStr">
        <is>
          <t>III 60, 34</t>
        </is>
      </c>
      <c r="M510" t="inlineStr"/>
      <c r="N510" t="inlineStr">
        <is>
          <t xml:space="preserve">VLRICHI|| DE HVT=||TEN EQ. DE GVA=||IACI MEDICINA|| ET MORBO|| GALLICO|| LIBER|| VNVS.|| : </t>
        </is>
      </c>
      <c r="O510" t="inlineStr">
        <is>
          <t xml:space="preserve"> : </t>
        </is>
      </c>
      <c r="P510" t="inlineStr"/>
      <c r="Q510" t="inlineStr"/>
      <c r="R510" t="inlineStr"/>
      <c r="S510" t="inlineStr"/>
      <c r="T510" t="inlineStr"/>
      <c r="U510" t="inlineStr"/>
      <c r="V510" t="inlineStr"/>
      <c r="W510" t="inlineStr"/>
      <c r="X510" t="inlineStr"/>
      <c r="Y510" t="inlineStr"/>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inlineStr"/>
      <c r="BI510" t="inlineStr"/>
      <c r="BJ510" t="inlineStr"/>
      <c r="BK510" t="inlineStr"/>
      <c r="BL510" t="inlineStr"/>
      <c r="BM510" t="inlineStr"/>
      <c r="BN510" t="n">
        <v>0</v>
      </c>
      <c r="BO510" t="inlineStr"/>
      <c r="BP510" t="inlineStr"/>
      <c r="BQ510" t="inlineStr"/>
      <c r="BR510" t="inlineStr"/>
      <c r="BS510" t="inlineStr"/>
      <c r="BT510" t="inlineStr"/>
      <c r="BU510" t="inlineStr"/>
      <c r="BV510" t="inlineStr"/>
      <c r="BW510" t="inlineStr"/>
      <c r="BX510" t="inlineStr"/>
      <c r="BY510" t="inlineStr"/>
      <c r="BZ510" t="inlineStr"/>
      <c r="CA510" t="inlineStr"/>
      <c r="CB510" t="inlineStr"/>
      <c r="CC510" t="inlineStr"/>
      <c r="CD510" t="inlineStr"/>
      <c r="CE510" t="inlineStr"/>
      <c r="CF510" t="inlineStr"/>
      <c r="CG510" t="inlineStr"/>
      <c r="CH510" t="inlineStr"/>
      <c r="CI510" t="inlineStr"/>
      <c r="CJ510" t="inlineStr"/>
      <c r="CK510" t="inlineStr"/>
      <c r="CL510" t="inlineStr"/>
      <c r="CM510" t="inlineStr"/>
      <c r="CN510" t="inlineStr"/>
      <c r="CO510" t="inlineStr"/>
      <c r="CP510" t="inlineStr"/>
      <c r="CQ510" t="inlineStr"/>
      <c r="CR510" t="inlineStr"/>
      <c r="CS510" t="inlineStr"/>
      <c r="CT510" t="inlineStr"/>
      <c r="CU510" t="inlineStr"/>
      <c r="CV510" t="inlineStr"/>
      <c r="CW510" t="inlineStr"/>
      <c r="CX510" t="inlineStr"/>
      <c r="CY510" t="inlineStr"/>
      <c r="CZ510" t="inlineStr"/>
      <c r="DA510" t="inlineStr"/>
      <c r="DB510" t="inlineStr"/>
      <c r="DC510" t="inlineStr"/>
      <c r="DD510" t="inlineStr"/>
      <c r="DE510" t="inlineStr"/>
      <c r="DF510" t="inlineStr"/>
      <c r="DG510" t="inlineStr"/>
    </row>
    <row r="511">
      <c r="A511" t="inlineStr">
        <is>
          <t>III</t>
        </is>
      </c>
      <c r="B511" t="b">
        <v>1</v>
      </c>
      <c r="C511" t="inlineStr"/>
      <c r="D511" t="inlineStr"/>
      <c r="E511" t="n">
        <v>579</v>
      </c>
      <c r="F511">
        <f>HYPERLINK("https://portal.dnb.de/opac.htm?method=simpleSearch&amp;cqlMode=true&amp;query=idn%3D1066963819", "Portal")</f>
        <v/>
      </c>
      <c r="G511" t="inlineStr">
        <is>
          <t>Aaf</t>
        </is>
      </c>
      <c r="H511" t="inlineStr">
        <is>
          <t>L-1520-315494026</t>
        </is>
      </c>
      <c r="I511" t="inlineStr">
        <is>
          <t>1066963819</t>
        </is>
      </c>
      <c r="J511" t="inlineStr">
        <is>
          <t>III 60, 35</t>
        </is>
      </c>
      <c r="K511" t="inlineStr">
        <is>
          <t>III 60, 35</t>
        </is>
      </c>
      <c r="L511" t="inlineStr">
        <is>
          <t>III 60, 35</t>
        </is>
      </c>
      <c r="M511" t="inlineStr"/>
      <c r="N511" t="inlineStr">
        <is>
          <t xml:space="preserve">INSCRIPTIONES.|| VETVSTAE. ROMAN. ET EARVM FRAGMEN||TA. IN AVGVSTA VINDELICORVM. ET : </t>
        </is>
      </c>
      <c r="O511" t="inlineStr">
        <is>
          <t xml:space="preserve"> : </t>
        </is>
      </c>
      <c r="P511" t="inlineStr"/>
      <c r="Q511" t="inlineStr"/>
      <c r="R511" t="inlineStr"/>
      <c r="S511" t="inlineStr"/>
      <c r="T511" t="inlineStr"/>
      <c r="U511" t="inlineStr"/>
      <c r="V511" t="inlineStr"/>
      <c r="W511" t="inlineStr"/>
      <c r="X511" t="inlineStr"/>
      <c r="Y511" t="inlineStr"/>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inlineStr"/>
      <c r="BI511" t="inlineStr"/>
      <c r="BJ511" t="inlineStr"/>
      <c r="BK511" t="inlineStr"/>
      <c r="BL511" t="inlineStr"/>
      <c r="BM511" t="inlineStr"/>
      <c r="BN511" t="n">
        <v>0</v>
      </c>
      <c r="BO511" t="inlineStr"/>
      <c r="BP511" t="inlineStr"/>
      <c r="BQ511" t="inlineStr"/>
      <c r="BR511" t="inlineStr"/>
      <c r="BS511" t="inlineStr"/>
      <c r="BT511" t="inlineStr"/>
      <c r="BU511" t="inlineStr"/>
      <c r="BV511" t="inlineStr"/>
      <c r="BW511" t="inlineStr"/>
      <c r="BX511" t="inlineStr"/>
      <c r="BY511" t="inlineStr"/>
      <c r="BZ511" t="inlineStr"/>
      <c r="CA511" t="inlineStr"/>
      <c r="CB511" t="inlineStr"/>
      <c r="CC511" t="inlineStr"/>
      <c r="CD511" t="inlineStr"/>
      <c r="CE511" t="inlineStr"/>
      <c r="CF511" t="inlineStr"/>
      <c r="CG511" t="inlineStr"/>
      <c r="CH511" t="inlineStr"/>
      <c r="CI511" t="inlineStr"/>
      <c r="CJ511" t="inlineStr"/>
      <c r="CK511" t="inlineStr"/>
      <c r="CL511" t="inlineStr"/>
      <c r="CM511" t="inlineStr"/>
      <c r="CN511" t="inlineStr"/>
      <c r="CO511" t="inlineStr"/>
      <c r="CP511" t="inlineStr"/>
      <c r="CQ511" t="inlineStr"/>
      <c r="CR511" t="inlineStr"/>
      <c r="CS511" t="inlineStr"/>
      <c r="CT511" t="inlineStr"/>
      <c r="CU511" t="inlineStr"/>
      <c r="CV511" t="inlineStr"/>
      <c r="CW511" t="inlineStr"/>
      <c r="CX511" t="inlineStr"/>
      <c r="CY511" t="inlineStr"/>
      <c r="CZ511" t="inlineStr"/>
      <c r="DA511" t="inlineStr"/>
      <c r="DB511" t="inlineStr"/>
      <c r="DC511" t="inlineStr"/>
      <c r="DD511" t="inlineStr"/>
      <c r="DE511" t="inlineStr"/>
      <c r="DF511" t="inlineStr"/>
      <c r="DG511" t="inlineStr"/>
    </row>
    <row r="512">
      <c r="A512" t="inlineStr">
        <is>
          <t>III</t>
        </is>
      </c>
      <c r="B512" t="b">
        <v>1</v>
      </c>
      <c r="C512" t="inlineStr">
        <is>
          <t>x</t>
        </is>
      </c>
      <c r="D512" t="inlineStr"/>
      <c r="E512" t="n">
        <v>580</v>
      </c>
      <c r="F512">
        <f>HYPERLINK("https://portal.dnb.de/opac.htm?method=simpleSearch&amp;cqlMode=true&amp;query=idn%3D1066956545", "Portal")</f>
        <v/>
      </c>
      <c r="G512" t="inlineStr">
        <is>
          <t>Aaf</t>
        </is>
      </c>
      <c r="H512" t="inlineStr">
        <is>
          <t>L-1525-315487216</t>
        </is>
      </c>
      <c r="I512" t="inlineStr">
        <is>
          <t>1066956545</t>
        </is>
      </c>
      <c r="J512" t="inlineStr">
        <is>
          <t>III 60, 36</t>
        </is>
      </c>
      <c r="K512" t="inlineStr">
        <is>
          <t>III 60, 36</t>
        </is>
      </c>
      <c r="L512" t="inlineStr">
        <is>
          <t>III 60, 36</t>
        </is>
      </c>
      <c r="M512" t="inlineStr"/>
      <c r="N512" t="inlineStr">
        <is>
          <t xml:space="preserve">COLLECTA||NEA ANTI||QVITATVM IN VR||BE, ATQVE AGRO MOGVNTINO RE=||PERTARVM.|| : </t>
        </is>
      </c>
      <c r="O512" t="inlineStr">
        <is>
          <t xml:space="preserve"> : </t>
        </is>
      </c>
      <c r="P512" t="inlineStr"/>
      <c r="Q512" t="inlineStr"/>
      <c r="R512" t="inlineStr"/>
      <c r="S512" t="inlineStr">
        <is>
          <t>bis 35 cm</t>
        </is>
      </c>
      <c r="T512" t="inlineStr"/>
      <c r="U512" t="inlineStr"/>
      <c r="V512" t="inlineStr"/>
      <c r="W512" t="inlineStr"/>
      <c r="X512" t="inlineStr"/>
      <c r="Y512" t="inlineStr"/>
      <c r="Z512" t="inlineStr"/>
      <c r="AA512" t="inlineStr"/>
      <c r="AB512" t="inlineStr"/>
      <c r="AC512" t="inlineStr"/>
      <c r="AD512" t="inlineStr"/>
      <c r="AE512" t="inlineStr"/>
      <c r="AF512" t="inlineStr"/>
      <c r="AG512" t="inlineStr"/>
      <c r="AH512" t="inlineStr"/>
      <c r="AI512" t="inlineStr">
        <is>
          <t>L</t>
        </is>
      </c>
      <c r="AJ512" t="inlineStr"/>
      <c r="AK512" t="inlineStr"/>
      <c r="AL512" t="inlineStr"/>
      <c r="AM512" t="inlineStr">
        <is>
          <t>f/V</t>
        </is>
      </c>
      <c r="AN512" t="inlineStr"/>
      <c r="AO512" t="inlineStr"/>
      <c r="AP512" t="inlineStr"/>
      <c r="AQ512" t="inlineStr"/>
      <c r="AR512" t="inlineStr"/>
      <c r="AS512" t="inlineStr">
        <is>
          <t>Pa</t>
        </is>
      </c>
      <c r="AT512" t="inlineStr"/>
      <c r="AU512" t="inlineStr"/>
      <c r="AV512" t="inlineStr"/>
      <c r="AW512" t="inlineStr"/>
      <c r="AX512" t="inlineStr"/>
      <c r="AY512" t="inlineStr"/>
      <c r="AZ512" t="inlineStr"/>
      <c r="BA512" t="inlineStr"/>
      <c r="BB512" t="inlineStr"/>
      <c r="BC512" t="inlineStr"/>
      <c r="BD512" t="inlineStr"/>
      <c r="BE512" t="inlineStr"/>
      <c r="BF512" t="inlineStr"/>
      <c r="BG512" t="n">
        <v>80</v>
      </c>
      <c r="BH512" t="inlineStr"/>
      <c r="BI512" t="inlineStr"/>
      <c r="BJ512" t="inlineStr"/>
      <c r="BK512" t="inlineStr"/>
      <c r="BL512" t="inlineStr"/>
      <c r="BM512" t="inlineStr">
        <is>
          <t>ja vor</t>
        </is>
      </c>
      <c r="BN512" t="n">
        <v>1</v>
      </c>
      <c r="BO512" t="inlineStr"/>
      <c r="BP512" t="inlineStr"/>
      <c r="BQ512" t="inlineStr"/>
      <c r="BR512" t="inlineStr"/>
      <c r="BS512" t="inlineStr"/>
      <c r="BT512" t="inlineStr"/>
      <c r="BU512" t="inlineStr"/>
      <c r="BV512" t="inlineStr"/>
      <c r="BW512" t="inlineStr"/>
      <c r="BX512" t="inlineStr"/>
      <c r="BY512" t="inlineStr"/>
      <c r="BZ512" t="inlineStr">
        <is>
          <t>x</t>
        </is>
      </c>
      <c r="CA512" t="inlineStr">
        <is>
          <t>x</t>
        </is>
      </c>
      <c r="CB512" t="inlineStr">
        <is>
          <t>x</t>
        </is>
      </c>
      <c r="CC512" t="inlineStr"/>
      <c r="CD512" t="inlineStr">
        <is>
          <t>v</t>
        </is>
      </c>
      <c r="CE512" t="inlineStr"/>
      <c r="CF512" t="inlineStr"/>
      <c r="CG512" t="inlineStr"/>
      <c r="CH512" t="inlineStr"/>
      <c r="CI512" t="inlineStr"/>
      <c r="CJ512" t="inlineStr"/>
      <c r="CK512" t="inlineStr"/>
      <c r="CL512" t="inlineStr"/>
      <c r="CM512" t="n">
        <v>1</v>
      </c>
      <c r="CN512" t="inlineStr">
        <is>
          <t>Leder am Rücken fixieren (ggf. JP einsetzen), Gelenk belassen (ist stabil)</t>
        </is>
      </c>
      <c r="CO512" t="inlineStr"/>
      <c r="CP512" t="inlineStr"/>
      <c r="CQ512" t="inlineStr"/>
      <c r="CR512" t="inlineStr"/>
      <c r="CS512" t="inlineStr"/>
      <c r="CT512" t="inlineStr"/>
      <c r="CU512" t="inlineStr"/>
      <c r="CV512" t="inlineStr"/>
      <c r="CW512" t="inlineStr"/>
      <c r="CX512" t="inlineStr"/>
      <c r="CY512" t="inlineStr"/>
      <c r="CZ512" t="inlineStr"/>
      <c r="DA512" t="inlineStr"/>
      <c r="DB512" t="inlineStr"/>
      <c r="DC512" t="inlineStr"/>
      <c r="DD512" t="inlineStr"/>
      <c r="DE512" t="inlineStr"/>
      <c r="DF512" t="inlineStr"/>
      <c r="DG512" t="inlineStr"/>
    </row>
    <row r="513">
      <c r="A513" t="inlineStr">
        <is>
          <t>III</t>
        </is>
      </c>
      <c r="B513" t="b">
        <v>1</v>
      </c>
      <c r="C513" t="inlineStr"/>
      <c r="D513" t="inlineStr"/>
      <c r="E513" t="n">
        <v>581</v>
      </c>
      <c r="F513">
        <f>HYPERLINK("https://portal.dnb.de/opac.htm?method=simpleSearch&amp;cqlMode=true&amp;query=idn%3D1066959617", "Portal")</f>
        <v/>
      </c>
      <c r="G513" t="inlineStr">
        <is>
          <t>Aaf</t>
        </is>
      </c>
      <c r="H513" t="inlineStr">
        <is>
          <t>L-1525-315490144</t>
        </is>
      </c>
      <c r="I513" t="inlineStr">
        <is>
          <t>1066959617</t>
        </is>
      </c>
      <c r="J513" t="inlineStr">
        <is>
          <t>III 60, 37</t>
        </is>
      </c>
      <c r="K513" t="inlineStr">
        <is>
          <t>III 60, 37</t>
        </is>
      </c>
      <c r="L513" t="inlineStr">
        <is>
          <t>III 60, 37</t>
        </is>
      </c>
      <c r="M513" t="inlineStr"/>
      <c r="N513" t="inlineStr">
        <is>
          <t>CANONES APO=||STOLORVM|| VETERVM CONCI||LIORVM CONSTI||TVTIONES|| DECRETA PONTI||FICVM ANTI=||QVIORA|| DE PRIMATV ROMA=||NAE ECCLESIAE.|| Ex tribus ue</t>
        </is>
      </c>
      <c r="O513" t="inlineStr">
        <is>
          <t xml:space="preserve"> : </t>
        </is>
      </c>
      <c r="P513" t="inlineStr">
        <is>
          <t>X</t>
        </is>
      </c>
      <c r="Q513" t="inlineStr"/>
      <c r="R513" t="inlineStr">
        <is>
          <t>Halbledereinband, Schließen, erhabene Buchbeschläge</t>
        </is>
      </c>
      <c r="S513" t="inlineStr">
        <is>
          <t>bis 35 cm</t>
        </is>
      </c>
      <c r="T513" t="inlineStr">
        <is>
          <t>80° bis 110°, einseitig digitalisierbar?</t>
        </is>
      </c>
      <c r="U513" t="inlineStr">
        <is>
          <t>fester Rücken mit Schmuckprägung</t>
        </is>
      </c>
      <c r="V513" t="inlineStr"/>
      <c r="W513" t="inlineStr">
        <is>
          <t>Buchschuh</t>
        </is>
      </c>
      <c r="X513" t="inlineStr">
        <is>
          <t>Nein</t>
        </is>
      </c>
      <c r="Y513" t="n">
        <v>1</v>
      </c>
      <c r="Z513" t="inlineStr"/>
      <c r="AA513" t="inlineStr"/>
      <c r="AB513" t="inlineStr"/>
      <c r="AC513" t="inlineStr"/>
      <c r="AD513" t="inlineStr"/>
      <c r="AE513" t="inlineStr"/>
      <c r="AF513" t="inlineStr"/>
      <c r="AG513" t="inlineStr"/>
      <c r="AH513" t="inlineStr"/>
      <c r="AI513" t="inlineStr">
        <is>
          <t>HD</t>
        </is>
      </c>
      <c r="AJ513" t="inlineStr"/>
      <c r="AK513" t="inlineStr">
        <is>
          <t>x</t>
        </is>
      </c>
      <c r="AL513" t="inlineStr"/>
      <c r="AM513" t="inlineStr">
        <is>
          <t>f/V</t>
        </is>
      </c>
      <c r="AN513" t="inlineStr"/>
      <c r="AO513" t="inlineStr"/>
      <c r="AP513" t="inlineStr"/>
      <c r="AQ513" t="inlineStr"/>
      <c r="AR513" t="inlineStr"/>
      <c r="AS513" t="inlineStr">
        <is>
          <t>Pa</t>
        </is>
      </c>
      <c r="AT513" t="inlineStr"/>
      <c r="AU513" t="inlineStr"/>
      <c r="AV513" t="inlineStr"/>
      <c r="AW513" t="inlineStr"/>
      <c r="AX513" t="inlineStr"/>
      <c r="AY513" t="inlineStr"/>
      <c r="AZ513" t="inlineStr"/>
      <c r="BA513" t="inlineStr"/>
      <c r="BB513" t="inlineStr"/>
      <c r="BC513" t="inlineStr"/>
      <c r="BD513" t="inlineStr"/>
      <c r="BE513" t="inlineStr"/>
      <c r="BF513" t="inlineStr"/>
      <c r="BG513" t="n">
        <v>45</v>
      </c>
      <c r="BH513" t="inlineStr"/>
      <c r="BI513" t="inlineStr"/>
      <c r="BJ513" t="inlineStr"/>
      <c r="BK513" t="inlineStr"/>
      <c r="BL513" t="inlineStr"/>
      <c r="BM513" t="inlineStr">
        <is>
          <t>n</t>
        </is>
      </c>
      <c r="BN513" t="n">
        <v>0</v>
      </c>
      <c r="BO513" t="inlineStr"/>
      <c r="BP513" t="inlineStr"/>
      <c r="BQ513" t="inlineStr"/>
      <c r="BR513" t="inlineStr">
        <is>
          <t>x</t>
        </is>
      </c>
      <c r="BS513" t="inlineStr"/>
      <c r="BT513" t="inlineStr"/>
      <c r="BU513" t="inlineStr"/>
      <c r="BV513" t="inlineStr">
        <is>
          <t>Schaden stabil</t>
        </is>
      </c>
      <c r="BW513" t="inlineStr"/>
      <c r="BX513" t="inlineStr"/>
      <c r="BY513" t="inlineStr"/>
      <c r="BZ513" t="inlineStr"/>
      <c r="CA513" t="inlineStr"/>
      <c r="CB513" t="inlineStr"/>
      <c r="CC513" t="inlineStr"/>
      <c r="CD513" t="inlineStr"/>
      <c r="CE513" t="inlineStr"/>
      <c r="CF513" t="inlineStr"/>
      <c r="CG513" t="inlineStr"/>
      <c r="CH513" t="inlineStr"/>
      <c r="CI513" t="inlineStr"/>
      <c r="CJ513" t="inlineStr"/>
      <c r="CK513" t="inlineStr"/>
      <c r="CL513" t="inlineStr"/>
      <c r="CM513" t="inlineStr"/>
      <c r="CN513" t="inlineStr"/>
      <c r="CO513" t="inlineStr"/>
      <c r="CP513" t="inlineStr"/>
      <c r="CQ513" t="inlineStr"/>
      <c r="CR513" t="inlineStr"/>
      <c r="CS513" t="inlineStr"/>
      <c r="CT513" t="inlineStr"/>
      <c r="CU513" t="inlineStr"/>
      <c r="CV513" t="inlineStr"/>
      <c r="CW513" t="inlineStr"/>
      <c r="CX513" t="inlineStr"/>
      <c r="CY513" t="inlineStr"/>
      <c r="CZ513" t="inlineStr"/>
      <c r="DA513" t="inlineStr"/>
      <c r="DB513" t="inlineStr"/>
      <c r="DC513" t="inlineStr"/>
      <c r="DD513" t="inlineStr"/>
      <c r="DE513" t="inlineStr"/>
      <c r="DF513" t="inlineStr"/>
      <c r="DG513" t="inlineStr"/>
    </row>
    <row r="514">
      <c r="A514" t="inlineStr">
        <is>
          <t>III</t>
        </is>
      </c>
      <c r="B514" t="b">
        <v>1</v>
      </c>
      <c r="C514" t="inlineStr"/>
      <c r="D514" t="inlineStr"/>
      <c r="E514" t="n">
        <v>582</v>
      </c>
      <c r="F514">
        <f>HYPERLINK("https://portal.dnb.de/opac.htm?method=simpleSearch&amp;cqlMode=true&amp;query=idn%3D1066961484", "Portal")</f>
        <v/>
      </c>
      <c r="G514" t="inlineStr">
        <is>
          <t>Aaf</t>
        </is>
      </c>
      <c r="H514" t="inlineStr">
        <is>
          <t>L-1521-315491876</t>
        </is>
      </c>
      <c r="I514" t="inlineStr">
        <is>
          <t>1066961484</t>
        </is>
      </c>
      <c r="J514" t="inlineStr">
        <is>
          <t>III 60, 38</t>
        </is>
      </c>
      <c r="K514" t="inlineStr">
        <is>
          <t>III 60, 38</t>
        </is>
      </c>
      <c r="L514" t="inlineStr">
        <is>
          <t>III 60, 38</t>
        </is>
      </c>
      <c r="M514" t="inlineStr"/>
      <c r="N514" t="inlineStr">
        <is>
          <t>Die @verteütscht Epistel|| Herñ Ersmus von Roterdam/|| vor seinem handtbüchlein von|| dem Christlichen Ritter/|| mit vil Christlichen|| vnterweysung||</t>
        </is>
      </c>
      <c r="O514" t="inlineStr">
        <is>
          <t xml:space="preserve"> : </t>
        </is>
      </c>
      <c r="P514" t="inlineStr"/>
      <c r="Q514" t="inlineStr"/>
      <c r="R514" t="inlineStr"/>
      <c r="S514" t="inlineStr"/>
      <c r="T514" t="inlineStr"/>
      <c r="U514" t="inlineStr"/>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inlineStr"/>
      <c r="BI514" t="inlineStr"/>
      <c r="BJ514" t="inlineStr"/>
      <c r="BK514" t="inlineStr"/>
      <c r="BL514" t="inlineStr"/>
      <c r="BM514" t="inlineStr"/>
      <c r="BN514" t="n">
        <v>0</v>
      </c>
      <c r="BO514" t="inlineStr"/>
      <c r="BP514" t="inlineStr"/>
      <c r="BQ514" t="inlineStr"/>
      <c r="BR514" t="inlineStr"/>
      <c r="BS514" t="inlineStr"/>
      <c r="BT514" t="inlineStr"/>
      <c r="BU514" t="inlineStr"/>
      <c r="BV514" t="inlineStr"/>
      <c r="BW514" t="inlineStr"/>
      <c r="BX514" t="inlineStr"/>
      <c r="BY514" t="inlineStr"/>
      <c r="BZ514" t="inlineStr"/>
      <c r="CA514" t="inlineStr"/>
      <c r="CB514" t="inlineStr"/>
      <c r="CC514" t="inlineStr"/>
      <c r="CD514" t="inlineStr"/>
      <c r="CE514" t="inlineStr"/>
      <c r="CF514" t="inlineStr"/>
      <c r="CG514" t="inlineStr"/>
      <c r="CH514" t="inlineStr"/>
      <c r="CI514" t="inlineStr"/>
      <c r="CJ514" t="inlineStr"/>
      <c r="CK514" t="inlineStr"/>
      <c r="CL514" t="inlineStr"/>
      <c r="CM514" t="inlineStr"/>
      <c r="CN514" t="inlineStr"/>
      <c r="CO514" t="inlineStr"/>
      <c r="CP514" t="inlineStr"/>
      <c r="CQ514" t="inlineStr"/>
      <c r="CR514" t="inlineStr"/>
      <c r="CS514" t="inlineStr"/>
      <c r="CT514" t="inlineStr"/>
      <c r="CU514" t="inlineStr"/>
      <c r="CV514" t="inlineStr"/>
      <c r="CW514" t="inlineStr"/>
      <c r="CX514" t="inlineStr"/>
      <c r="CY514" t="inlineStr"/>
      <c r="CZ514" t="inlineStr"/>
      <c r="DA514" t="inlineStr"/>
      <c r="DB514" t="inlineStr"/>
      <c r="DC514" t="inlineStr"/>
      <c r="DD514" t="inlineStr"/>
      <c r="DE514" t="inlineStr"/>
      <c r="DF514" t="inlineStr"/>
      <c r="DG514" t="inlineStr"/>
    </row>
    <row r="515">
      <c r="A515" t="inlineStr">
        <is>
          <t>III</t>
        </is>
      </c>
      <c r="B515" t="b">
        <v>1</v>
      </c>
      <c r="C515" t="inlineStr"/>
      <c r="D515" t="inlineStr"/>
      <c r="E515" t="n">
        <v>583</v>
      </c>
      <c r="F515">
        <f>HYPERLINK("https://portal.dnb.de/opac.htm?method=simpleSearch&amp;cqlMode=true&amp;query=idn%3D1066961662", "Portal")</f>
        <v/>
      </c>
      <c r="G515" t="inlineStr">
        <is>
          <t>Aaf</t>
        </is>
      </c>
      <c r="H515" t="inlineStr">
        <is>
          <t>L-1527-315492066</t>
        </is>
      </c>
      <c r="I515" t="inlineStr">
        <is>
          <t>1066961662</t>
        </is>
      </c>
      <c r="J515" t="inlineStr">
        <is>
          <t>III 60, 39</t>
        </is>
      </c>
      <c r="K515" t="inlineStr">
        <is>
          <t>III 60, 39</t>
        </is>
      </c>
      <c r="L515" t="inlineStr">
        <is>
          <t>III 60, 39</t>
        </is>
      </c>
      <c r="M515" t="inlineStr"/>
      <c r="N515" t="inlineStr">
        <is>
          <t xml:space="preserve">PRO DIVO : </t>
        </is>
      </c>
      <c r="O515" t="inlineStr">
        <is>
          <t xml:space="preserve"> : </t>
        </is>
      </c>
      <c r="P515" t="inlineStr"/>
      <c r="Q515" t="inlineStr"/>
      <c r="R515" t="inlineStr"/>
      <c r="S515" t="inlineStr"/>
      <c r="T515" t="inlineStr"/>
      <c r="U515" t="inlineStr"/>
      <c r="V515" t="inlineStr"/>
      <c r="W515" t="inlineStr"/>
      <c r="X515" t="inlineStr"/>
      <c r="Y515" t="inlineStr"/>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inlineStr"/>
      <c r="BI515" t="inlineStr"/>
      <c r="BJ515" t="inlineStr"/>
      <c r="BK515" t="inlineStr"/>
      <c r="BL515" t="inlineStr"/>
      <c r="BM515" t="inlineStr"/>
      <c r="BN515" t="n">
        <v>0</v>
      </c>
      <c r="BO515" t="inlineStr"/>
      <c r="BP515" t="inlineStr"/>
      <c r="BQ515" t="inlineStr"/>
      <c r="BR515" t="inlineStr"/>
      <c r="BS515" t="inlineStr"/>
      <c r="BT515" t="inlineStr"/>
      <c r="BU515" t="inlineStr"/>
      <c r="BV515" t="inlineStr"/>
      <c r="BW515" t="inlineStr"/>
      <c r="BX515" t="inlineStr"/>
      <c r="BY515" t="inlineStr"/>
      <c r="BZ515" t="inlineStr"/>
      <c r="CA515" t="inlineStr"/>
      <c r="CB515" t="inlineStr"/>
      <c r="CC515" t="inlineStr"/>
      <c r="CD515" t="inlineStr"/>
      <c r="CE515" t="inlineStr"/>
      <c r="CF515" t="inlineStr"/>
      <c r="CG515" t="inlineStr"/>
      <c r="CH515" t="inlineStr"/>
      <c r="CI515" t="inlineStr"/>
      <c r="CJ515" t="inlineStr"/>
      <c r="CK515" t="inlineStr"/>
      <c r="CL515" t="inlineStr"/>
      <c r="CM515" t="inlineStr"/>
      <c r="CN515" t="inlineStr"/>
      <c r="CO515" t="inlineStr"/>
      <c r="CP515" t="inlineStr"/>
      <c r="CQ515" t="inlineStr"/>
      <c r="CR515" t="inlineStr"/>
      <c r="CS515" t="inlineStr"/>
      <c r="CT515" t="inlineStr"/>
      <c r="CU515" t="inlineStr"/>
      <c r="CV515" t="inlineStr"/>
      <c r="CW515" t="inlineStr"/>
      <c r="CX515" t="inlineStr"/>
      <c r="CY515" t="inlineStr"/>
      <c r="CZ515" t="inlineStr"/>
      <c r="DA515" t="inlineStr"/>
      <c r="DB515" t="inlineStr"/>
      <c r="DC515" t="inlineStr"/>
      <c r="DD515" t="inlineStr"/>
      <c r="DE515" t="inlineStr"/>
      <c r="DF515" t="inlineStr"/>
      <c r="DG515" t="inlineStr"/>
    </row>
    <row r="516">
      <c r="A516" t="inlineStr">
        <is>
          <t>III</t>
        </is>
      </c>
      <c r="B516" t="b">
        <v>1</v>
      </c>
      <c r="C516" t="inlineStr"/>
      <c r="D516" t="inlineStr"/>
      <c r="E516" t="n">
        <v>584</v>
      </c>
      <c r="F516">
        <f>HYPERLINK("https://portal.dnb.de/opac.htm?method=simpleSearch&amp;cqlMode=true&amp;query=idn%3D1066874581", "Portal")</f>
        <v/>
      </c>
      <c r="G516" t="inlineStr">
        <is>
          <t>Aaf</t>
        </is>
      </c>
      <c r="H516" t="inlineStr">
        <is>
          <t>L-1529-315332352</t>
        </is>
      </c>
      <c r="I516" t="inlineStr">
        <is>
          <t>1066874581</t>
        </is>
      </c>
      <c r="J516" t="inlineStr">
        <is>
          <t>III 60, 40</t>
        </is>
      </c>
      <c r="K516" t="inlineStr">
        <is>
          <t>III 60, 40</t>
        </is>
      </c>
      <c r="L516" t="inlineStr">
        <is>
          <t>III 60, 40</t>
        </is>
      </c>
      <c r="M516" t="inlineStr"/>
      <c r="N516" t="inlineStr">
        <is>
          <t xml:space="preserve">DIVI|| IMP. IVSTINIA=||ni Institutionum siue : </t>
        </is>
      </c>
      <c r="O516" t="inlineStr">
        <is>
          <t xml:space="preserve"> : </t>
        </is>
      </c>
      <c r="P516" t="inlineStr">
        <is>
          <t>X</t>
        </is>
      </c>
      <c r="Q516" t="inlineStr"/>
      <c r="R516" t="inlineStr">
        <is>
          <t>Ledereinband</t>
        </is>
      </c>
      <c r="S516" t="inlineStr">
        <is>
          <t>bis 25 cm</t>
        </is>
      </c>
      <c r="T516" t="inlineStr">
        <is>
          <t>80° bis 110°, einseitig digitalisierbar?</t>
        </is>
      </c>
      <c r="U516" t="inlineStr">
        <is>
          <t>fester Rücken mit Schmuckprägung, Schrift bis in den Falz</t>
        </is>
      </c>
      <c r="V516" t="inlineStr"/>
      <c r="W516" t="inlineStr">
        <is>
          <t>Kassette</t>
        </is>
      </c>
      <c r="X516" t="inlineStr">
        <is>
          <t>Nein</t>
        </is>
      </c>
      <c r="Y516" t="n">
        <v>0</v>
      </c>
      <c r="Z516" t="inlineStr"/>
      <c r="AA516" t="inlineStr">
        <is>
          <t>Originaleinband mit Schließen extra in Kassette</t>
        </is>
      </c>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inlineStr"/>
      <c r="BI516" t="inlineStr"/>
      <c r="BJ516" t="inlineStr"/>
      <c r="BK516" t="inlineStr"/>
      <c r="BL516" t="inlineStr"/>
      <c r="BM516" t="inlineStr"/>
      <c r="BN516" t="n">
        <v>0</v>
      </c>
      <c r="BO516" t="inlineStr"/>
      <c r="BP516" t="inlineStr"/>
      <c r="BQ516" t="inlineStr"/>
      <c r="BR516" t="inlineStr"/>
      <c r="BS516" t="inlineStr"/>
      <c r="BT516" t="inlineStr"/>
      <c r="BU516" t="inlineStr"/>
      <c r="BV516" t="inlineStr"/>
      <c r="BW516" t="inlineStr"/>
      <c r="BX516" t="inlineStr"/>
      <c r="BY516" t="inlineStr"/>
      <c r="BZ516" t="inlineStr"/>
      <c r="CA516" t="inlineStr"/>
      <c r="CB516" t="inlineStr"/>
      <c r="CC516" t="inlineStr"/>
      <c r="CD516" t="inlineStr"/>
      <c r="CE516" t="inlineStr"/>
      <c r="CF516" t="inlineStr"/>
      <c r="CG516" t="inlineStr"/>
      <c r="CH516" t="inlineStr"/>
      <c r="CI516" t="inlineStr"/>
      <c r="CJ516" t="inlineStr"/>
      <c r="CK516" t="inlineStr"/>
      <c r="CL516" t="inlineStr"/>
      <c r="CM516" t="inlineStr"/>
      <c r="CN516" t="inlineStr"/>
      <c r="CO516" t="inlineStr"/>
      <c r="CP516" t="inlineStr"/>
      <c r="CQ516" t="inlineStr"/>
      <c r="CR516" t="inlineStr"/>
      <c r="CS516" t="inlineStr"/>
      <c r="CT516" t="inlineStr"/>
      <c r="CU516" t="inlineStr"/>
      <c r="CV516" t="inlineStr"/>
      <c r="CW516" t="inlineStr"/>
      <c r="CX516" t="inlineStr"/>
      <c r="CY516" t="inlineStr"/>
      <c r="CZ516" t="inlineStr"/>
      <c r="DA516" t="inlineStr"/>
      <c r="DB516" t="inlineStr"/>
      <c r="DC516" t="inlineStr"/>
      <c r="DD516" t="inlineStr"/>
      <c r="DE516" t="inlineStr"/>
      <c r="DF516" t="inlineStr"/>
      <c r="DG516" t="inlineStr"/>
    </row>
    <row r="517">
      <c r="A517" t="inlineStr">
        <is>
          <t>III</t>
        </is>
      </c>
      <c r="B517" t="b">
        <v>1</v>
      </c>
      <c r="C517" t="inlineStr"/>
      <c r="D517" t="inlineStr"/>
      <c r="E517" t="n">
        <v>585</v>
      </c>
      <c r="F517">
        <f>HYPERLINK("https://portal.dnb.de/opac.htm?method=simpleSearch&amp;cqlMode=true&amp;query=idn%3D1066847827", "Portal")</f>
        <v/>
      </c>
      <c r="G517" t="inlineStr">
        <is>
          <t>Aaf</t>
        </is>
      </c>
      <c r="H517" t="inlineStr">
        <is>
          <t>L-1529-31530698X</t>
        </is>
      </c>
      <c r="I517" t="inlineStr">
        <is>
          <t>1066847827</t>
        </is>
      </c>
      <c r="J517" t="inlineStr">
        <is>
          <t>III 60, 41</t>
        </is>
      </c>
      <c r="K517" t="inlineStr">
        <is>
          <t>III 60, 41</t>
        </is>
      </c>
      <c r="L517" t="inlineStr">
        <is>
          <t>III 60, 41</t>
        </is>
      </c>
      <c r="M517" t="inlineStr"/>
      <c r="N517" t="inlineStr">
        <is>
          <t>Doctor Jo=||hann Fabri.|| Christenliche ableynung|| des erschröckenlichen yrrsal/ sov Caspar schwēckfelder in der Schle=||sy/ wyd' die warheyt des hoc</t>
        </is>
      </c>
      <c r="O517" t="inlineStr">
        <is>
          <t xml:space="preserve"> : </t>
        </is>
      </c>
      <c r="P517" t="inlineStr"/>
      <c r="Q517" t="inlineStr"/>
      <c r="R517" t="inlineStr"/>
      <c r="S517" t="inlineStr"/>
      <c r="T517" t="inlineStr"/>
      <c r="U517" t="inlineStr"/>
      <c r="V517" t="inlineStr"/>
      <c r="W517" t="inlineStr"/>
      <c r="X517" t="inlineStr"/>
      <c r="Y517" t="inlineStr"/>
      <c r="Z517" t="inlineStr"/>
      <c r="AA517" t="inlineStr"/>
      <c r="AB517" t="inlineStr"/>
      <c r="AC517" t="inlineStr"/>
      <c r="AD517" t="inlineStr"/>
      <c r="AE517" t="inlineStr"/>
      <c r="AF517" t="inlineStr"/>
      <c r="AG517" t="inlineStr"/>
      <c r="AH517" t="inlineStr"/>
      <c r="AI517" t="inlineStr"/>
      <c r="AJ517" t="inlineStr"/>
      <c r="AK517" t="inlineStr"/>
      <c r="AL517" t="inlineStr"/>
      <c r="AM517" t="inlineStr"/>
      <c r="AN517" t="inlineStr"/>
      <c r="AO517" t="inlineStr"/>
      <c r="AP517" t="inlineStr"/>
      <c r="AQ517" t="inlineStr"/>
      <c r="AR517" t="inlineStr"/>
      <c r="AS517" t="inlineStr"/>
      <c r="AT517" t="inlineStr"/>
      <c r="AU517" t="inlineStr"/>
      <c r="AV517" t="inlineStr"/>
      <c r="AW517" t="inlineStr"/>
      <c r="AX517" t="inlineStr"/>
      <c r="AY517" t="inlineStr"/>
      <c r="AZ517" t="inlineStr"/>
      <c r="BA517" t="inlineStr"/>
      <c r="BB517" t="inlineStr"/>
      <c r="BC517" t="inlineStr"/>
      <c r="BD517" t="inlineStr"/>
      <c r="BE517" t="inlineStr"/>
      <c r="BF517" t="inlineStr"/>
      <c r="BG517" t="inlineStr"/>
      <c r="BH517" t="inlineStr"/>
      <c r="BI517" t="inlineStr"/>
      <c r="BJ517" t="inlineStr"/>
      <c r="BK517" t="inlineStr"/>
      <c r="BL517" t="inlineStr"/>
      <c r="BM517" t="inlineStr"/>
      <c r="BN517" t="n">
        <v>0</v>
      </c>
      <c r="BO517" t="inlineStr"/>
      <c r="BP517" t="inlineStr"/>
      <c r="BQ517" t="inlineStr"/>
      <c r="BR517" t="inlineStr"/>
      <c r="BS517" t="inlineStr"/>
      <c r="BT517" t="inlineStr"/>
      <c r="BU517" t="inlineStr"/>
      <c r="BV517" t="inlineStr"/>
      <c r="BW517" t="inlineStr"/>
      <c r="BX517" t="inlineStr"/>
      <c r="BY517" t="inlineStr"/>
      <c r="BZ517" t="inlineStr"/>
      <c r="CA517" t="inlineStr"/>
      <c r="CB517" t="inlineStr"/>
      <c r="CC517" t="inlineStr"/>
      <c r="CD517" t="inlineStr"/>
      <c r="CE517" t="inlineStr"/>
      <c r="CF517" t="inlineStr"/>
      <c r="CG517" t="inlineStr"/>
      <c r="CH517" t="inlineStr"/>
      <c r="CI517" t="inlineStr"/>
      <c r="CJ517" t="inlineStr"/>
      <c r="CK517" t="inlineStr"/>
      <c r="CL517" t="inlineStr"/>
      <c r="CM517" t="inlineStr"/>
      <c r="CN517" t="inlineStr"/>
      <c r="CO517" t="inlineStr"/>
      <c r="CP517" t="inlineStr"/>
      <c r="CQ517" t="inlineStr"/>
      <c r="CR517" t="inlineStr"/>
      <c r="CS517" t="inlineStr"/>
      <c r="CT517" t="inlineStr"/>
      <c r="CU517" t="inlineStr"/>
      <c r="CV517" t="inlineStr"/>
      <c r="CW517" t="inlineStr"/>
      <c r="CX517" t="inlineStr"/>
      <c r="CY517" t="inlineStr"/>
      <c r="CZ517" t="inlineStr"/>
      <c r="DA517" t="inlineStr"/>
      <c r="DB517" t="inlineStr"/>
      <c r="DC517" t="inlineStr"/>
      <c r="DD517" t="inlineStr"/>
      <c r="DE517" t="inlineStr"/>
      <c r="DF517" t="inlineStr"/>
      <c r="DG517" t="inlineStr"/>
    </row>
    <row r="518">
      <c r="A518" t="inlineStr">
        <is>
          <t>III</t>
        </is>
      </c>
      <c r="B518" t="b">
        <v>1</v>
      </c>
      <c r="C518" t="inlineStr"/>
      <c r="D518" t="inlineStr"/>
      <c r="E518" t="n">
        <v>586</v>
      </c>
      <c r="F518">
        <f>HYPERLINK("https://portal.dnb.de/opac.htm?method=simpleSearch&amp;cqlMode=true&amp;query=idn%3D1002646758", "Portal")</f>
        <v/>
      </c>
      <c r="G518" t="inlineStr">
        <is>
          <t>Aal</t>
        </is>
      </c>
      <c r="H518" t="inlineStr">
        <is>
          <t>L-1529-17775334X</t>
        </is>
      </c>
      <c r="I518" t="inlineStr">
        <is>
          <t>1002646758</t>
        </is>
      </c>
      <c r="J518" t="inlineStr">
        <is>
          <t>III 60, 42</t>
        </is>
      </c>
      <c r="K518" t="inlineStr">
        <is>
          <t>III 60, 42</t>
        </is>
      </c>
      <c r="L518" t="inlineStr">
        <is>
          <t>III 60, 42</t>
        </is>
      </c>
      <c r="M518" t="inlineStr"/>
      <c r="N518" t="inlineStr">
        <is>
          <t>Lav||rentii Vallae|| Elegantiarum libri sex, deó?|| Reciprocatione Sui &amp;|| Suus. multis, di=||uersisq́ Pro|| totypis|| dili=|| genter collatis, emẽdat</t>
        </is>
      </c>
      <c r="O518" t="inlineStr">
        <is>
          <t xml:space="preserve"> : </t>
        </is>
      </c>
      <c r="P518" t="inlineStr"/>
      <c r="Q518" t="inlineStr"/>
      <c r="R518" t="inlineStr"/>
      <c r="S518" t="inlineStr"/>
      <c r="T518" t="inlineStr"/>
      <c r="U518" t="inlineStr"/>
      <c r="V518" t="inlineStr"/>
      <c r="W518" t="inlineStr"/>
      <c r="X518" t="inlineStr"/>
      <c r="Y518" t="inlineStr"/>
      <c r="Z518" t="inlineStr"/>
      <c r="AA518" t="inlineStr"/>
      <c r="AB518" t="inlineStr"/>
      <c r="AC518" t="inlineStr"/>
      <c r="AD518" t="inlineStr"/>
      <c r="AE518" t="inlineStr"/>
      <c r="AF518" t="inlineStr"/>
      <c r="AG518" t="inlineStr"/>
      <c r="AH518" t="inlineStr"/>
      <c r="AI518" t="inlineStr"/>
      <c r="AJ518" t="inlineStr"/>
      <c r="AK518" t="inlineStr"/>
      <c r="AL518" t="inlineStr"/>
      <c r="AM518" t="inlineStr"/>
      <c r="AN518" t="inlineStr"/>
      <c r="AO518" t="inlineStr"/>
      <c r="AP518" t="inlineStr"/>
      <c r="AQ518" t="inlineStr"/>
      <c r="AR518" t="inlineStr"/>
      <c r="AS518" t="inlineStr"/>
      <c r="AT518" t="inlineStr"/>
      <c r="AU518" t="inlineStr"/>
      <c r="AV518" t="inlineStr"/>
      <c r="AW518" t="inlineStr"/>
      <c r="AX518" t="inlineStr"/>
      <c r="AY518" t="inlineStr"/>
      <c r="AZ518" t="inlineStr"/>
      <c r="BA518" t="inlineStr"/>
      <c r="BB518" t="inlineStr"/>
      <c r="BC518" t="inlineStr"/>
      <c r="BD518" t="inlineStr"/>
      <c r="BE518" t="inlineStr"/>
      <c r="BF518" t="inlineStr"/>
      <c r="BG518" t="inlineStr"/>
      <c r="BH518" t="inlineStr"/>
      <c r="BI518" t="inlineStr"/>
      <c r="BJ518" t="inlineStr"/>
      <c r="BK518" t="inlineStr"/>
      <c r="BL518" t="inlineStr"/>
      <c r="BM518" t="inlineStr"/>
      <c r="BN518" t="n">
        <v>0</v>
      </c>
      <c r="BO518" t="inlineStr"/>
      <c r="BP518" t="inlineStr"/>
      <c r="BQ518" t="inlineStr"/>
      <c r="BR518" t="inlineStr"/>
      <c r="BS518" t="inlineStr"/>
      <c r="BT518" t="inlineStr"/>
      <c r="BU518" t="inlineStr"/>
      <c r="BV518" t="inlineStr"/>
      <c r="BW518" t="inlineStr"/>
      <c r="BX518" t="inlineStr"/>
      <c r="BY518" t="inlineStr"/>
      <c r="BZ518" t="inlineStr"/>
      <c r="CA518" t="inlineStr"/>
      <c r="CB518" t="inlineStr"/>
      <c r="CC518" t="inlineStr"/>
      <c r="CD518" t="inlineStr"/>
      <c r="CE518" t="inlineStr"/>
      <c r="CF518" t="inlineStr"/>
      <c r="CG518" t="inlineStr"/>
      <c r="CH518" t="inlineStr"/>
      <c r="CI518" t="inlineStr"/>
      <c r="CJ518" t="inlineStr"/>
      <c r="CK518" t="inlineStr"/>
      <c r="CL518" t="inlineStr"/>
      <c r="CM518" t="inlineStr"/>
      <c r="CN518" t="inlineStr"/>
      <c r="CO518" t="inlineStr"/>
      <c r="CP518" t="inlineStr"/>
      <c r="CQ518" t="inlineStr"/>
      <c r="CR518" t="inlineStr"/>
      <c r="CS518" t="inlineStr"/>
      <c r="CT518" t="inlineStr"/>
      <c r="CU518" t="inlineStr"/>
      <c r="CV518" t="inlineStr"/>
      <c r="CW518" t="inlineStr"/>
      <c r="CX518" t="inlineStr"/>
      <c r="CY518" t="inlineStr"/>
      <c r="CZ518" t="inlineStr"/>
      <c r="DA518" t="inlineStr"/>
      <c r="DB518" t="inlineStr"/>
      <c r="DC518" t="inlineStr"/>
      <c r="DD518" t="inlineStr"/>
      <c r="DE518" t="inlineStr"/>
      <c r="DF518" t="inlineStr"/>
      <c r="DG518" t="inlineStr"/>
    </row>
    <row r="519">
      <c r="A519" t="inlineStr">
        <is>
          <t>III</t>
        </is>
      </c>
      <c r="B519" t="b">
        <v>1</v>
      </c>
      <c r="C519" t="inlineStr"/>
      <c r="D519" t="inlineStr"/>
      <c r="E519" t="n">
        <v>663</v>
      </c>
      <c r="F519">
        <f>HYPERLINK("https://portal.dnb.de/opac.htm?method=simpleSearch&amp;cqlMode=true&amp;query=idn%3D1002646758", "Portal")</f>
        <v/>
      </c>
      <c r="G519" t="inlineStr">
        <is>
          <t>Aal</t>
        </is>
      </c>
      <c r="H519" t="inlineStr">
        <is>
          <t>L-1529-177753358</t>
        </is>
      </c>
      <c r="I519" t="inlineStr">
        <is>
          <t>1002646758</t>
        </is>
      </c>
      <c r="J519" t="inlineStr">
        <is>
          <t>III 60, 42a</t>
        </is>
      </c>
      <c r="K519" t="inlineStr">
        <is>
          <t>III 60, 42a</t>
        </is>
      </c>
      <c r="L519" t="inlineStr">
        <is>
          <t>III 60, 42 a</t>
        </is>
      </c>
      <c r="M519" t="inlineStr"/>
      <c r="N519" t="inlineStr">
        <is>
          <t>Lav||rentii Vallae|| Elegantiarum libri sex, deó?|| Reciprocatione Sui &amp;|| Suus. multis, di=||uersisq́ Pro|| totypis|| dili=|| genter collatis, emẽdat</t>
        </is>
      </c>
      <c r="O519" t="inlineStr">
        <is>
          <t xml:space="preserve"> : </t>
        </is>
      </c>
      <c r="P519" t="inlineStr">
        <is>
          <t>X</t>
        </is>
      </c>
      <c r="Q519" t="inlineStr"/>
      <c r="R519" t="inlineStr">
        <is>
          <t>Ledereinband, Schließen, erhabene Buchbeschläge</t>
        </is>
      </c>
      <c r="S519" t="inlineStr">
        <is>
          <t>bis 25 cm</t>
        </is>
      </c>
      <c r="T519" t="inlineStr">
        <is>
          <t>80° bis 110°, einseitig digitalisierbar?</t>
        </is>
      </c>
      <c r="U519" t="inlineStr">
        <is>
          <t>hohler Rücken</t>
        </is>
      </c>
      <c r="V519" t="inlineStr"/>
      <c r="W519" t="inlineStr">
        <is>
          <t>Buchschuh</t>
        </is>
      </c>
      <c r="X519" t="inlineStr">
        <is>
          <t>Nein, Signaturfahne austauschen</t>
        </is>
      </c>
      <c r="Y519" t="n">
        <v>1</v>
      </c>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c r="BD519" t="inlineStr"/>
      <c r="BE519" t="inlineStr"/>
      <c r="BF519" t="inlineStr"/>
      <c r="BG519" t="inlineStr"/>
      <c r="BH519" t="inlineStr"/>
      <c r="BI519" t="inlineStr"/>
      <c r="BJ519" t="inlineStr"/>
      <c r="BK519" t="inlineStr"/>
      <c r="BL519" t="inlineStr"/>
      <c r="BM519" t="inlineStr"/>
      <c r="BN519" t="n">
        <v>0</v>
      </c>
      <c r="BO519" t="inlineStr"/>
      <c r="BP519" t="inlineStr"/>
      <c r="BQ519" t="inlineStr"/>
      <c r="BR519" t="inlineStr"/>
      <c r="BS519" t="inlineStr"/>
      <c r="BT519" t="inlineStr"/>
      <c r="BU519" t="inlineStr"/>
      <c r="BV519" t="inlineStr"/>
      <c r="BW519" t="inlineStr"/>
      <c r="BX519" t="inlineStr"/>
      <c r="BY519" t="inlineStr"/>
      <c r="BZ519" t="inlineStr"/>
      <c r="CA519" t="inlineStr"/>
      <c r="CB519" t="inlineStr"/>
      <c r="CC519" t="inlineStr"/>
      <c r="CD519" t="inlineStr"/>
      <c r="CE519" t="inlineStr"/>
      <c r="CF519" t="inlineStr"/>
      <c r="CG519" t="inlineStr"/>
      <c r="CH519" t="inlineStr"/>
      <c r="CI519" t="inlineStr"/>
      <c r="CJ519" t="inlineStr"/>
      <c r="CK519" t="inlineStr"/>
      <c r="CL519" t="inlineStr"/>
      <c r="CM519" t="inlineStr"/>
      <c r="CN519" t="inlineStr"/>
      <c r="CO519" t="inlineStr"/>
      <c r="CP519" t="inlineStr"/>
      <c r="CQ519" t="inlineStr"/>
      <c r="CR519" t="inlineStr"/>
      <c r="CS519" t="inlineStr"/>
      <c r="CT519" t="inlineStr"/>
      <c r="CU519" t="inlineStr"/>
      <c r="CV519" t="inlineStr"/>
      <c r="CW519" t="inlineStr"/>
      <c r="CX519" t="inlineStr"/>
      <c r="CY519" t="inlineStr"/>
      <c r="CZ519" t="inlineStr"/>
      <c r="DA519" t="inlineStr"/>
      <c r="DB519" t="inlineStr"/>
      <c r="DC519" t="inlineStr"/>
      <c r="DD519" t="inlineStr"/>
      <c r="DE519" t="inlineStr"/>
      <c r="DF519" t="inlineStr"/>
      <c r="DG519" t="inlineStr"/>
    </row>
    <row r="520">
      <c r="A520" t="inlineStr">
        <is>
          <t>III</t>
        </is>
      </c>
      <c r="B520" t="b">
        <v>1</v>
      </c>
      <c r="C520" t="inlineStr"/>
      <c r="D520" t="inlineStr"/>
      <c r="E520" t="n">
        <v>587</v>
      </c>
      <c r="F520">
        <f>HYPERLINK("https://portal.dnb.de/opac.htm?method=simpleSearch&amp;cqlMode=true&amp;query=idn%3D1066844275", "Portal")</f>
        <v/>
      </c>
      <c r="G520" t="inlineStr">
        <is>
          <t>Aaf</t>
        </is>
      </c>
      <c r="H520" t="inlineStr">
        <is>
          <t>L-1530-315303786</t>
        </is>
      </c>
      <c r="I520" t="inlineStr">
        <is>
          <t>1066844275</t>
        </is>
      </c>
      <c r="J520" t="inlineStr">
        <is>
          <t>III 60, 43</t>
        </is>
      </c>
      <c r="K520" t="inlineStr">
        <is>
          <t>III 60, 43</t>
        </is>
      </c>
      <c r="L520" t="inlineStr">
        <is>
          <t>III 60, 43</t>
        </is>
      </c>
      <c r="M520" t="inlineStr"/>
      <c r="N520" t="inlineStr">
        <is>
          <t>CAij Julij Cesaris des groß=||mechtigen ersten Römisch=||en Keysers Historien vom|| Gallier vñ der Römer Burgerische krieg: so er selbst beschriben: .</t>
        </is>
      </c>
      <c r="O520" t="inlineStr">
        <is>
          <t xml:space="preserve"> : </t>
        </is>
      </c>
      <c r="P520" t="inlineStr"/>
      <c r="Q520" t="inlineStr"/>
      <c r="R520" t="inlineStr"/>
      <c r="S520" t="inlineStr"/>
      <c r="T520" t="inlineStr"/>
      <c r="U520" t="inlineStr"/>
      <c r="V520" t="inlineStr"/>
      <c r="W520" t="inlineStr"/>
      <c r="X520" t="inlineStr"/>
      <c r="Y520" t="inlineStr"/>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c r="BD520" t="inlineStr"/>
      <c r="BE520" t="inlineStr"/>
      <c r="BF520" t="inlineStr"/>
      <c r="BG520" t="inlineStr"/>
      <c r="BH520" t="inlineStr"/>
      <c r="BI520" t="inlineStr"/>
      <c r="BJ520" t="inlineStr"/>
      <c r="BK520" t="inlineStr"/>
      <c r="BL520" t="inlineStr"/>
      <c r="BM520" t="inlineStr"/>
      <c r="BN520" t="n">
        <v>0</v>
      </c>
      <c r="BO520" t="inlineStr"/>
      <c r="BP520" t="inlineStr"/>
      <c r="BQ520" t="inlineStr"/>
      <c r="BR520" t="inlineStr"/>
      <c r="BS520" t="inlineStr"/>
      <c r="BT520" t="inlineStr"/>
      <c r="BU520" t="inlineStr"/>
      <c r="BV520" t="inlineStr"/>
      <c r="BW520" t="inlineStr"/>
      <c r="BX520" t="inlineStr"/>
      <c r="BY520" t="inlineStr"/>
      <c r="BZ520" t="inlineStr"/>
      <c r="CA520" t="inlineStr"/>
      <c r="CB520" t="inlineStr"/>
      <c r="CC520" t="inlineStr"/>
      <c r="CD520" t="inlineStr"/>
      <c r="CE520" t="inlineStr"/>
      <c r="CF520" t="inlineStr"/>
      <c r="CG520" t="inlineStr"/>
      <c r="CH520" t="inlineStr"/>
      <c r="CI520" t="inlineStr"/>
      <c r="CJ520" t="inlineStr"/>
      <c r="CK520" t="inlineStr"/>
      <c r="CL520" t="inlineStr"/>
      <c r="CM520" t="inlineStr"/>
      <c r="CN520" t="inlineStr"/>
      <c r="CO520" t="inlineStr"/>
      <c r="CP520" t="inlineStr"/>
      <c r="CQ520" t="inlineStr"/>
      <c r="CR520" t="inlineStr"/>
      <c r="CS520" t="inlineStr"/>
      <c r="CT520" t="inlineStr"/>
      <c r="CU520" t="inlineStr"/>
      <c r="CV520" t="inlineStr"/>
      <c r="CW520" t="inlineStr"/>
      <c r="CX520" t="inlineStr"/>
      <c r="CY520" t="inlineStr"/>
      <c r="CZ520" t="inlineStr"/>
      <c r="DA520" t="inlineStr"/>
      <c r="DB520" t="inlineStr"/>
      <c r="DC520" t="inlineStr"/>
      <c r="DD520" t="inlineStr"/>
      <c r="DE520" t="inlineStr"/>
      <c r="DF520" t="inlineStr"/>
      <c r="DG520" t="inlineStr"/>
    </row>
    <row r="521">
      <c r="A521" t="inlineStr">
        <is>
          <t>III</t>
        </is>
      </c>
      <c r="B521" t="b">
        <v>1</v>
      </c>
      <c r="C521" t="inlineStr">
        <is>
          <t>x</t>
        </is>
      </c>
      <c r="D521" t="inlineStr"/>
      <c r="E521" t="n">
        <v>588</v>
      </c>
      <c r="F521">
        <f>HYPERLINK("https://portal.dnb.de/opac.htm?method=simpleSearch&amp;cqlMode=true&amp;query=idn%3D1066956928", "Portal")</f>
        <v/>
      </c>
      <c r="G521" t="inlineStr">
        <is>
          <t>Aal</t>
        </is>
      </c>
      <c r="H521" t="inlineStr">
        <is>
          <t>L-1530-315487526</t>
        </is>
      </c>
      <c r="I521" t="inlineStr">
        <is>
          <t>1066956928</t>
        </is>
      </c>
      <c r="J521" t="inlineStr">
        <is>
          <t>III 60, 44</t>
        </is>
      </c>
      <c r="K521" t="inlineStr">
        <is>
          <t>III 60, 44</t>
        </is>
      </c>
      <c r="L521" t="inlineStr">
        <is>
          <t>III 60, 44</t>
        </is>
      </c>
      <c r="M521" t="inlineStr"/>
      <c r="N521" t="inlineStr">
        <is>
          <t xml:space="preserve">ROmische historien : </t>
        </is>
      </c>
      <c r="O521" t="inlineStr">
        <is>
          <t xml:space="preserve"> : </t>
        </is>
      </c>
      <c r="P521" t="inlineStr">
        <is>
          <t>X</t>
        </is>
      </c>
      <c r="Q521" t="inlineStr"/>
      <c r="R521" t="inlineStr">
        <is>
          <t>Ledereinband, Schließen, erhabene Buchbeschläge</t>
        </is>
      </c>
      <c r="S521" t="inlineStr">
        <is>
          <t>bis 35 cm</t>
        </is>
      </c>
      <c r="T521" t="inlineStr">
        <is>
          <t>80° bis 110°, einseitig digitalisierbar?</t>
        </is>
      </c>
      <c r="U521" t="inlineStr">
        <is>
          <t>fester Rücken mit Schmuckprägung, Kreide, Pastell oder Rußtinte</t>
        </is>
      </c>
      <c r="V521" t="inlineStr"/>
      <c r="W521" t="inlineStr">
        <is>
          <t>Buchschuh</t>
        </is>
      </c>
      <c r="X521" t="inlineStr">
        <is>
          <t>Nein, Signaturfahne austauschen</t>
        </is>
      </c>
      <c r="Y521" t="n">
        <v>1</v>
      </c>
      <c r="Z521" t="inlineStr"/>
      <c r="AA521" t="inlineStr"/>
      <c r="AB521" t="inlineStr"/>
      <c r="AC521" t="inlineStr"/>
      <c r="AD521" t="inlineStr"/>
      <c r="AE521" t="inlineStr"/>
      <c r="AF521" t="inlineStr"/>
      <c r="AG521" t="inlineStr"/>
      <c r="AH521" t="inlineStr"/>
      <c r="AI521" t="inlineStr">
        <is>
          <t>HD</t>
        </is>
      </c>
      <c r="AJ521" t="inlineStr"/>
      <c r="AK521" t="inlineStr">
        <is>
          <t>x</t>
        </is>
      </c>
      <c r="AL521" t="inlineStr"/>
      <c r="AM521" t="inlineStr">
        <is>
          <t>f/V</t>
        </is>
      </c>
      <c r="AN521" t="inlineStr"/>
      <c r="AO521" t="inlineStr"/>
      <c r="AP521" t="inlineStr"/>
      <c r="AQ521" t="inlineStr"/>
      <c r="AR521" t="inlineStr"/>
      <c r="AS521" t="inlineStr">
        <is>
          <t>Pa</t>
        </is>
      </c>
      <c r="AT521" t="inlineStr"/>
      <c r="AU521" t="inlineStr"/>
      <c r="AV521" t="inlineStr"/>
      <c r="AW521" t="inlineStr"/>
      <c r="AX521" t="inlineStr"/>
      <c r="AY521" t="inlineStr"/>
      <c r="AZ521" t="inlineStr"/>
      <c r="BA521" t="inlineStr"/>
      <c r="BB521" t="inlineStr"/>
      <c r="BC521" t="inlineStr"/>
      <c r="BD521" t="inlineStr"/>
      <c r="BE521" t="inlineStr"/>
      <c r="BF521" t="inlineStr"/>
      <c r="BG521" t="n">
        <v>45</v>
      </c>
      <c r="BH521" t="inlineStr"/>
      <c r="BI521" t="inlineStr"/>
      <c r="BJ521" t="inlineStr"/>
      <c r="BK521" t="inlineStr"/>
      <c r="BL521" t="inlineStr"/>
      <c r="BM521" t="inlineStr">
        <is>
          <t>ja vor</t>
        </is>
      </c>
      <c r="BN521" t="n">
        <v>0.5</v>
      </c>
      <c r="BO521" t="inlineStr"/>
      <c r="BP521" t="inlineStr"/>
      <c r="BQ521" t="inlineStr"/>
      <c r="BR521" t="inlineStr">
        <is>
          <t>x</t>
        </is>
      </c>
      <c r="BS521" t="inlineStr"/>
      <c r="BT521" t="inlineStr"/>
      <c r="BU521" t="inlineStr"/>
      <c r="BV521" t="inlineStr"/>
      <c r="BW521" t="inlineStr"/>
      <c r="BX521" t="inlineStr"/>
      <c r="BY521" t="inlineStr"/>
      <c r="BZ521" t="inlineStr">
        <is>
          <t>x</t>
        </is>
      </c>
      <c r="CA521" t="inlineStr">
        <is>
          <t>x</t>
        </is>
      </c>
      <c r="CB521" t="inlineStr">
        <is>
          <t>x</t>
        </is>
      </c>
      <c r="CC521" t="inlineStr"/>
      <c r="CD521" t="inlineStr"/>
      <c r="CE521" t="inlineStr"/>
      <c r="CF521" t="inlineStr"/>
      <c r="CG521" t="inlineStr"/>
      <c r="CH521" t="inlineStr"/>
      <c r="CI521" t="inlineStr"/>
      <c r="CJ521" t="inlineStr"/>
      <c r="CK521" t="inlineStr"/>
      <c r="CL521" t="inlineStr"/>
      <c r="CM521" t="n">
        <v>0.5</v>
      </c>
      <c r="CN521" t="inlineStr"/>
      <c r="CO521" t="inlineStr"/>
      <c r="CP521" t="inlineStr"/>
      <c r="CQ521" t="inlineStr"/>
      <c r="CR521" t="inlineStr"/>
      <c r="CS521" t="inlineStr"/>
      <c r="CT521" t="inlineStr"/>
      <c r="CU521" t="inlineStr"/>
      <c r="CV521" t="inlineStr"/>
      <c r="CW521" t="inlineStr"/>
      <c r="CX521" t="inlineStr"/>
      <c r="CY521" t="inlineStr"/>
      <c r="CZ521" t="inlineStr"/>
      <c r="DA521" t="inlineStr"/>
      <c r="DB521" t="inlineStr"/>
      <c r="DC521" t="inlineStr"/>
      <c r="DD521" t="inlineStr"/>
      <c r="DE521" t="inlineStr"/>
      <c r="DF521" t="inlineStr"/>
      <c r="DG521" t="inlineStr"/>
    </row>
    <row r="522">
      <c r="A522" t="inlineStr">
        <is>
          <t>III</t>
        </is>
      </c>
      <c r="B522" t="b">
        <v>1</v>
      </c>
      <c r="C522" t="inlineStr"/>
      <c r="D522" t="inlineStr"/>
      <c r="E522" t="n">
        <v>589</v>
      </c>
      <c r="F522">
        <f>HYPERLINK("https://portal.dnb.de/opac.htm?method=simpleSearch&amp;cqlMode=true&amp;query=idn%3D1066960658", "Portal")</f>
        <v/>
      </c>
      <c r="G522" t="inlineStr">
        <is>
          <t>Aaf</t>
        </is>
      </c>
      <c r="H522" t="inlineStr">
        <is>
          <t>L-1531-315491140</t>
        </is>
      </c>
      <c r="I522" t="inlineStr">
        <is>
          <t>1066960658</t>
        </is>
      </c>
      <c r="J522" t="inlineStr">
        <is>
          <t>III 60, 45</t>
        </is>
      </c>
      <c r="K522" t="inlineStr">
        <is>
          <t>III 60, 45</t>
        </is>
      </c>
      <c r="L522" t="inlineStr">
        <is>
          <t>III 60, 45</t>
        </is>
      </c>
      <c r="M522" t="inlineStr"/>
      <c r="N522" t="inlineStr">
        <is>
          <t>PLACEN=||TINI IVRISCON-||sulti uetustissimi de ua-||rietate actionum libri sex.|| ITEM.|| Rogerij compendium de diuer=||sis praescriptionibus.|| Eiusd</t>
        </is>
      </c>
      <c r="O522" t="inlineStr">
        <is>
          <t xml:space="preserve"> : </t>
        </is>
      </c>
      <c r="P522" t="inlineStr"/>
      <c r="Q522" t="inlineStr"/>
      <c r="R522" t="inlineStr"/>
      <c r="S522" t="inlineStr"/>
      <c r="T522" t="inlineStr"/>
      <c r="U522" t="inlineStr"/>
      <c r="V522" t="inlineStr"/>
      <c r="W522" t="inlineStr"/>
      <c r="X522" t="inlineStr"/>
      <c r="Y522" t="inlineStr"/>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c r="BA522" t="inlineStr"/>
      <c r="BB522" t="inlineStr"/>
      <c r="BC522" t="inlineStr"/>
      <c r="BD522" t="inlineStr"/>
      <c r="BE522" t="inlineStr"/>
      <c r="BF522" t="inlineStr"/>
      <c r="BG522" t="inlineStr"/>
      <c r="BH522" t="inlineStr"/>
      <c r="BI522" t="inlineStr"/>
      <c r="BJ522" t="inlineStr"/>
      <c r="BK522" t="inlineStr"/>
      <c r="BL522" t="inlineStr"/>
      <c r="BM522" t="inlineStr"/>
      <c r="BN522" t="n">
        <v>0</v>
      </c>
      <c r="BO522" t="inlineStr"/>
      <c r="BP522" t="inlineStr"/>
      <c r="BQ522" t="inlineStr"/>
      <c r="BR522" t="inlineStr"/>
      <c r="BS522" t="inlineStr"/>
      <c r="BT522" t="inlineStr"/>
      <c r="BU522" t="inlineStr"/>
      <c r="BV522" t="inlineStr"/>
      <c r="BW522" t="inlineStr"/>
      <c r="BX522" t="inlineStr"/>
      <c r="BY522" t="inlineStr"/>
      <c r="BZ522" t="inlineStr"/>
      <c r="CA522" t="inlineStr"/>
      <c r="CB522" t="inlineStr"/>
      <c r="CC522" t="inlineStr"/>
      <c r="CD522" t="inlineStr"/>
      <c r="CE522" t="inlineStr"/>
      <c r="CF522" t="inlineStr"/>
      <c r="CG522" t="inlineStr"/>
      <c r="CH522" t="inlineStr"/>
      <c r="CI522" t="inlineStr"/>
      <c r="CJ522" t="inlineStr"/>
      <c r="CK522" t="inlineStr"/>
      <c r="CL522" t="inlineStr"/>
      <c r="CM522" t="inlineStr"/>
      <c r="CN522" t="inlineStr"/>
      <c r="CO522" t="inlineStr"/>
      <c r="CP522" t="inlineStr"/>
      <c r="CQ522" t="inlineStr"/>
      <c r="CR522" t="inlineStr"/>
      <c r="CS522" t="inlineStr"/>
      <c r="CT522" t="inlineStr"/>
      <c r="CU522" t="inlineStr"/>
      <c r="CV522" t="inlineStr"/>
      <c r="CW522" t="inlineStr"/>
      <c r="CX522" t="inlineStr"/>
      <c r="CY522" t="inlineStr"/>
      <c r="CZ522" t="inlineStr"/>
      <c r="DA522" t="inlineStr"/>
      <c r="DB522" t="inlineStr"/>
      <c r="DC522" t="inlineStr"/>
      <c r="DD522" t="inlineStr"/>
      <c r="DE522" t="inlineStr"/>
      <c r="DF522" t="inlineStr"/>
      <c r="DG522" t="inlineStr"/>
    </row>
    <row r="523">
      <c r="A523" t="inlineStr">
        <is>
          <t>III</t>
        </is>
      </c>
      <c r="B523" t="b">
        <v>1</v>
      </c>
      <c r="C523" t="inlineStr"/>
      <c r="D523" t="inlineStr"/>
      <c r="E523" t="n">
        <v>590</v>
      </c>
      <c r="F523">
        <f>HYPERLINK("https://portal.dnb.de/opac.htm?method=simpleSearch&amp;cqlMode=true&amp;query=idn%3D1066870799", "Portal")</f>
        <v/>
      </c>
      <c r="G523" t="inlineStr">
        <is>
          <t>Aaf</t>
        </is>
      </c>
      <c r="H523" t="inlineStr">
        <is>
          <t>L-1531-315328681</t>
        </is>
      </c>
      <c r="I523" t="inlineStr">
        <is>
          <t>1066870799</t>
        </is>
      </c>
      <c r="J523" t="inlineStr">
        <is>
          <t>III 60, 46</t>
        </is>
      </c>
      <c r="K523" t="inlineStr">
        <is>
          <t>III 60, 46</t>
        </is>
      </c>
      <c r="L523" t="inlineStr">
        <is>
          <t>III 60, 46</t>
        </is>
      </c>
      <c r="M523" t="inlineStr"/>
      <c r="N523" t="inlineStr">
        <is>
          <t xml:space="preserve">ROmischer Keyser=||licher Maiestat Orde=||nung uñ Reformation|| gůter Pollicei im Hey=||ligen Römischen Reich : </t>
        </is>
      </c>
      <c r="O523" t="inlineStr">
        <is>
          <t xml:space="preserve"> : </t>
        </is>
      </c>
      <c r="P523" t="inlineStr"/>
      <c r="Q523" t="inlineStr"/>
      <c r="R523" t="inlineStr"/>
      <c r="S523" t="inlineStr">
        <is>
          <t>bis 35 cm</t>
        </is>
      </c>
      <c r="T523" t="inlineStr"/>
      <c r="U523" t="inlineStr"/>
      <c r="V523" t="inlineStr"/>
      <c r="W523" t="inlineStr"/>
      <c r="X523" t="inlineStr"/>
      <c r="Y523" t="inlineStr"/>
      <c r="Z523" t="inlineStr"/>
      <c r="AA523" t="inlineStr"/>
      <c r="AB523" t="inlineStr"/>
      <c r="AC523" t="inlineStr"/>
      <c r="AD523" t="inlineStr"/>
      <c r="AE523" t="inlineStr"/>
      <c r="AF523" t="inlineStr"/>
      <c r="AG523" t="inlineStr"/>
      <c r="AH523" t="inlineStr"/>
      <c r="AI523" t="inlineStr">
        <is>
          <t>G</t>
        </is>
      </c>
      <c r="AJ523" t="inlineStr"/>
      <c r="AK523" t="inlineStr">
        <is>
          <t>x</t>
        </is>
      </c>
      <c r="AL523" t="inlineStr"/>
      <c r="AM523" t="inlineStr">
        <is>
          <t>h/E</t>
        </is>
      </c>
      <c r="AN523" t="inlineStr"/>
      <c r="AO523" t="inlineStr"/>
      <c r="AP523" t="inlineStr"/>
      <c r="AQ523" t="inlineStr"/>
      <c r="AR523" t="inlineStr"/>
      <c r="AS523" t="inlineStr">
        <is>
          <t>Pa</t>
        </is>
      </c>
      <c r="AT523" t="inlineStr"/>
      <c r="AU523" t="inlineStr"/>
      <c r="AV523" t="inlineStr"/>
      <c r="AW523" t="inlineStr"/>
      <c r="AX523" t="inlineStr"/>
      <c r="AY523" t="inlineStr"/>
      <c r="AZ523" t="inlineStr"/>
      <c r="BA523" t="inlineStr"/>
      <c r="BB523" t="inlineStr"/>
      <c r="BC523" t="inlineStr"/>
      <c r="BD523" t="inlineStr"/>
      <c r="BE523" t="inlineStr"/>
      <c r="BF523" t="inlineStr"/>
      <c r="BG523" t="n">
        <v>110</v>
      </c>
      <c r="BH523" t="inlineStr"/>
      <c r="BI523" t="inlineStr"/>
      <c r="BJ523" t="inlineStr"/>
      <c r="BK523" t="inlineStr"/>
      <c r="BL523" t="inlineStr"/>
      <c r="BM523" t="inlineStr">
        <is>
          <t>n</t>
        </is>
      </c>
      <c r="BN523" t="n">
        <v>0</v>
      </c>
      <c r="BO523" t="inlineStr"/>
      <c r="BP523" t="inlineStr"/>
      <c r="BQ523" t="inlineStr"/>
      <c r="BR523" t="inlineStr">
        <is>
          <t>x</t>
        </is>
      </c>
      <c r="BS523" t="inlineStr"/>
      <c r="BT523" t="inlineStr"/>
      <c r="BU523" t="inlineStr"/>
      <c r="BV523" t="inlineStr">
        <is>
          <t>Schaden stabil</t>
        </is>
      </c>
      <c r="BW523" t="inlineStr"/>
      <c r="BX523" t="inlineStr"/>
      <c r="BY523" t="inlineStr"/>
      <c r="BZ523" t="inlineStr"/>
      <c r="CA523" t="inlineStr"/>
      <c r="CB523" t="inlineStr"/>
      <c r="CC523" t="inlineStr"/>
      <c r="CD523" t="inlineStr"/>
      <c r="CE523" t="inlineStr"/>
      <c r="CF523" t="inlineStr"/>
      <c r="CG523" t="inlineStr"/>
      <c r="CH523" t="inlineStr"/>
      <c r="CI523" t="inlineStr"/>
      <c r="CJ523" t="inlineStr"/>
      <c r="CK523" t="inlineStr"/>
      <c r="CL523" t="inlineStr"/>
      <c r="CM523" t="inlineStr"/>
      <c r="CN523" t="inlineStr"/>
      <c r="CO523" t="inlineStr"/>
      <c r="CP523" t="inlineStr"/>
      <c r="CQ523" t="inlineStr"/>
      <c r="CR523" t="inlineStr"/>
      <c r="CS523" t="inlineStr"/>
      <c r="CT523" t="inlineStr"/>
      <c r="CU523" t="inlineStr"/>
      <c r="CV523" t="inlineStr"/>
      <c r="CW523" t="inlineStr"/>
      <c r="CX523" t="inlineStr"/>
      <c r="CY523" t="inlineStr"/>
      <c r="CZ523" t="inlineStr"/>
      <c r="DA523" t="inlineStr"/>
      <c r="DB523" t="inlineStr"/>
      <c r="DC523" t="inlineStr"/>
      <c r="DD523" t="inlineStr"/>
      <c r="DE523" t="inlineStr"/>
      <c r="DF523" t="inlineStr"/>
      <c r="DG523" t="inlineStr"/>
    </row>
    <row r="524">
      <c r="A524" t="inlineStr">
        <is>
          <t>III</t>
        </is>
      </c>
      <c r="B524" t="b">
        <v>1</v>
      </c>
      <c r="C524" t="inlineStr"/>
      <c r="D524" t="inlineStr"/>
      <c r="E524" t="n">
        <v>591</v>
      </c>
      <c r="F524">
        <f>HYPERLINK("https://portal.dnb.de/opac.htm?method=simpleSearch&amp;cqlMode=true&amp;query=idn%3D1066864837", "Portal")</f>
        <v/>
      </c>
      <c r="G524" t="inlineStr">
        <is>
          <t>Aaf</t>
        </is>
      </c>
      <c r="H524" t="inlineStr">
        <is>
          <t>L-1531-315323213</t>
        </is>
      </c>
      <c r="I524" t="inlineStr">
        <is>
          <t>1066864837</t>
        </is>
      </c>
      <c r="J524" t="inlineStr">
        <is>
          <t>III 60, 47</t>
        </is>
      </c>
      <c r="K524" t="inlineStr">
        <is>
          <t>III 60, 47</t>
        </is>
      </c>
      <c r="L524" t="inlineStr">
        <is>
          <t>III 60, 47</t>
        </is>
      </c>
      <c r="M524" t="inlineStr"/>
      <c r="N524" t="inlineStr">
        <is>
          <t>DJe @Lehenrecht ver||teütscht: auch iñ eyn ne=||we vnd richtige ord=||nung der titel ge=||satzt: vnd zůsa=||men bracht.|| Mit erklerung vnd auszlegung</t>
        </is>
      </c>
      <c r="O524" t="inlineStr">
        <is>
          <t xml:space="preserve"> : </t>
        </is>
      </c>
      <c r="P524" t="inlineStr">
        <is>
          <t>X</t>
        </is>
      </c>
      <c r="Q524" t="inlineStr"/>
      <c r="R524" t="inlineStr">
        <is>
          <t>Gewebeeinband, Schließen, erhabene Buchbeschläge</t>
        </is>
      </c>
      <c r="S524" t="inlineStr">
        <is>
          <t>bis 25 cm</t>
        </is>
      </c>
      <c r="T524" t="inlineStr">
        <is>
          <t>180°</t>
        </is>
      </c>
      <c r="U524" t="inlineStr">
        <is>
          <t>hohler Rücken</t>
        </is>
      </c>
      <c r="V524" t="inlineStr"/>
      <c r="W524" t="inlineStr">
        <is>
          <t>Buchschuh</t>
        </is>
      </c>
      <c r="X524" t="inlineStr">
        <is>
          <t>Nein</t>
        </is>
      </c>
      <c r="Y524" t="n">
        <v>2</v>
      </c>
      <c r="Z524" t="inlineStr"/>
      <c r="AA524" t="inlineStr"/>
      <c r="AB524" t="inlineStr"/>
      <c r="AC524" t="inlineStr"/>
      <c r="AD524" t="inlineStr"/>
      <c r="AE524" t="inlineStr"/>
      <c r="AF524" t="inlineStr"/>
      <c r="AG524" t="inlineStr"/>
      <c r="AH524" t="inlineStr"/>
      <c r="AI524" t="inlineStr">
        <is>
          <t>HL</t>
        </is>
      </c>
      <c r="AJ524" t="inlineStr"/>
      <c r="AK524" t="inlineStr">
        <is>
          <t>x</t>
        </is>
      </c>
      <c r="AL524" t="inlineStr"/>
      <c r="AM524" t="inlineStr">
        <is>
          <t>h/E</t>
        </is>
      </c>
      <c r="AN524" t="inlineStr"/>
      <c r="AO524" t="inlineStr"/>
      <c r="AP524" t="inlineStr"/>
      <c r="AQ524" t="inlineStr"/>
      <c r="AR524" t="inlineStr"/>
      <c r="AS524" t="inlineStr">
        <is>
          <t>Pa</t>
        </is>
      </c>
      <c r="AT524" t="inlineStr"/>
      <c r="AU524" t="inlineStr"/>
      <c r="AV524" t="inlineStr"/>
      <c r="AW524" t="inlineStr"/>
      <c r="AX524" t="inlineStr"/>
      <c r="AY524" t="inlineStr"/>
      <c r="AZ524" t="inlineStr"/>
      <c r="BA524" t="inlineStr"/>
      <c r="BB524" t="inlineStr"/>
      <c r="BC524" t="inlineStr"/>
      <c r="BD524" t="inlineStr"/>
      <c r="BE524" t="inlineStr"/>
      <c r="BF524" t="inlineStr"/>
      <c r="BG524" t="n">
        <v>110</v>
      </c>
      <c r="BH524" t="inlineStr"/>
      <c r="BI524" t="inlineStr"/>
      <c r="BJ524" t="inlineStr"/>
      <c r="BK524" t="inlineStr"/>
      <c r="BL524" t="inlineStr"/>
      <c r="BM524" t="inlineStr">
        <is>
          <t>n</t>
        </is>
      </c>
      <c r="BN524" t="n">
        <v>0</v>
      </c>
      <c r="BO524" t="inlineStr"/>
      <c r="BP524" t="inlineStr"/>
      <c r="BQ524" t="inlineStr"/>
      <c r="BR524" t="inlineStr">
        <is>
          <t>x</t>
        </is>
      </c>
      <c r="BS524" t="inlineStr"/>
      <c r="BT524" t="inlineStr"/>
      <c r="BU524" t="inlineStr"/>
      <c r="BV524" t="inlineStr">
        <is>
          <t>Schaden stabil</t>
        </is>
      </c>
      <c r="BW524" t="inlineStr"/>
      <c r="BX524" t="inlineStr"/>
      <c r="BY524" t="inlineStr"/>
      <c r="BZ524" t="inlineStr"/>
      <c r="CA524" t="inlineStr"/>
      <c r="CB524" t="inlineStr"/>
      <c r="CC524" t="inlineStr"/>
      <c r="CD524" t="inlineStr"/>
      <c r="CE524" t="inlineStr"/>
      <c r="CF524" t="inlineStr"/>
      <c r="CG524" t="inlineStr"/>
      <c r="CH524" t="inlineStr"/>
      <c r="CI524" t="inlineStr"/>
      <c r="CJ524" t="inlineStr"/>
      <c r="CK524" t="inlineStr"/>
      <c r="CL524" t="inlineStr"/>
      <c r="CM524" t="inlineStr"/>
      <c r="CN524" t="inlineStr"/>
      <c r="CO524" t="inlineStr"/>
      <c r="CP524" t="inlineStr"/>
      <c r="CQ524" t="inlineStr"/>
      <c r="CR524" t="inlineStr"/>
      <c r="CS524" t="inlineStr"/>
      <c r="CT524" t="inlineStr"/>
      <c r="CU524" t="inlineStr"/>
      <c r="CV524" t="inlineStr"/>
      <c r="CW524" t="inlineStr"/>
      <c r="CX524" t="inlineStr"/>
      <c r="CY524" t="inlineStr"/>
      <c r="CZ524" t="inlineStr"/>
      <c r="DA524" t="inlineStr"/>
      <c r="DB524" t="inlineStr"/>
      <c r="DC524" t="inlineStr"/>
      <c r="DD524" t="inlineStr"/>
      <c r="DE524" t="inlineStr"/>
      <c r="DF524" t="inlineStr"/>
      <c r="DG524" t="inlineStr"/>
    </row>
    <row r="525">
      <c r="A525" t="inlineStr">
        <is>
          <t>III</t>
        </is>
      </c>
      <c r="B525" t="b">
        <v>1</v>
      </c>
      <c r="C525" t="inlineStr"/>
      <c r="D525" t="inlineStr"/>
      <c r="E525" t="n">
        <v>592</v>
      </c>
      <c r="F525">
        <f>HYPERLINK("https://portal.dnb.de/opac.htm?method=simpleSearch&amp;cqlMode=true&amp;query=idn%3D997744367", "Portal")</f>
        <v/>
      </c>
      <c r="G525" t="inlineStr">
        <is>
          <t>Aal</t>
        </is>
      </c>
      <c r="H525" t="inlineStr">
        <is>
          <t>L-1532-164689494</t>
        </is>
      </c>
      <c r="I525" t="inlineStr">
        <is>
          <t>997744367</t>
        </is>
      </c>
      <c r="J525" t="inlineStr">
        <is>
          <t>III 60, 48</t>
        </is>
      </c>
      <c r="K525" t="inlineStr">
        <is>
          <t>III 60, 48</t>
        </is>
      </c>
      <c r="L525" t="inlineStr">
        <is>
          <t>III 60, 48</t>
        </is>
      </c>
      <c r="M525" t="inlineStr"/>
      <c r="N525" t="inlineStr">
        <is>
          <t>ABschiedt des Rei||chßtags z°u Regen||spurg Anno M. D. xxxij.|| gehalten.|| Reformation des Keyser||lichen Cammergerichts, durch Römischer|| Keiserlic</t>
        </is>
      </c>
      <c r="O525" t="inlineStr">
        <is>
          <t xml:space="preserve"> : </t>
        </is>
      </c>
      <c r="P525" t="inlineStr"/>
      <c r="Q525" t="inlineStr"/>
      <c r="R525" t="inlineStr"/>
      <c r="S525" t="inlineStr"/>
      <c r="T525" t="inlineStr"/>
      <c r="U525" t="inlineStr"/>
      <c r="V525" t="inlineStr"/>
      <c r="W525" t="inlineStr"/>
      <c r="X525" t="inlineStr"/>
      <c r="Y525" t="inlineStr"/>
      <c r="Z525" t="inlineStr"/>
      <c r="AA525" t="inlineStr"/>
      <c r="AB525" t="inlineStr"/>
      <c r="AC525" t="inlineStr"/>
      <c r="AD525" t="inlineStr"/>
      <c r="AE525" t="inlineStr"/>
      <c r="AF525" t="inlineStr"/>
      <c r="AG525" t="inlineStr"/>
      <c r="AH525" t="inlineStr"/>
      <c r="AI525" t="inlineStr"/>
      <c r="AJ525" t="inlineStr"/>
      <c r="AK525" t="inlineStr"/>
      <c r="AL525" t="inlineStr"/>
      <c r="AM525" t="inlineStr"/>
      <c r="AN525" t="inlineStr"/>
      <c r="AO525" t="inlineStr"/>
      <c r="AP525" t="inlineStr"/>
      <c r="AQ525" t="inlineStr"/>
      <c r="AR525" t="inlineStr"/>
      <c r="AS525" t="inlineStr"/>
      <c r="AT525" t="inlineStr"/>
      <c r="AU525" t="inlineStr"/>
      <c r="AV525" t="inlineStr"/>
      <c r="AW525" t="inlineStr"/>
      <c r="AX525" t="inlineStr"/>
      <c r="AY525" t="inlineStr"/>
      <c r="AZ525" t="inlineStr"/>
      <c r="BA525" t="inlineStr"/>
      <c r="BB525" t="inlineStr"/>
      <c r="BC525" t="inlineStr"/>
      <c r="BD525" t="inlineStr"/>
      <c r="BE525" t="inlineStr"/>
      <c r="BF525" t="inlineStr"/>
      <c r="BG525" t="inlineStr"/>
      <c r="BH525" t="inlineStr"/>
      <c r="BI525" t="inlineStr"/>
      <c r="BJ525" t="inlineStr"/>
      <c r="BK525" t="inlineStr"/>
      <c r="BL525" t="inlineStr"/>
      <c r="BM525" t="inlineStr"/>
      <c r="BN525" t="n">
        <v>0</v>
      </c>
      <c r="BO525" t="inlineStr"/>
      <c r="BP525" t="inlineStr"/>
      <c r="BQ525" t="inlineStr"/>
      <c r="BR525" t="inlineStr"/>
      <c r="BS525" t="inlineStr"/>
      <c r="BT525" t="inlineStr"/>
      <c r="BU525" t="inlineStr"/>
      <c r="BV525" t="inlineStr"/>
      <c r="BW525" t="inlineStr"/>
      <c r="BX525" t="inlineStr"/>
      <c r="BY525" t="inlineStr"/>
      <c r="BZ525" t="inlineStr"/>
      <c r="CA525" t="inlineStr"/>
      <c r="CB525" t="inlineStr"/>
      <c r="CC525" t="inlineStr"/>
      <c r="CD525" t="inlineStr"/>
      <c r="CE525" t="inlineStr"/>
      <c r="CF525" t="inlineStr"/>
      <c r="CG525" t="inlineStr"/>
      <c r="CH525" t="inlineStr"/>
      <c r="CI525" t="inlineStr"/>
      <c r="CJ525" t="inlineStr"/>
      <c r="CK525" t="inlineStr"/>
      <c r="CL525" t="inlineStr"/>
      <c r="CM525" t="inlineStr"/>
      <c r="CN525" t="inlineStr"/>
      <c r="CO525" t="inlineStr"/>
      <c r="CP525" t="inlineStr"/>
      <c r="CQ525" t="inlineStr"/>
      <c r="CR525" t="inlineStr"/>
      <c r="CS525" t="inlineStr"/>
      <c r="CT525" t="inlineStr"/>
      <c r="CU525" t="inlineStr"/>
      <c r="CV525" t="inlineStr"/>
      <c r="CW525" t="inlineStr"/>
      <c r="CX525" t="inlineStr"/>
      <c r="CY525" t="inlineStr"/>
      <c r="CZ525" t="inlineStr"/>
      <c r="DA525" t="inlineStr"/>
      <c r="DB525" t="inlineStr"/>
      <c r="DC525" t="inlineStr"/>
      <c r="DD525" t="inlineStr"/>
      <c r="DE525" t="inlineStr"/>
      <c r="DF525" t="inlineStr"/>
      <c r="DG525" t="inlineStr"/>
    </row>
    <row r="526">
      <c r="A526" t="inlineStr">
        <is>
          <t>III</t>
        </is>
      </c>
      <c r="B526" t="b">
        <v>0</v>
      </c>
      <c r="C526" t="inlineStr"/>
      <c r="D526" t="inlineStr"/>
      <c r="E526" t="inlineStr"/>
      <c r="F526">
        <f>HYPERLINK("https://portal.dnb.de/opac.htm?method=simpleSearch&amp;cqlMode=true&amp;query=idn%3D", "Portal")</f>
        <v/>
      </c>
      <c r="G526" t="inlineStr"/>
      <c r="H526" t="inlineStr"/>
      <c r="I526" t="inlineStr"/>
      <c r="J526" t="inlineStr"/>
      <c r="K526" t="inlineStr"/>
      <c r="L526" t="inlineStr">
        <is>
          <t>III 60, 49</t>
        </is>
      </c>
      <c r="M526" t="inlineStr"/>
      <c r="N526" t="inlineStr"/>
      <c r="O526" t="inlineStr"/>
      <c r="P526" t="inlineStr">
        <is>
          <t>X</t>
        </is>
      </c>
      <c r="Q526" t="inlineStr"/>
      <c r="R526" t="inlineStr">
        <is>
          <t>Ledereinband</t>
        </is>
      </c>
      <c r="S526" t="inlineStr">
        <is>
          <t>bis 25 cm</t>
        </is>
      </c>
      <c r="T526" t="inlineStr">
        <is>
          <t>80° bis 110°, einseitig digitalisierbar?</t>
        </is>
      </c>
      <c r="U526" t="inlineStr">
        <is>
          <t>hohler Rücken</t>
        </is>
      </c>
      <c r="V526" t="inlineStr"/>
      <c r="W526" t="inlineStr"/>
      <c r="X526" t="inlineStr"/>
      <c r="Y526" t="n">
        <v>1</v>
      </c>
      <c r="Z526" t="inlineStr"/>
      <c r="AA526" t="inlineStr"/>
      <c r="AB526" t="inlineStr"/>
      <c r="AC526" t="inlineStr"/>
      <c r="AD526" t="inlineStr"/>
      <c r="AE526" t="inlineStr"/>
      <c r="AF526" t="inlineStr"/>
      <c r="AG526" t="inlineStr"/>
      <c r="AH526" t="inlineStr"/>
      <c r="AI526" t="inlineStr"/>
      <c r="AJ526" t="inlineStr"/>
      <c r="AK526" t="inlineStr"/>
      <c r="AL526" t="inlineStr"/>
      <c r="AM526" t="inlineStr"/>
      <c r="AN526" t="inlineStr"/>
      <c r="AO526" t="inlineStr"/>
      <c r="AP526" t="inlineStr"/>
      <c r="AQ526" t="inlineStr"/>
      <c r="AR526" t="inlineStr"/>
      <c r="AS526" t="inlineStr"/>
      <c r="AT526" t="inlineStr"/>
      <c r="AU526" t="inlineStr"/>
      <c r="AV526" t="inlineStr"/>
      <c r="AW526" t="inlineStr"/>
      <c r="AX526" t="inlineStr"/>
      <c r="AY526" t="inlineStr"/>
      <c r="AZ526" t="inlineStr"/>
      <c r="BA526" t="inlineStr"/>
      <c r="BB526" t="inlineStr"/>
      <c r="BC526" t="inlineStr"/>
      <c r="BD526" t="inlineStr"/>
      <c r="BE526" t="inlineStr"/>
      <c r="BF526" t="inlineStr"/>
      <c r="BG526" t="inlineStr"/>
      <c r="BH526" t="inlineStr"/>
      <c r="BI526" t="inlineStr"/>
      <c r="BJ526" t="inlineStr"/>
      <c r="BK526" t="inlineStr"/>
      <c r="BL526" t="inlineStr"/>
      <c r="BM526" t="inlineStr"/>
      <c r="BN526" t="n">
        <v>0</v>
      </c>
      <c r="BO526" t="inlineStr"/>
      <c r="BP526" t="inlineStr"/>
      <c r="BQ526" t="inlineStr"/>
      <c r="BR526" t="inlineStr"/>
      <c r="BS526" t="inlineStr"/>
      <c r="BT526" t="inlineStr"/>
      <c r="BU526" t="inlineStr"/>
      <c r="BV526" t="inlineStr"/>
      <c r="BW526" t="inlineStr"/>
      <c r="BX526" t="inlineStr"/>
      <c r="BY526" t="inlineStr"/>
      <c r="BZ526" t="inlineStr"/>
      <c r="CA526" t="inlineStr"/>
      <c r="CB526" t="inlineStr"/>
      <c r="CC526" t="inlineStr"/>
      <c r="CD526" t="inlineStr"/>
      <c r="CE526" t="inlineStr"/>
      <c r="CF526" t="inlineStr"/>
      <c r="CG526" t="inlineStr"/>
      <c r="CH526" t="inlineStr"/>
      <c r="CI526" t="inlineStr"/>
      <c r="CJ526" t="inlineStr"/>
      <c r="CK526" t="inlineStr"/>
      <c r="CL526" t="inlineStr"/>
      <c r="CM526" t="inlineStr"/>
      <c r="CN526" t="inlineStr"/>
      <c r="CO526" t="inlineStr"/>
      <c r="CP526" t="inlineStr"/>
      <c r="CQ526" t="inlineStr"/>
      <c r="CR526" t="inlineStr"/>
      <c r="CS526" t="inlineStr"/>
      <c r="CT526" t="inlineStr"/>
      <c r="CU526" t="inlineStr"/>
      <c r="CV526" t="inlineStr"/>
      <c r="CW526" t="inlineStr"/>
      <c r="CX526" t="inlineStr"/>
      <c r="CY526" t="inlineStr"/>
      <c r="CZ526" t="inlineStr"/>
      <c r="DA526" t="inlineStr"/>
      <c r="DB526" t="inlineStr"/>
      <c r="DC526" t="inlineStr"/>
      <c r="DD526" t="inlineStr"/>
      <c r="DE526" t="inlineStr"/>
      <c r="DF526" t="inlineStr"/>
      <c r="DG526" t="inlineStr"/>
    </row>
    <row r="527">
      <c r="A527" t="inlineStr">
        <is>
          <t>III</t>
        </is>
      </c>
      <c r="B527" t="b">
        <v>1</v>
      </c>
      <c r="C527" t="inlineStr"/>
      <c r="D527" t="inlineStr"/>
      <c r="E527" t="n">
        <v>594</v>
      </c>
      <c r="F527">
        <f>HYPERLINK("https://portal.dnb.de/opac.htm?method=simpleSearch&amp;cqlMode=true&amp;query=idn%3D1066934118", "Portal")</f>
        <v/>
      </c>
      <c r="G527" t="inlineStr">
        <is>
          <t>Aaf</t>
        </is>
      </c>
      <c r="H527" t="inlineStr">
        <is>
          <t>L-1533-315462140</t>
        </is>
      </c>
      <c r="I527" t="inlineStr">
        <is>
          <t>1066934118</t>
        </is>
      </c>
      <c r="J527" t="inlineStr">
        <is>
          <t>III 60, 50</t>
        </is>
      </c>
      <c r="K527" t="inlineStr">
        <is>
          <t>III 60, 50</t>
        </is>
      </c>
      <c r="L527" t="inlineStr">
        <is>
          <t>III 60, 50</t>
        </is>
      </c>
      <c r="M527" t="inlineStr"/>
      <c r="N527" t="inlineStr">
        <is>
          <t>VOn den übertreff=||lichisten vñ ber#[ue]mptisten fraw||en/ zw#[oe]lff iñ der gemeynd/ vnd zw#[oe]lff iñ sunderheyt ge=||zelt/ sampt jren rümlichen th</t>
        </is>
      </c>
      <c r="O527" t="inlineStr">
        <is>
          <t xml:space="preserve"> : </t>
        </is>
      </c>
      <c r="P527" t="inlineStr"/>
      <c r="Q527" t="inlineStr"/>
      <c r="R527" t="inlineStr"/>
      <c r="S527" t="inlineStr">
        <is>
          <t>bis 25 cm</t>
        </is>
      </c>
      <c r="T527" t="inlineStr"/>
      <c r="U527" t="inlineStr"/>
      <c r="V527" t="inlineStr"/>
      <c r="W527" t="inlineStr"/>
      <c r="X527" t="inlineStr"/>
      <c r="Y527" t="inlineStr"/>
      <c r="Z527" t="inlineStr"/>
      <c r="AA527" t="inlineStr"/>
      <c r="AB527" t="inlineStr"/>
      <c r="AC527" t="inlineStr"/>
      <c r="AD527" t="inlineStr"/>
      <c r="AE527" t="inlineStr"/>
      <c r="AF527" t="inlineStr"/>
      <c r="AG527" t="inlineStr"/>
      <c r="AH527" t="inlineStr"/>
      <c r="AI527" t="inlineStr">
        <is>
          <t>HL</t>
        </is>
      </c>
      <c r="AJ527" t="inlineStr"/>
      <c r="AK527" t="inlineStr">
        <is>
          <t>x</t>
        </is>
      </c>
      <c r="AL527" t="inlineStr"/>
      <c r="AM527" t="inlineStr">
        <is>
          <t>h/E</t>
        </is>
      </c>
      <c r="AN527" t="inlineStr"/>
      <c r="AO527" t="inlineStr"/>
      <c r="AP527" t="inlineStr"/>
      <c r="AQ527" t="inlineStr"/>
      <c r="AR527" t="inlineStr"/>
      <c r="AS527" t="inlineStr">
        <is>
          <t>Pa</t>
        </is>
      </c>
      <c r="AT527" t="inlineStr">
        <is>
          <t>x</t>
        </is>
      </c>
      <c r="AU527" t="inlineStr"/>
      <c r="AV527" t="inlineStr"/>
      <c r="AW527" t="inlineStr"/>
      <c r="AX527" t="inlineStr"/>
      <c r="AY527" t="inlineStr"/>
      <c r="AZ527" t="inlineStr"/>
      <c r="BA527" t="inlineStr"/>
      <c r="BB527" t="inlineStr"/>
      <c r="BC527" t="inlineStr"/>
      <c r="BD527" t="inlineStr"/>
      <c r="BE527" t="inlineStr"/>
      <c r="BF527" t="inlineStr"/>
      <c r="BG527" t="n">
        <v>110</v>
      </c>
      <c r="BH527" t="inlineStr"/>
      <c r="BI527" t="inlineStr"/>
      <c r="BJ527" t="inlineStr"/>
      <c r="BK527" t="inlineStr"/>
      <c r="BL527" t="inlineStr"/>
      <c r="BM527" t="inlineStr">
        <is>
          <t>n</t>
        </is>
      </c>
      <c r="BN527" t="n">
        <v>0</v>
      </c>
      <c r="BO527" t="inlineStr"/>
      <c r="BP527" t="inlineStr"/>
      <c r="BQ527" t="inlineStr"/>
      <c r="BR527" t="inlineStr">
        <is>
          <t>x</t>
        </is>
      </c>
      <c r="BS527" t="inlineStr"/>
      <c r="BT527" t="inlineStr"/>
      <c r="BU527" t="inlineStr"/>
      <c r="BV527" t="inlineStr"/>
      <c r="BW527" t="inlineStr"/>
      <c r="BX527" t="inlineStr"/>
      <c r="BY527" t="inlineStr"/>
      <c r="BZ527" t="inlineStr"/>
      <c r="CA527" t="inlineStr"/>
      <c r="CB527" t="inlineStr"/>
      <c r="CC527" t="inlineStr"/>
      <c r="CD527" t="inlineStr"/>
      <c r="CE527" t="inlineStr"/>
      <c r="CF527" t="inlineStr"/>
      <c r="CG527" t="inlineStr"/>
      <c r="CH527" t="inlineStr"/>
      <c r="CI527" t="inlineStr"/>
      <c r="CJ527" t="inlineStr"/>
      <c r="CK527" t="inlineStr"/>
      <c r="CL527" t="inlineStr"/>
      <c r="CM527" t="inlineStr"/>
      <c r="CN527" t="inlineStr"/>
      <c r="CO527" t="inlineStr"/>
      <c r="CP527" t="inlineStr"/>
      <c r="CQ527" t="inlineStr"/>
      <c r="CR527" t="inlineStr"/>
      <c r="CS527" t="inlineStr"/>
      <c r="CT527" t="inlineStr"/>
      <c r="CU527" t="inlineStr"/>
      <c r="CV527" t="inlineStr"/>
      <c r="CW527" t="inlineStr"/>
      <c r="CX527" t="inlineStr"/>
      <c r="CY527" t="inlineStr"/>
      <c r="CZ527" t="inlineStr"/>
      <c r="DA527" t="inlineStr"/>
      <c r="DB527" t="inlineStr"/>
      <c r="DC527" t="inlineStr"/>
      <c r="DD527" t="inlineStr"/>
      <c r="DE527" t="inlineStr"/>
      <c r="DF527" t="inlineStr"/>
      <c r="DG527" t="inlineStr"/>
    </row>
    <row r="528">
      <c r="A528" t="inlineStr">
        <is>
          <t>III</t>
        </is>
      </c>
      <c r="B528" t="b">
        <v>1</v>
      </c>
      <c r="C528" t="inlineStr"/>
      <c r="D528" t="inlineStr"/>
      <c r="E528" t="n">
        <v>595</v>
      </c>
      <c r="F528">
        <f>HYPERLINK("https://portal.dnb.de/opac.htm?method=simpleSearch&amp;cqlMode=true&amp;query=idn%3D1066957118", "Portal")</f>
        <v/>
      </c>
      <c r="G528" t="inlineStr">
        <is>
          <t>Aaf</t>
        </is>
      </c>
      <c r="H528" t="inlineStr">
        <is>
          <t>L-1533-315487739</t>
        </is>
      </c>
      <c r="I528" t="inlineStr">
        <is>
          <t>1066957118</t>
        </is>
      </c>
      <c r="J528" t="inlineStr">
        <is>
          <t>III 60, 51</t>
        </is>
      </c>
      <c r="K528" t="inlineStr">
        <is>
          <t>III 60, 51</t>
        </is>
      </c>
      <c r="L528" t="inlineStr">
        <is>
          <t>III 60, 51</t>
        </is>
      </c>
      <c r="M528" t="inlineStr"/>
      <c r="N528" t="inlineStr">
        <is>
          <t xml:space="preserve">¬DEs¬ allerdurchleuchtig=||sten großmechtigst? vn=||überwindtlichsten Key=||ser Karls des fünfften: vnnd des|| heyligen R#[oe]mischen Reichs peinlich </t>
        </is>
      </c>
      <c r="O528" t="inlineStr">
        <is>
          <t xml:space="preserve"> : </t>
        </is>
      </c>
      <c r="P528" t="inlineStr"/>
      <c r="Q528" t="inlineStr"/>
      <c r="R528" t="inlineStr"/>
      <c r="S528" t="inlineStr"/>
      <c r="T528" t="inlineStr"/>
      <c r="U528" t="inlineStr"/>
      <c r="V528" t="inlineStr"/>
      <c r="W528" t="inlineStr"/>
      <c r="X528" t="inlineStr"/>
      <c r="Y528" t="inlineStr"/>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inlineStr"/>
      <c r="BI528" t="inlineStr"/>
      <c r="BJ528" t="inlineStr"/>
      <c r="BK528" t="inlineStr"/>
      <c r="BL528" t="inlineStr"/>
      <c r="BM528" t="inlineStr"/>
      <c r="BN528" t="n">
        <v>0</v>
      </c>
      <c r="BO528" t="inlineStr"/>
      <c r="BP528" t="inlineStr"/>
      <c r="BQ528" t="inlineStr"/>
      <c r="BR528" t="inlineStr"/>
      <c r="BS528" t="inlineStr"/>
      <c r="BT528" t="inlineStr"/>
      <c r="BU528" t="inlineStr"/>
      <c r="BV528" t="inlineStr"/>
      <c r="BW528" t="inlineStr"/>
      <c r="BX528" t="inlineStr"/>
      <c r="BY528" t="inlineStr"/>
      <c r="BZ528" t="inlineStr"/>
      <c r="CA528" t="inlineStr"/>
      <c r="CB528" t="inlineStr"/>
      <c r="CC528" t="inlineStr"/>
      <c r="CD528" t="inlineStr"/>
      <c r="CE528" t="inlineStr"/>
      <c r="CF528" t="inlineStr"/>
      <c r="CG528" t="inlineStr"/>
      <c r="CH528" t="inlineStr"/>
      <c r="CI528" t="inlineStr"/>
      <c r="CJ528" t="inlineStr"/>
      <c r="CK528" t="inlineStr"/>
      <c r="CL528" t="inlineStr"/>
      <c r="CM528" t="inlineStr"/>
      <c r="CN528" t="inlineStr"/>
      <c r="CO528" t="inlineStr"/>
      <c r="CP528" t="inlineStr"/>
      <c r="CQ528" t="inlineStr"/>
      <c r="CR528" t="inlineStr"/>
      <c r="CS528" t="inlineStr"/>
      <c r="CT528" t="inlineStr"/>
      <c r="CU528" t="inlineStr"/>
      <c r="CV528" t="inlineStr"/>
      <c r="CW528" t="inlineStr"/>
      <c r="CX528" t="inlineStr"/>
      <c r="CY528" t="inlineStr"/>
      <c r="CZ528" t="inlineStr"/>
      <c r="DA528" t="inlineStr"/>
      <c r="DB528" t="inlineStr"/>
      <c r="DC528" t="inlineStr"/>
      <c r="DD528" t="inlineStr"/>
      <c r="DE528" t="inlineStr"/>
      <c r="DF528" t="inlineStr"/>
      <c r="DG528" t="inlineStr"/>
    </row>
    <row r="529">
      <c r="A529" t="inlineStr">
        <is>
          <t>III</t>
        </is>
      </c>
      <c r="B529" t="b">
        <v>1</v>
      </c>
      <c r="C529" t="inlineStr"/>
      <c r="D529" t="inlineStr"/>
      <c r="E529" t="n">
        <v>596</v>
      </c>
      <c r="F529">
        <f>HYPERLINK("https://portal.dnb.de/opac.htm?method=simpleSearch&amp;cqlMode=true&amp;query=idn%3D1066957053", "Portal")</f>
        <v/>
      </c>
      <c r="G529" t="inlineStr">
        <is>
          <t>Aaf</t>
        </is>
      </c>
      <c r="H529" t="inlineStr">
        <is>
          <t>L-1533-315487674</t>
        </is>
      </c>
      <c r="I529" t="inlineStr">
        <is>
          <t>1066957053</t>
        </is>
      </c>
      <c r="J529" t="inlineStr">
        <is>
          <t>III 60, 52</t>
        </is>
      </c>
      <c r="K529" t="inlineStr">
        <is>
          <t>III 60, 52</t>
        </is>
      </c>
      <c r="L529" t="inlineStr">
        <is>
          <t>III 60, 52</t>
        </is>
      </c>
      <c r="M529" t="inlineStr"/>
      <c r="N529" t="inlineStr">
        <is>
          <t>Titi Liuij deß|| aller redtsprechsten vnnd hochbe=||rümptsten geschicht schreibers: R#[oe]=||mische Historien mit etlichen newen translation ausz dem|</t>
        </is>
      </c>
      <c r="O529" t="inlineStr">
        <is>
          <t xml:space="preserve"> : </t>
        </is>
      </c>
      <c r="P529" t="inlineStr"/>
      <c r="Q529" t="inlineStr"/>
      <c r="R529" t="inlineStr">
        <is>
          <t>Halbledereinband, Schließen, erhabene Buchbeschläge</t>
        </is>
      </c>
      <c r="S529" t="inlineStr">
        <is>
          <t>bis 35 cm</t>
        </is>
      </c>
      <c r="T529" t="inlineStr">
        <is>
          <t>80° bis 110°, einseitig digitalisierbar?</t>
        </is>
      </c>
      <c r="U529" t="inlineStr">
        <is>
          <t>fester Rücken mit Schmuckprägung, Schrift bis in den Falz</t>
        </is>
      </c>
      <c r="V529" t="inlineStr"/>
      <c r="W529" t="inlineStr">
        <is>
          <t>Buchschuh</t>
        </is>
      </c>
      <c r="X529" t="inlineStr">
        <is>
          <t>Nein</t>
        </is>
      </c>
      <c r="Y529" t="n">
        <v>1</v>
      </c>
      <c r="Z529" t="inlineStr"/>
      <c r="AA529" t="inlineStr"/>
      <c r="AB529" t="inlineStr"/>
      <c r="AC529" t="inlineStr"/>
      <c r="AD529" t="inlineStr"/>
      <c r="AE529" t="inlineStr"/>
      <c r="AF529" t="inlineStr"/>
      <c r="AG529" t="inlineStr"/>
      <c r="AH529" t="inlineStr"/>
      <c r="AI529" t="inlineStr"/>
      <c r="AJ529" t="inlineStr"/>
      <c r="AK529" t="inlineStr"/>
      <c r="AL529" t="inlineStr"/>
      <c r="AM529" t="inlineStr"/>
      <c r="AN529" t="inlineStr"/>
      <c r="AO529" t="inlineStr"/>
      <c r="AP529" t="inlineStr"/>
      <c r="AQ529" t="inlineStr"/>
      <c r="AR529" t="inlineStr"/>
      <c r="AS529" t="inlineStr"/>
      <c r="AT529" t="inlineStr"/>
      <c r="AU529" t="inlineStr"/>
      <c r="AV529" t="inlineStr"/>
      <c r="AW529" t="inlineStr"/>
      <c r="AX529" t="inlineStr"/>
      <c r="AY529" t="inlineStr"/>
      <c r="AZ529" t="inlineStr"/>
      <c r="BA529" t="inlineStr"/>
      <c r="BB529" t="inlineStr"/>
      <c r="BC529" t="inlineStr"/>
      <c r="BD529" t="inlineStr"/>
      <c r="BE529" t="inlineStr"/>
      <c r="BF529" t="inlineStr"/>
      <c r="BG529" t="inlineStr"/>
      <c r="BH529" t="inlineStr"/>
      <c r="BI529" t="inlineStr"/>
      <c r="BJ529" t="inlineStr"/>
      <c r="BK529" t="inlineStr"/>
      <c r="BL529" t="inlineStr"/>
      <c r="BM529" t="inlineStr"/>
      <c r="BN529" t="n">
        <v>0</v>
      </c>
      <c r="BO529" t="inlineStr"/>
      <c r="BP529" t="inlineStr"/>
      <c r="BQ529" t="inlineStr"/>
      <c r="BR529" t="inlineStr"/>
      <c r="BS529" t="inlineStr"/>
      <c r="BT529" t="inlineStr"/>
      <c r="BU529" t="inlineStr"/>
      <c r="BV529" t="inlineStr"/>
      <c r="BW529" t="inlineStr"/>
      <c r="BX529" t="inlineStr"/>
      <c r="BY529" t="inlineStr"/>
      <c r="BZ529" t="inlineStr"/>
      <c r="CA529" t="inlineStr"/>
      <c r="CB529" t="inlineStr"/>
      <c r="CC529" t="inlineStr"/>
      <c r="CD529" t="inlineStr"/>
      <c r="CE529" t="inlineStr"/>
      <c r="CF529" t="inlineStr"/>
      <c r="CG529" t="inlineStr"/>
      <c r="CH529" t="inlineStr"/>
      <c r="CI529" t="inlineStr"/>
      <c r="CJ529" t="inlineStr"/>
      <c r="CK529" t="inlineStr"/>
      <c r="CL529" t="inlineStr"/>
      <c r="CM529" t="inlineStr"/>
      <c r="CN529" t="inlineStr"/>
      <c r="CO529" t="inlineStr"/>
      <c r="CP529" t="inlineStr"/>
      <c r="CQ529" t="inlineStr"/>
      <c r="CR529" t="inlineStr"/>
      <c r="CS529" t="inlineStr"/>
      <c r="CT529" t="inlineStr"/>
      <c r="CU529" t="inlineStr"/>
      <c r="CV529" t="inlineStr"/>
      <c r="CW529" t="inlineStr"/>
      <c r="CX529" t="inlineStr"/>
      <c r="CY529" t="inlineStr"/>
      <c r="CZ529" t="inlineStr"/>
      <c r="DA529" t="inlineStr"/>
      <c r="DB529" t="inlineStr"/>
      <c r="DC529" t="inlineStr"/>
      <c r="DD529" t="inlineStr"/>
      <c r="DE529" t="inlineStr"/>
      <c r="DF529" t="inlineStr"/>
      <c r="DG529" t="inlineStr"/>
    </row>
    <row r="530">
      <c r="A530" t="inlineStr">
        <is>
          <t>III</t>
        </is>
      </c>
      <c r="B530" t="b">
        <v>1</v>
      </c>
      <c r="C530" t="inlineStr"/>
      <c r="D530" t="inlineStr"/>
      <c r="E530" t="n">
        <v>597</v>
      </c>
      <c r="F530">
        <f>HYPERLINK("https://portal.dnb.de/opac.htm?method=simpleSearch&amp;cqlMode=true&amp;query=idn%3D1066963657", "Portal")</f>
        <v/>
      </c>
      <c r="G530" t="inlineStr">
        <is>
          <t>Aaf</t>
        </is>
      </c>
      <c r="H530" t="inlineStr">
        <is>
          <t>L-1533-315493895</t>
        </is>
      </c>
      <c r="I530" t="inlineStr">
        <is>
          <t>1066963657</t>
        </is>
      </c>
      <c r="J530" t="inlineStr">
        <is>
          <t>III 60, 53</t>
        </is>
      </c>
      <c r="K530" t="inlineStr">
        <is>
          <t>III 60, 53</t>
        </is>
      </c>
      <c r="L530" t="inlineStr">
        <is>
          <t>III 60, 53</t>
        </is>
      </c>
      <c r="M530" t="inlineStr"/>
      <c r="N530" t="inlineStr">
        <is>
          <t>R#[oe]mischer Keyser||licher Maiestat vnd gemey=||ner Stende des heylig? Reichs ordnung|| auff jungst gehalten Reichßt#[ae]gen gemacht/ wie es iñ|| sa</t>
        </is>
      </c>
      <c r="O530" t="inlineStr">
        <is>
          <t xml:space="preserve"> : </t>
        </is>
      </c>
      <c r="P530" t="inlineStr"/>
      <c r="Q530" t="inlineStr"/>
      <c r="R530" t="inlineStr"/>
      <c r="S530" t="inlineStr"/>
      <c r="T530" t="inlineStr"/>
      <c r="U530" t="inlineStr"/>
      <c r="V530" t="inlineStr"/>
      <c r="W530" t="inlineStr"/>
      <c r="X530" t="inlineStr"/>
      <c r="Y530" t="inlineStr"/>
      <c r="Z530" t="inlineStr"/>
      <c r="AA530" t="inlineStr"/>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inlineStr"/>
      <c r="BI530" t="inlineStr"/>
      <c r="BJ530" t="inlineStr"/>
      <c r="BK530" t="inlineStr"/>
      <c r="BL530" t="inlineStr"/>
      <c r="BM530" t="inlineStr"/>
      <c r="BN530" t="n">
        <v>0</v>
      </c>
      <c r="BO530" t="inlineStr"/>
      <c r="BP530" t="inlineStr"/>
      <c r="BQ530" t="inlineStr"/>
      <c r="BR530" t="inlineStr"/>
      <c r="BS530" t="inlineStr"/>
      <c r="BT530" t="inlineStr"/>
      <c r="BU530" t="inlineStr"/>
      <c r="BV530" t="inlineStr"/>
      <c r="BW530" t="inlineStr"/>
      <c r="BX530" t="inlineStr"/>
      <c r="BY530" t="inlineStr"/>
      <c r="BZ530" t="inlineStr"/>
      <c r="CA530" t="inlineStr"/>
      <c r="CB530" t="inlineStr"/>
      <c r="CC530" t="inlineStr"/>
      <c r="CD530" t="inlineStr"/>
      <c r="CE530" t="inlineStr"/>
      <c r="CF530" t="inlineStr"/>
      <c r="CG530" t="inlineStr"/>
      <c r="CH530" t="inlineStr"/>
      <c r="CI530" t="inlineStr"/>
      <c r="CJ530" t="inlineStr"/>
      <c r="CK530" t="inlineStr"/>
      <c r="CL530" t="inlineStr"/>
      <c r="CM530" t="inlineStr"/>
      <c r="CN530" t="inlineStr"/>
      <c r="CO530" t="inlineStr"/>
      <c r="CP530" t="inlineStr"/>
      <c r="CQ530" t="inlineStr"/>
      <c r="CR530" t="inlineStr"/>
      <c r="CS530" t="inlineStr"/>
      <c r="CT530" t="inlineStr"/>
      <c r="CU530" t="inlineStr"/>
      <c r="CV530" t="inlineStr"/>
      <c r="CW530" t="inlineStr"/>
      <c r="CX530" t="inlineStr"/>
      <c r="CY530" t="inlineStr"/>
      <c r="CZ530" t="inlineStr"/>
      <c r="DA530" t="inlineStr"/>
      <c r="DB530" t="inlineStr"/>
      <c r="DC530" t="inlineStr"/>
      <c r="DD530" t="inlineStr"/>
      <c r="DE530" t="inlineStr"/>
      <c r="DF530" t="inlineStr"/>
      <c r="DG530" t="inlineStr"/>
    </row>
    <row r="531">
      <c r="A531" t="inlineStr">
        <is>
          <t>III</t>
        </is>
      </c>
      <c r="B531" t="b">
        <v>1</v>
      </c>
      <c r="C531" t="inlineStr"/>
      <c r="D531" t="inlineStr"/>
      <c r="E531" t="n">
        <v>598</v>
      </c>
      <c r="F531">
        <f>HYPERLINK("https://portal.dnb.de/opac.htm?method=simpleSearch&amp;cqlMode=true&amp;query=idn%3D1066942382", "Portal")</f>
        <v/>
      </c>
      <c r="G531" t="inlineStr">
        <is>
          <t>Aaf</t>
        </is>
      </c>
      <c r="H531" t="inlineStr">
        <is>
          <t>L-1533-315470011</t>
        </is>
      </c>
      <c r="I531" t="inlineStr">
        <is>
          <t>1066942382</t>
        </is>
      </c>
      <c r="J531" t="inlineStr">
        <is>
          <t>III 60, 54</t>
        </is>
      </c>
      <c r="K531" t="inlineStr">
        <is>
          <t>III 60, 54</t>
        </is>
      </c>
      <c r="L531" t="inlineStr">
        <is>
          <t>III 60, 54</t>
        </is>
      </c>
      <c r="M531" t="inlineStr"/>
      <c r="N531" t="inlineStr">
        <is>
          <t>Von den welschen Purppeln|| WJe die Ritterbr#[ue]der des|| Purpelschen ordens mit grossen|| schlachten vnd stürmen jr Ritter=||schafft erhaltent/ Auch</t>
        </is>
      </c>
      <c r="O531" t="inlineStr">
        <is>
          <t xml:space="preserve"> : </t>
        </is>
      </c>
      <c r="P531" t="inlineStr"/>
      <c r="Q531" t="inlineStr"/>
      <c r="R531" t="inlineStr"/>
      <c r="S531" t="inlineStr"/>
      <c r="T531" t="inlineStr"/>
      <c r="U531" t="inlineStr"/>
      <c r="V531" t="inlineStr"/>
      <c r="W531" t="inlineStr"/>
      <c r="X531" t="inlineStr"/>
      <c r="Y531" t="inlineStr"/>
      <c r="Z531" t="inlineStr"/>
      <c r="AA531" t="inlineStr"/>
      <c r="AB531" t="inlineStr"/>
      <c r="AC531" t="inlineStr"/>
      <c r="AD531" t="inlineStr"/>
      <c r="AE531" t="inlineStr"/>
      <c r="AF531" t="inlineStr"/>
      <c r="AG531" t="inlineStr"/>
      <c r="AH531" t="inlineStr"/>
      <c r="AI531" t="inlineStr"/>
      <c r="AJ531" t="inlineStr"/>
      <c r="AK531" t="inlineStr"/>
      <c r="AL531" t="inlineStr"/>
      <c r="AM531" t="inlineStr"/>
      <c r="AN531" t="inlineStr"/>
      <c r="AO531" t="inlineStr"/>
      <c r="AP531" t="inlineStr"/>
      <c r="AQ531" t="inlineStr"/>
      <c r="AR531" t="inlineStr"/>
      <c r="AS531" t="inlineStr"/>
      <c r="AT531" t="inlineStr"/>
      <c r="AU531" t="inlineStr"/>
      <c r="AV531" t="inlineStr"/>
      <c r="AW531" t="inlineStr"/>
      <c r="AX531" t="inlineStr"/>
      <c r="AY531" t="inlineStr"/>
      <c r="AZ531" t="inlineStr"/>
      <c r="BA531" t="inlineStr"/>
      <c r="BB531" t="inlineStr"/>
      <c r="BC531" t="inlineStr"/>
      <c r="BD531" t="inlineStr"/>
      <c r="BE531" t="inlineStr"/>
      <c r="BF531" t="inlineStr"/>
      <c r="BG531" t="inlineStr"/>
      <c r="BH531" t="inlineStr"/>
      <c r="BI531" t="inlineStr"/>
      <c r="BJ531" t="inlineStr"/>
      <c r="BK531" t="inlineStr"/>
      <c r="BL531" t="inlineStr"/>
      <c r="BM531" t="inlineStr"/>
      <c r="BN531" t="n">
        <v>0</v>
      </c>
      <c r="BO531" t="inlineStr"/>
      <c r="BP531" t="inlineStr"/>
      <c r="BQ531" t="inlineStr"/>
      <c r="BR531" t="inlineStr"/>
      <c r="BS531" t="inlineStr"/>
      <c r="BT531" t="inlineStr"/>
      <c r="BU531" t="inlineStr"/>
      <c r="BV531" t="inlineStr"/>
      <c r="BW531" t="inlineStr"/>
      <c r="BX531" t="inlineStr"/>
      <c r="BY531" t="inlineStr"/>
      <c r="BZ531" t="inlineStr"/>
      <c r="CA531" t="inlineStr"/>
      <c r="CB531" t="inlineStr"/>
      <c r="CC531" t="inlineStr"/>
      <c r="CD531" t="inlineStr"/>
      <c r="CE531" t="inlineStr"/>
      <c r="CF531" t="inlineStr"/>
      <c r="CG531" t="inlineStr"/>
      <c r="CH531" t="inlineStr"/>
      <c r="CI531" t="inlineStr"/>
      <c r="CJ531" t="inlineStr"/>
      <c r="CK531" t="inlineStr"/>
      <c r="CL531" t="inlineStr"/>
      <c r="CM531" t="inlineStr"/>
      <c r="CN531" t="inlineStr"/>
      <c r="CO531" t="inlineStr"/>
      <c r="CP531" t="inlineStr"/>
      <c r="CQ531" t="inlineStr"/>
      <c r="CR531" t="inlineStr"/>
      <c r="CS531" t="inlineStr"/>
      <c r="CT531" t="inlineStr"/>
      <c r="CU531" t="inlineStr"/>
      <c r="CV531" t="inlineStr"/>
      <c r="CW531" t="inlineStr"/>
      <c r="CX531" t="inlineStr"/>
      <c r="CY531" t="inlineStr"/>
      <c r="CZ531" t="inlineStr"/>
      <c r="DA531" t="inlineStr"/>
      <c r="DB531" t="inlineStr"/>
      <c r="DC531" t="inlineStr"/>
      <c r="DD531" t="inlineStr"/>
      <c r="DE531" t="inlineStr"/>
      <c r="DF531" t="inlineStr"/>
      <c r="DG531" t="inlineStr"/>
    </row>
    <row r="532">
      <c r="A532" t="inlineStr">
        <is>
          <t>III</t>
        </is>
      </c>
      <c r="B532" t="b">
        <v>1</v>
      </c>
      <c r="C532" t="inlineStr"/>
      <c r="D532" t="inlineStr"/>
      <c r="E532" t="inlineStr"/>
      <c r="F532">
        <f>HYPERLINK("https://portal.dnb.de/opac.htm?method=simpleSearch&amp;cqlMode=true&amp;query=idn%3D1138249351", "Portal")</f>
        <v/>
      </c>
      <c r="G532" t="inlineStr">
        <is>
          <t>Qd</t>
        </is>
      </c>
      <c r="H532" t="inlineStr">
        <is>
          <t>L-9999-414753321</t>
        </is>
      </c>
      <c r="I532" t="inlineStr">
        <is>
          <t>1138249351</t>
        </is>
      </c>
      <c r="J532" t="inlineStr">
        <is>
          <t>III 60, 55</t>
        </is>
      </c>
      <c r="K532" t="inlineStr">
        <is>
          <t>III 60, 55</t>
        </is>
      </c>
      <c r="L532" t="inlineStr">
        <is>
          <t>III 60, 55</t>
        </is>
      </c>
      <c r="M532" t="inlineStr"/>
      <c r="N532" t="inlineStr">
        <is>
          <t xml:space="preserve">Sammelband : </t>
        </is>
      </c>
      <c r="O532" t="inlineStr">
        <is>
          <t xml:space="preserve"> : </t>
        </is>
      </c>
      <c r="P532" t="inlineStr">
        <is>
          <t>X</t>
        </is>
      </c>
      <c r="Q532" t="inlineStr"/>
      <c r="R532" t="inlineStr">
        <is>
          <t>Ledereinband</t>
        </is>
      </c>
      <c r="S532" t="inlineStr">
        <is>
          <t>bis 25 cm</t>
        </is>
      </c>
      <c r="T532" t="inlineStr">
        <is>
          <t>80° bis 110°, einseitig digitalisierbar?</t>
        </is>
      </c>
      <c r="U532" t="inlineStr">
        <is>
          <t>fester Rücken mit Schmuckprägung</t>
        </is>
      </c>
      <c r="V532" t="inlineStr"/>
      <c r="W532" t="inlineStr"/>
      <c r="X532" t="inlineStr"/>
      <c r="Y532" t="n">
        <v>0</v>
      </c>
      <c r="Z532" t="inlineStr"/>
      <c r="AA532" t="inlineStr"/>
      <c r="AB532" t="inlineStr"/>
      <c r="AC532" t="inlineStr"/>
      <c r="AD532" t="inlineStr"/>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c r="AT532" t="inlineStr"/>
      <c r="AU532" t="inlineStr"/>
      <c r="AV532" t="inlineStr"/>
      <c r="AW532" t="inlineStr"/>
      <c r="AX532" t="inlineStr"/>
      <c r="AY532" t="inlineStr"/>
      <c r="AZ532" t="inlineStr"/>
      <c r="BA532" t="inlineStr"/>
      <c r="BB532" t="inlineStr"/>
      <c r="BC532" t="inlineStr"/>
      <c r="BD532" t="inlineStr"/>
      <c r="BE532" t="inlineStr"/>
      <c r="BF532" t="inlineStr"/>
      <c r="BG532" t="inlineStr"/>
      <c r="BH532" t="inlineStr"/>
      <c r="BI532" t="inlineStr"/>
      <c r="BJ532" t="inlineStr"/>
      <c r="BK532" t="inlineStr"/>
      <c r="BL532" t="inlineStr"/>
      <c r="BM532" t="inlineStr"/>
      <c r="BN532" t="n">
        <v>0</v>
      </c>
      <c r="BO532" t="inlineStr"/>
      <c r="BP532" t="inlineStr"/>
      <c r="BQ532" t="inlineStr"/>
      <c r="BR532" t="inlineStr"/>
      <c r="BS532" t="inlineStr"/>
      <c r="BT532" t="inlineStr"/>
      <c r="BU532" t="inlineStr"/>
      <c r="BV532" t="inlineStr"/>
      <c r="BW532" t="inlineStr"/>
      <c r="BX532" t="inlineStr"/>
      <c r="BY532" t="inlineStr"/>
      <c r="BZ532" t="inlineStr"/>
      <c r="CA532" t="inlineStr"/>
      <c r="CB532" t="inlineStr"/>
      <c r="CC532" t="inlineStr"/>
      <c r="CD532" t="inlineStr"/>
      <c r="CE532" t="inlineStr"/>
      <c r="CF532" t="inlineStr"/>
      <c r="CG532" t="inlineStr"/>
      <c r="CH532" t="inlineStr"/>
      <c r="CI532" t="inlineStr"/>
      <c r="CJ532" t="inlineStr"/>
      <c r="CK532" t="inlineStr"/>
      <c r="CL532" t="inlineStr"/>
      <c r="CM532" t="inlineStr"/>
      <c r="CN532" t="inlineStr"/>
      <c r="CO532" t="inlineStr"/>
      <c r="CP532" t="inlineStr"/>
      <c r="CQ532" t="inlineStr"/>
      <c r="CR532" t="inlineStr"/>
      <c r="CS532" t="inlineStr"/>
      <c r="CT532" t="inlineStr"/>
      <c r="CU532" t="inlineStr"/>
      <c r="CV532" t="inlineStr"/>
      <c r="CW532" t="inlineStr"/>
      <c r="CX532" t="inlineStr"/>
      <c r="CY532" t="inlineStr"/>
      <c r="CZ532" t="inlineStr"/>
      <c r="DA532" t="inlineStr"/>
      <c r="DB532" t="inlineStr"/>
      <c r="DC532" t="inlineStr"/>
      <c r="DD532" t="inlineStr"/>
      <c r="DE532" t="inlineStr"/>
      <c r="DF532" t="inlineStr"/>
      <c r="DG532" t="inlineStr"/>
    </row>
    <row r="533">
      <c r="A533" t="inlineStr">
        <is>
          <t>III</t>
        </is>
      </c>
      <c r="B533" t="b">
        <v>1</v>
      </c>
      <c r="C533" t="inlineStr"/>
      <c r="D533" t="inlineStr"/>
      <c r="E533" t="n">
        <v>600</v>
      </c>
      <c r="F533">
        <f>HYPERLINK("https://portal.dnb.de/opac.htm?method=simpleSearch&amp;cqlMode=true&amp;query=idn%3D1066959846", "Portal")</f>
        <v/>
      </c>
      <c r="G533" t="inlineStr">
        <is>
          <t>Aaf</t>
        </is>
      </c>
      <c r="H533" t="inlineStr">
        <is>
          <t>L-1534-315490365</t>
        </is>
      </c>
      <c r="I533" t="inlineStr">
        <is>
          <t>1066959846</t>
        </is>
      </c>
      <c r="J533" t="inlineStr">
        <is>
          <t>III 60, 56</t>
        </is>
      </c>
      <c r="K533" t="inlineStr">
        <is>
          <t>III 60, 56</t>
        </is>
      </c>
      <c r="L533" t="inlineStr">
        <is>
          <t>III 60, 56</t>
        </is>
      </c>
      <c r="M533" t="inlineStr"/>
      <c r="N533" t="inlineStr">
        <is>
          <t>VNdergerichts ordnung|| des Ertzstiffts Meyntz:|| iñ welcher gantz fleissig angezeygt/ wie vnd welch=||er gestalt an allen vnd jeden obgemelts Ertzsti</t>
        </is>
      </c>
      <c r="O533" t="inlineStr">
        <is>
          <t xml:space="preserve"> : </t>
        </is>
      </c>
      <c r="P533" t="inlineStr"/>
      <c r="Q533" t="inlineStr"/>
      <c r="R533" t="inlineStr"/>
      <c r="S533" t="inlineStr"/>
      <c r="T533" t="inlineStr"/>
      <c r="U533" t="inlineStr"/>
      <c r="V533" t="inlineStr"/>
      <c r="W533" t="inlineStr"/>
      <c r="X533" t="inlineStr"/>
      <c r="Y533" t="inlineStr"/>
      <c r="Z533" t="inlineStr"/>
      <c r="AA533" t="inlineStr"/>
      <c r="AB533" t="inlineStr"/>
      <c r="AC533" t="inlineStr"/>
      <c r="AD533" t="inlineStr"/>
      <c r="AE533" t="inlineStr"/>
      <c r="AF533" t="inlineStr"/>
      <c r="AG533" t="inlineStr"/>
      <c r="AH533" t="inlineStr"/>
      <c r="AI533" t="inlineStr"/>
      <c r="AJ533" t="inlineStr"/>
      <c r="AK533" t="inlineStr"/>
      <c r="AL533" t="inlineStr"/>
      <c r="AM533" t="inlineStr"/>
      <c r="AN533" t="inlineStr"/>
      <c r="AO533" t="inlineStr"/>
      <c r="AP533" t="inlineStr"/>
      <c r="AQ533" t="inlineStr"/>
      <c r="AR533" t="inlineStr"/>
      <c r="AS533" t="inlineStr"/>
      <c r="AT533" t="inlineStr"/>
      <c r="AU533" t="inlineStr"/>
      <c r="AV533" t="inlineStr"/>
      <c r="AW533" t="inlineStr"/>
      <c r="AX533" t="inlineStr"/>
      <c r="AY533" t="inlineStr"/>
      <c r="AZ533" t="inlineStr"/>
      <c r="BA533" t="inlineStr"/>
      <c r="BB533" t="inlineStr"/>
      <c r="BC533" t="inlineStr"/>
      <c r="BD533" t="inlineStr"/>
      <c r="BE533" t="inlineStr"/>
      <c r="BF533" t="inlineStr"/>
      <c r="BG533" t="inlineStr"/>
      <c r="BH533" t="inlineStr"/>
      <c r="BI533" t="inlineStr"/>
      <c r="BJ533" t="inlineStr"/>
      <c r="BK533" t="inlineStr"/>
      <c r="BL533" t="inlineStr"/>
      <c r="BM533" t="inlineStr"/>
      <c r="BN533" t="n">
        <v>0</v>
      </c>
      <c r="BO533" t="inlineStr"/>
      <c r="BP533" t="inlineStr"/>
      <c r="BQ533" t="inlineStr"/>
      <c r="BR533" t="inlineStr"/>
      <c r="BS533" t="inlineStr"/>
      <c r="BT533" t="inlineStr"/>
      <c r="BU533" t="inlineStr"/>
      <c r="BV533" t="inlineStr"/>
      <c r="BW533" t="inlineStr"/>
      <c r="BX533" t="inlineStr"/>
      <c r="BY533" t="inlineStr"/>
      <c r="BZ533" t="inlineStr"/>
      <c r="CA533" t="inlineStr"/>
      <c r="CB533" t="inlineStr"/>
      <c r="CC533" t="inlineStr"/>
      <c r="CD533" t="inlineStr"/>
      <c r="CE533" t="inlineStr"/>
      <c r="CF533" t="inlineStr"/>
      <c r="CG533" t="inlineStr"/>
      <c r="CH533" t="inlineStr"/>
      <c r="CI533" t="inlineStr"/>
      <c r="CJ533" t="inlineStr"/>
      <c r="CK533" t="inlineStr"/>
      <c r="CL533" t="inlineStr"/>
      <c r="CM533" t="inlineStr"/>
      <c r="CN533" t="inlineStr"/>
      <c r="CO533" t="inlineStr"/>
      <c r="CP533" t="inlineStr"/>
      <c r="CQ533" t="inlineStr"/>
      <c r="CR533" t="inlineStr"/>
      <c r="CS533" t="inlineStr"/>
      <c r="CT533" t="inlineStr"/>
      <c r="CU533" t="inlineStr"/>
      <c r="CV533" t="inlineStr"/>
      <c r="CW533" t="inlineStr"/>
      <c r="CX533" t="inlineStr"/>
      <c r="CY533" t="inlineStr"/>
      <c r="CZ533" t="inlineStr"/>
      <c r="DA533" t="inlineStr"/>
      <c r="DB533" t="inlineStr"/>
      <c r="DC533" t="inlineStr"/>
      <c r="DD533" t="inlineStr"/>
      <c r="DE533" t="inlineStr"/>
      <c r="DF533" t="inlineStr"/>
      <c r="DG533" t="inlineStr"/>
    </row>
    <row r="534">
      <c r="A534" t="inlineStr">
        <is>
          <t>III</t>
        </is>
      </c>
      <c r="B534" t="b">
        <v>1</v>
      </c>
      <c r="C534" t="inlineStr"/>
      <c r="D534" t="inlineStr"/>
      <c r="E534" t="n">
        <v>601</v>
      </c>
      <c r="F534">
        <f>HYPERLINK("https://portal.dnb.de/opac.htm?method=simpleSearch&amp;cqlMode=true&amp;query=idn%3D1066959854", "Portal")</f>
        <v/>
      </c>
      <c r="G534" t="inlineStr">
        <is>
          <t>Aal</t>
        </is>
      </c>
      <c r="H534" t="inlineStr">
        <is>
          <t>L-1535-315490373</t>
        </is>
      </c>
      <c r="I534" t="inlineStr">
        <is>
          <t>1066959854</t>
        </is>
      </c>
      <c r="J534" t="inlineStr">
        <is>
          <t>III 60, 57</t>
        </is>
      </c>
      <c r="K534" t="inlineStr">
        <is>
          <t>III 60, 57</t>
        </is>
      </c>
      <c r="L534" t="inlineStr">
        <is>
          <t>III 60, 57</t>
        </is>
      </c>
      <c r="M534" t="inlineStr"/>
      <c r="N534" t="inlineStr">
        <is>
          <t>VNdergerichts ordnung des|| Ertzstiffts Meyntz/ inn welcher gantz fleissig an=||gezeygt/ wie vnd welcher gestalt an allen vnd|| jeden obgemelts Ertzst</t>
        </is>
      </c>
      <c r="O534" t="inlineStr">
        <is>
          <t xml:space="preserve"> : </t>
        </is>
      </c>
      <c r="P534" t="inlineStr">
        <is>
          <t>X</t>
        </is>
      </c>
      <c r="Q534" t="inlineStr"/>
      <c r="R534" t="inlineStr">
        <is>
          <t>Papier- oder Pappeinband, Schließen, erhabene Buchbeschläge</t>
        </is>
      </c>
      <c r="S534" t="inlineStr">
        <is>
          <t>bis 35 cm</t>
        </is>
      </c>
      <c r="T534" t="inlineStr">
        <is>
          <t>180°</t>
        </is>
      </c>
      <c r="U534" t="inlineStr">
        <is>
          <t>hohler Rücken</t>
        </is>
      </c>
      <c r="V534" t="inlineStr"/>
      <c r="W534" t="inlineStr">
        <is>
          <t>Buchschuh</t>
        </is>
      </c>
      <c r="X534" t="inlineStr">
        <is>
          <t>Nein</t>
        </is>
      </c>
      <c r="Y534" t="n">
        <v>0</v>
      </c>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inlineStr"/>
      <c r="BI534" t="inlineStr"/>
      <c r="BJ534" t="inlineStr"/>
      <c r="BK534" t="inlineStr"/>
      <c r="BL534" t="inlineStr"/>
      <c r="BM534" t="inlineStr"/>
      <c r="BN534" t="n">
        <v>0</v>
      </c>
      <c r="BO534" t="inlineStr"/>
      <c r="BP534" t="inlineStr"/>
      <c r="BQ534" t="inlineStr"/>
      <c r="BR534" t="inlineStr"/>
      <c r="BS534" t="inlineStr"/>
      <c r="BT534" t="inlineStr"/>
      <c r="BU534" t="inlineStr"/>
      <c r="BV534" t="inlineStr"/>
      <c r="BW534" t="inlineStr"/>
      <c r="BX534" t="inlineStr"/>
      <c r="BY534" t="inlineStr"/>
      <c r="BZ534" t="inlineStr"/>
      <c r="CA534" t="inlineStr"/>
      <c r="CB534" t="inlineStr"/>
      <c r="CC534" t="inlineStr"/>
      <c r="CD534" t="inlineStr"/>
      <c r="CE534" t="inlineStr"/>
      <c r="CF534" t="inlineStr"/>
      <c r="CG534" t="inlineStr"/>
      <c r="CH534" t="inlineStr"/>
      <c r="CI534" t="inlineStr"/>
      <c r="CJ534" t="inlineStr"/>
      <c r="CK534" t="inlineStr"/>
      <c r="CL534" t="inlineStr"/>
      <c r="CM534" t="inlineStr"/>
      <c r="CN534" t="inlineStr"/>
      <c r="CO534" t="inlineStr"/>
      <c r="CP534" t="inlineStr"/>
      <c r="CQ534" t="inlineStr"/>
      <c r="CR534" t="inlineStr"/>
      <c r="CS534" t="inlineStr"/>
      <c r="CT534" t="inlineStr"/>
      <c r="CU534" t="inlineStr"/>
      <c r="CV534" t="inlineStr"/>
      <c r="CW534" t="inlineStr"/>
      <c r="CX534" t="inlineStr"/>
      <c r="CY534" t="inlineStr"/>
      <c r="CZ534" t="inlineStr"/>
      <c r="DA534" t="inlineStr"/>
      <c r="DB534" t="inlineStr"/>
      <c r="DC534" t="inlineStr"/>
      <c r="DD534" t="inlineStr"/>
      <c r="DE534" t="inlineStr"/>
      <c r="DF534" t="inlineStr"/>
      <c r="DG534" t="inlineStr"/>
    </row>
    <row r="535">
      <c r="A535" t="inlineStr">
        <is>
          <t>III</t>
        </is>
      </c>
      <c r="B535" t="b">
        <v>1</v>
      </c>
      <c r="C535" t="inlineStr"/>
      <c r="D535" t="inlineStr"/>
      <c r="E535" t="n">
        <v>602</v>
      </c>
      <c r="F535">
        <f>HYPERLINK("https://portal.dnb.de/opac.htm?method=simpleSearch&amp;cqlMode=true&amp;query=idn%3D106696257X", "Portal")</f>
        <v/>
      </c>
      <c r="G535" t="inlineStr">
        <is>
          <t>Aaf</t>
        </is>
      </c>
      <c r="H535" t="inlineStr">
        <is>
          <t>L-1535-315492929</t>
        </is>
      </c>
      <c r="I535" t="inlineStr">
        <is>
          <t>106696257X</t>
        </is>
      </c>
      <c r="J535" t="inlineStr">
        <is>
          <t>III 60, 58</t>
        </is>
      </c>
      <c r="K535" t="inlineStr">
        <is>
          <t>III 60, 58</t>
        </is>
      </c>
      <c r="L535" t="inlineStr">
        <is>
          <t>III 60, 58</t>
        </is>
      </c>
      <c r="M535" t="inlineStr"/>
      <c r="N535" t="inlineStr">
        <is>
          <t>Der @R#[oe]mischen|| Keyser Historien: von dem abgang|| des Augusti an: biß auff Titum|| vnd Vespasianum/ von jar zu jar/ durch Corne=||lium Tacitum b</t>
        </is>
      </c>
      <c r="O535" t="inlineStr">
        <is>
          <t xml:space="preserve"> : </t>
        </is>
      </c>
      <c r="P535" t="inlineStr"/>
      <c r="Q535" t="inlineStr"/>
      <c r="R535" t="inlineStr"/>
      <c r="S535" t="inlineStr"/>
      <c r="T535" t="inlineStr"/>
      <c r="U535" t="inlineStr"/>
      <c r="V535" t="inlineStr"/>
      <c r="W535" t="inlineStr"/>
      <c r="X535" t="inlineStr"/>
      <c r="Y535" t="inlineStr"/>
      <c r="Z535" t="inlineStr"/>
      <c r="AA535" t="inlineStr"/>
      <c r="AB535" t="inlineStr"/>
      <c r="AC535" t="inlineStr"/>
      <c r="AD535" t="inlineStr"/>
      <c r="AE535" t="inlineStr"/>
      <c r="AF535" t="inlineStr"/>
      <c r="AG535" t="inlineStr"/>
      <c r="AH535" t="inlineStr"/>
      <c r="AI535" t="inlineStr"/>
      <c r="AJ535" t="inlineStr"/>
      <c r="AK535" t="inlineStr"/>
      <c r="AL535" t="inlineStr"/>
      <c r="AM535" t="inlineStr"/>
      <c r="AN535" t="inlineStr"/>
      <c r="AO535" t="inlineStr"/>
      <c r="AP535" t="inlineStr"/>
      <c r="AQ535" t="inlineStr"/>
      <c r="AR535" t="inlineStr"/>
      <c r="AS535" t="inlineStr"/>
      <c r="AT535" t="inlineStr"/>
      <c r="AU535" t="inlineStr"/>
      <c r="AV535" t="inlineStr"/>
      <c r="AW535" t="inlineStr"/>
      <c r="AX535" t="inlineStr"/>
      <c r="AY535" t="inlineStr"/>
      <c r="AZ535" t="inlineStr"/>
      <c r="BA535" t="inlineStr"/>
      <c r="BB535" t="inlineStr"/>
      <c r="BC535" t="inlineStr"/>
      <c r="BD535" t="inlineStr"/>
      <c r="BE535" t="inlineStr"/>
      <c r="BF535" t="inlineStr"/>
      <c r="BG535" t="inlineStr"/>
      <c r="BH535" t="inlineStr"/>
      <c r="BI535" t="inlineStr"/>
      <c r="BJ535" t="inlineStr"/>
      <c r="BK535" t="inlineStr"/>
      <c r="BL535" t="inlineStr"/>
      <c r="BM535" t="inlineStr"/>
      <c r="BN535" t="n">
        <v>0</v>
      </c>
      <c r="BO535" t="inlineStr"/>
      <c r="BP535" t="inlineStr"/>
      <c r="BQ535" t="inlineStr"/>
      <c r="BR535" t="inlineStr"/>
      <c r="BS535" t="inlineStr"/>
      <c r="BT535" t="inlineStr"/>
      <c r="BU535" t="inlineStr"/>
      <c r="BV535" t="inlineStr"/>
      <c r="BW535" t="inlineStr"/>
      <c r="BX535" t="inlineStr"/>
      <c r="BY535" t="inlineStr"/>
      <c r="BZ535" t="inlineStr"/>
      <c r="CA535" t="inlineStr"/>
      <c r="CB535" t="inlineStr"/>
      <c r="CC535" t="inlineStr"/>
      <c r="CD535" t="inlineStr"/>
      <c r="CE535" t="inlineStr"/>
      <c r="CF535" t="inlineStr"/>
      <c r="CG535" t="inlineStr"/>
      <c r="CH535" t="inlineStr"/>
      <c r="CI535" t="inlineStr"/>
      <c r="CJ535" t="inlineStr"/>
      <c r="CK535" t="inlineStr"/>
      <c r="CL535" t="inlineStr"/>
      <c r="CM535" t="inlineStr"/>
      <c r="CN535" t="inlineStr"/>
      <c r="CO535" t="inlineStr"/>
      <c r="CP535" t="inlineStr"/>
      <c r="CQ535" t="inlineStr"/>
      <c r="CR535" t="inlineStr"/>
      <c r="CS535" t="inlineStr"/>
      <c r="CT535" t="inlineStr"/>
      <c r="CU535" t="inlineStr"/>
      <c r="CV535" t="inlineStr"/>
      <c r="CW535" t="inlineStr"/>
      <c r="CX535" t="inlineStr"/>
      <c r="CY535" t="inlineStr"/>
      <c r="CZ535" t="inlineStr"/>
      <c r="DA535" t="inlineStr"/>
      <c r="DB535" t="inlineStr"/>
      <c r="DC535" t="inlineStr"/>
      <c r="DD535" t="inlineStr"/>
      <c r="DE535" t="inlineStr"/>
      <c r="DF535" t="inlineStr"/>
      <c r="DG535" t="inlineStr"/>
    </row>
    <row r="536">
      <c r="A536" t="inlineStr">
        <is>
          <t>III</t>
        </is>
      </c>
      <c r="B536" t="b">
        <v>1</v>
      </c>
      <c r="C536" t="inlineStr"/>
      <c r="D536" t="inlineStr"/>
      <c r="E536" t="n">
        <v>603</v>
      </c>
      <c r="F536">
        <f>HYPERLINK("https://portal.dnb.de/opac.htm?method=simpleSearch&amp;cqlMode=true&amp;query=idn%3D106696260X", "Portal")</f>
        <v/>
      </c>
      <c r="G536" t="inlineStr">
        <is>
          <t>Aaf</t>
        </is>
      </c>
      <c r="H536" t="inlineStr">
        <is>
          <t>L-1537-315492953</t>
        </is>
      </c>
      <c r="I536" t="inlineStr">
        <is>
          <t>106696260X</t>
        </is>
      </c>
      <c r="J536" t="inlineStr">
        <is>
          <t>III 60, 59</t>
        </is>
      </c>
      <c r="K536" t="inlineStr">
        <is>
          <t>III 60, 59</t>
        </is>
      </c>
      <c r="L536" t="inlineStr">
        <is>
          <t>III 60, 59</t>
        </is>
      </c>
      <c r="M536" t="inlineStr"/>
      <c r="N536" t="inlineStr">
        <is>
          <t>LATINISSI||MAE COLLOQVIORVM|| FORMVLAE.|| Ex Terentij Comoedijs selectae,(à Cornelio Grapheo ||)|| ac in Germanicam Lin-||guam uersae.||[v.(IOANNES PI</t>
        </is>
      </c>
      <c r="O536" t="inlineStr">
        <is>
          <t xml:space="preserve"> : </t>
        </is>
      </c>
      <c r="P536" t="inlineStr"/>
      <c r="Q536" t="inlineStr"/>
      <c r="R536" t="inlineStr"/>
      <c r="S536" t="inlineStr"/>
      <c r="T536" t="inlineStr"/>
      <c r="U536" t="inlineStr"/>
      <c r="V536" t="inlineStr"/>
      <c r="W536" t="inlineStr"/>
      <c r="X536" t="inlineStr"/>
      <c r="Y536" t="inlineStr"/>
      <c r="Z536" t="inlineStr"/>
      <c r="AA536" t="inlineStr"/>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c r="BD536" t="inlineStr"/>
      <c r="BE536" t="inlineStr"/>
      <c r="BF536" t="inlineStr"/>
      <c r="BG536" t="inlineStr"/>
      <c r="BH536" t="inlineStr"/>
      <c r="BI536" t="inlineStr"/>
      <c r="BJ536" t="inlineStr"/>
      <c r="BK536" t="inlineStr"/>
      <c r="BL536" t="inlineStr"/>
      <c r="BM536" t="inlineStr"/>
      <c r="BN536" t="n">
        <v>0</v>
      </c>
      <c r="BO536" t="inlineStr"/>
      <c r="BP536" t="inlineStr"/>
      <c r="BQ536" t="inlineStr"/>
      <c r="BR536" t="inlineStr"/>
      <c r="BS536" t="inlineStr"/>
      <c r="BT536" t="inlineStr"/>
      <c r="BU536" t="inlineStr"/>
      <c r="BV536" t="inlineStr"/>
      <c r="BW536" t="inlineStr"/>
      <c r="BX536" t="inlineStr"/>
      <c r="BY536" t="inlineStr"/>
      <c r="BZ536" t="inlineStr"/>
      <c r="CA536" t="inlineStr"/>
      <c r="CB536" t="inlineStr"/>
      <c r="CC536" t="inlineStr"/>
      <c r="CD536" t="inlineStr"/>
      <c r="CE536" t="inlineStr"/>
      <c r="CF536" t="inlineStr"/>
      <c r="CG536" t="inlineStr"/>
      <c r="CH536" t="inlineStr"/>
      <c r="CI536" t="inlineStr"/>
      <c r="CJ536" t="inlineStr"/>
      <c r="CK536" t="inlineStr"/>
      <c r="CL536" t="inlineStr"/>
      <c r="CM536" t="inlineStr"/>
      <c r="CN536" t="inlineStr"/>
      <c r="CO536" t="inlineStr"/>
      <c r="CP536" t="inlineStr"/>
      <c r="CQ536" t="inlineStr"/>
      <c r="CR536" t="inlineStr"/>
      <c r="CS536" t="inlineStr"/>
      <c r="CT536" t="inlineStr"/>
      <c r="CU536" t="inlineStr"/>
      <c r="CV536" t="inlineStr"/>
      <c r="CW536" t="inlineStr"/>
      <c r="CX536" t="inlineStr"/>
      <c r="CY536" t="inlineStr"/>
      <c r="CZ536" t="inlineStr"/>
      <c r="DA536" t="inlineStr"/>
      <c r="DB536" t="inlineStr"/>
      <c r="DC536" t="inlineStr"/>
      <c r="DD536" t="inlineStr"/>
      <c r="DE536" t="inlineStr"/>
      <c r="DF536" t="inlineStr"/>
      <c r="DG536" t="inlineStr"/>
    </row>
    <row r="537">
      <c r="A537" t="inlineStr">
        <is>
          <t>III</t>
        </is>
      </c>
      <c r="B537" t="b">
        <v>1</v>
      </c>
      <c r="C537" t="inlineStr"/>
      <c r="D537" t="inlineStr"/>
      <c r="E537" t="n">
        <v>604</v>
      </c>
      <c r="F537">
        <f>HYPERLINK("https://portal.dnb.de/opac.htm?method=simpleSearch&amp;cqlMode=true&amp;query=idn%3D1066941106", "Portal")</f>
        <v/>
      </c>
      <c r="G537" t="inlineStr">
        <is>
          <t>Aaf</t>
        </is>
      </c>
      <c r="H537" t="inlineStr">
        <is>
          <t>L-1537-315468831</t>
        </is>
      </c>
      <c r="I537" t="inlineStr">
        <is>
          <t>1066941106</t>
        </is>
      </c>
      <c r="J537" t="inlineStr">
        <is>
          <t>III 60, 60</t>
        </is>
      </c>
      <c r="K537" t="inlineStr">
        <is>
          <t>III 60, 60</t>
        </is>
      </c>
      <c r="L537" t="inlineStr">
        <is>
          <t>III 60, 60</t>
        </is>
      </c>
      <c r="M537" t="inlineStr"/>
      <c r="N537" t="inlineStr">
        <is>
          <t xml:space="preserve">EYn @verantvorttung Podagrae vor dem Richter... : </t>
        </is>
      </c>
      <c r="O537" t="inlineStr">
        <is>
          <t xml:space="preserve"> : </t>
        </is>
      </c>
      <c r="P537" t="inlineStr">
        <is>
          <t>X</t>
        </is>
      </c>
      <c r="Q537" t="inlineStr"/>
      <c r="R537" t="inlineStr">
        <is>
          <t>Papier- oder Pappeinband</t>
        </is>
      </c>
      <c r="S537" t="inlineStr">
        <is>
          <t>bis 25 cm</t>
        </is>
      </c>
      <c r="T537" t="inlineStr">
        <is>
          <t>180°</t>
        </is>
      </c>
      <c r="U537" t="inlineStr">
        <is>
          <t>hohler Rücken</t>
        </is>
      </c>
      <c r="V537" t="inlineStr"/>
      <c r="W537" t="inlineStr"/>
      <c r="X537" t="inlineStr"/>
      <c r="Y537" t="n">
        <v>0</v>
      </c>
      <c r="Z537" t="inlineStr"/>
      <c r="AA537" t="inlineStr"/>
      <c r="AB537" t="inlineStr"/>
      <c r="AC537" t="inlineStr"/>
      <c r="AD537" t="inlineStr"/>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c r="BD537" t="inlineStr"/>
      <c r="BE537" t="inlineStr"/>
      <c r="BF537" t="inlineStr"/>
      <c r="BG537" t="inlineStr"/>
      <c r="BH537" t="inlineStr"/>
      <c r="BI537" t="inlineStr"/>
      <c r="BJ537" t="inlineStr"/>
      <c r="BK537" t="inlineStr"/>
      <c r="BL537" t="inlineStr"/>
      <c r="BM537" t="inlineStr"/>
      <c r="BN537" t="n">
        <v>0</v>
      </c>
      <c r="BO537" t="inlineStr"/>
      <c r="BP537" t="inlineStr"/>
      <c r="BQ537" t="inlineStr"/>
      <c r="BR537" t="inlineStr"/>
      <c r="BS537" t="inlineStr"/>
      <c r="BT537" t="inlineStr"/>
      <c r="BU537" t="inlineStr"/>
      <c r="BV537" t="inlineStr"/>
      <c r="BW537" t="inlineStr"/>
      <c r="BX537" t="inlineStr"/>
      <c r="BY537" t="inlineStr"/>
      <c r="BZ537" t="inlineStr"/>
      <c r="CA537" t="inlineStr"/>
      <c r="CB537" t="inlineStr"/>
      <c r="CC537" t="inlineStr"/>
      <c r="CD537" t="inlineStr"/>
      <c r="CE537" t="inlineStr"/>
      <c r="CF537" t="inlineStr"/>
      <c r="CG537" t="inlineStr"/>
      <c r="CH537" t="inlineStr"/>
      <c r="CI537" t="inlineStr"/>
      <c r="CJ537" t="inlineStr"/>
      <c r="CK537" t="inlineStr"/>
      <c r="CL537" t="inlineStr"/>
      <c r="CM537" t="inlineStr"/>
      <c r="CN537" t="inlineStr"/>
      <c r="CO537" t="inlineStr"/>
      <c r="CP537" t="inlineStr"/>
      <c r="CQ537" t="inlineStr"/>
      <c r="CR537" t="inlineStr"/>
      <c r="CS537" t="inlineStr"/>
      <c r="CT537" t="inlineStr"/>
      <c r="CU537" t="inlineStr"/>
      <c r="CV537" t="inlineStr"/>
      <c r="CW537" t="inlineStr"/>
      <c r="CX537" t="inlineStr"/>
      <c r="CY537" t="inlineStr"/>
      <c r="CZ537" t="inlineStr"/>
      <c r="DA537" t="inlineStr"/>
      <c r="DB537" t="inlineStr"/>
      <c r="DC537" t="inlineStr"/>
      <c r="DD537" t="inlineStr"/>
      <c r="DE537" t="inlineStr"/>
      <c r="DF537" t="inlineStr"/>
      <c r="DG537" t="inlineStr"/>
    </row>
    <row r="538">
      <c r="A538" t="inlineStr">
        <is>
          <t>III</t>
        </is>
      </c>
      <c r="B538" t="b">
        <v>1</v>
      </c>
      <c r="C538" t="inlineStr">
        <is>
          <t>x</t>
        </is>
      </c>
      <c r="D538" t="inlineStr"/>
      <c r="E538" t="n">
        <v>605</v>
      </c>
      <c r="F538">
        <f>HYPERLINK("https://portal.dnb.de/opac.htm?method=simpleSearch&amp;cqlMode=true&amp;query=idn%3D1066962316", "Portal")</f>
        <v/>
      </c>
      <c r="G538" t="inlineStr">
        <is>
          <t>Aaf</t>
        </is>
      </c>
      <c r="H538" t="inlineStr">
        <is>
          <t>L-1537-315492716</t>
        </is>
      </c>
      <c r="I538" t="inlineStr">
        <is>
          <t>1066962316</t>
        </is>
      </c>
      <c r="J538" t="inlineStr">
        <is>
          <t>III 60, 61</t>
        </is>
      </c>
      <c r="K538" t="inlineStr">
        <is>
          <t>III 60, 61</t>
        </is>
      </c>
      <c r="L538" t="inlineStr">
        <is>
          <t>III 60, 61</t>
        </is>
      </c>
      <c r="M538" t="inlineStr"/>
      <c r="N538" t="inlineStr">
        <is>
          <t>VNdergerichts ordnung des Er=||tzstiffts Thrier/ durch den Hochwirdigsten inn Gott|| vatter/ Fürsten vnd herren/ Herrn Johansen Ertzbischouen zu Thrie</t>
        </is>
      </c>
      <c r="O538" t="inlineStr">
        <is>
          <t xml:space="preserve"> : </t>
        </is>
      </c>
      <c r="P538" t="inlineStr"/>
      <c r="Q538" t="inlineStr"/>
      <c r="R538" t="inlineStr"/>
      <c r="S538" t="inlineStr">
        <is>
          <t>bis 35 cm</t>
        </is>
      </c>
      <c r="T538" t="inlineStr"/>
      <c r="U538" t="inlineStr"/>
      <c r="V538" t="inlineStr"/>
      <c r="W538" t="inlineStr"/>
      <c r="X538" t="inlineStr"/>
      <c r="Y538" t="inlineStr"/>
      <c r="Z538" t="inlineStr"/>
      <c r="AA538" t="inlineStr"/>
      <c r="AB538" t="inlineStr"/>
      <c r="AC538" t="inlineStr"/>
      <c r="AD538" t="inlineStr"/>
      <c r="AE538" t="inlineStr"/>
      <c r="AF538" t="inlineStr"/>
      <c r="AG538" t="inlineStr"/>
      <c r="AH538" t="inlineStr"/>
      <c r="AI538" t="inlineStr">
        <is>
          <t>HPg</t>
        </is>
      </c>
      <c r="AJ538" t="inlineStr"/>
      <c r="AK538" t="inlineStr"/>
      <c r="AL538" t="inlineStr"/>
      <c r="AM538" t="inlineStr">
        <is>
          <t>h/E</t>
        </is>
      </c>
      <c r="AN538" t="inlineStr"/>
      <c r="AO538" t="inlineStr"/>
      <c r="AP538" t="inlineStr"/>
      <c r="AQ538" t="inlineStr"/>
      <c r="AR538" t="inlineStr"/>
      <c r="AS538" t="inlineStr">
        <is>
          <t>Pa</t>
        </is>
      </c>
      <c r="AT538" t="inlineStr"/>
      <c r="AU538" t="inlineStr"/>
      <c r="AV538" t="inlineStr"/>
      <c r="AW538" t="inlineStr"/>
      <c r="AX538" t="inlineStr"/>
      <c r="AY538" t="inlineStr"/>
      <c r="AZ538" t="inlineStr"/>
      <c r="BA538" t="inlineStr"/>
      <c r="BB538" t="inlineStr"/>
      <c r="BC538" t="inlineStr"/>
      <c r="BD538" t="inlineStr"/>
      <c r="BE538" t="inlineStr"/>
      <c r="BF538" t="inlineStr"/>
      <c r="BG538" t="n">
        <v>110</v>
      </c>
      <c r="BH538" t="inlineStr"/>
      <c r="BI538" t="inlineStr"/>
      <c r="BJ538" t="inlineStr"/>
      <c r="BK538" t="inlineStr"/>
      <c r="BL538" t="inlineStr"/>
      <c r="BM538" t="inlineStr">
        <is>
          <t>ja vor</t>
        </is>
      </c>
      <c r="BN538" t="n">
        <v>0.5</v>
      </c>
      <c r="BO538" t="inlineStr"/>
      <c r="BP538" t="inlineStr"/>
      <c r="BQ538" t="inlineStr"/>
      <c r="BR538" t="inlineStr"/>
      <c r="BS538" t="inlineStr"/>
      <c r="BT538" t="inlineStr"/>
      <c r="BU538" t="inlineStr"/>
      <c r="BV538" t="inlineStr"/>
      <c r="BW538" t="inlineStr"/>
      <c r="BX538" t="inlineStr"/>
      <c r="BY538" t="inlineStr"/>
      <c r="BZ538" t="inlineStr">
        <is>
          <t>x</t>
        </is>
      </c>
      <c r="CA538" t="inlineStr"/>
      <c r="CB538" t="inlineStr">
        <is>
          <t>x</t>
        </is>
      </c>
      <c r="CC538" t="inlineStr"/>
      <c r="CD538" t="inlineStr"/>
      <c r="CE538" t="inlineStr"/>
      <c r="CF538" t="inlineStr"/>
      <c r="CG538" t="inlineStr"/>
      <c r="CH538" t="inlineStr"/>
      <c r="CI538" t="inlineStr"/>
      <c r="CJ538" t="inlineStr"/>
      <c r="CK538" t="inlineStr"/>
      <c r="CL538" t="inlineStr"/>
      <c r="CM538" t="n">
        <v>0.5</v>
      </c>
      <c r="CN538" t="inlineStr"/>
      <c r="CO538" t="inlineStr"/>
      <c r="CP538" t="inlineStr"/>
      <c r="CQ538" t="inlineStr"/>
      <c r="CR538" t="inlineStr"/>
      <c r="CS538" t="inlineStr"/>
      <c r="CT538" t="inlineStr"/>
      <c r="CU538" t="inlineStr"/>
      <c r="CV538" t="inlineStr"/>
      <c r="CW538" t="inlineStr"/>
      <c r="CX538" t="inlineStr"/>
      <c r="CY538" t="inlineStr"/>
      <c r="CZ538" t="inlineStr"/>
      <c r="DA538" t="inlineStr"/>
      <c r="DB538" t="inlineStr"/>
      <c r="DC538" t="inlineStr"/>
      <c r="DD538" t="inlineStr"/>
      <c r="DE538" t="inlineStr"/>
      <c r="DF538" t="inlineStr"/>
      <c r="DG538" t="inlineStr"/>
    </row>
    <row r="539">
      <c r="A539" t="inlineStr">
        <is>
          <t>III</t>
        </is>
      </c>
      <c r="B539" t="b">
        <v>1</v>
      </c>
      <c r="C539" t="inlineStr"/>
      <c r="D539" t="inlineStr"/>
      <c r="E539" t="n">
        <v>606</v>
      </c>
      <c r="F539">
        <f>HYPERLINK("https://portal.dnb.de/opac.htm?method=simpleSearch&amp;cqlMode=true&amp;query=idn%3D1066857881", "Portal")</f>
        <v/>
      </c>
      <c r="G539" t="inlineStr">
        <is>
          <t>Aaf</t>
        </is>
      </c>
      <c r="H539" t="inlineStr">
        <is>
          <t>L-1537-315316721</t>
        </is>
      </c>
      <c r="I539" t="inlineStr">
        <is>
          <t>1066857881</t>
        </is>
      </c>
      <c r="J539" t="inlineStr">
        <is>
          <t>III 60, 62</t>
        </is>
      </c>
      <c r="K539" t="inlineStr">
        <is>
          <t>III 60, 62</t>
        </is>
      </c>
      <c r="L539" t="inlineStr">
        <is>
          <t>III 60, 62</t>
        </is>
      </c>
      <c r="M539" t="inlineStr"/>
      <c r="N539" t="inlineStr">
        <is>
          <t>DEß @aller Durchleuchtig=||sten großmechtigsten vn=||uberwindtlichsten Keyser Karls|| des fünfften/ vnd des heyligen Römischen Reychs pein||lich geric</t>
        </is>
      </c>
      <c r="O539" t="inlineStr">
        <is>
          <t xml:space="preserve"> : </t>
        </is>
      </c>
      <c r="P539" t="inlineStr">
        <is>
          <t>X</t>
        </is>
      </c>
      <c r="Q539" t="inlineStr"/>
      <c r="R539" t="inlineStr">
        <is>
          <t>Gewebeeinband</t>
        </is>
      </c>
      <c r="S539" t="inlineStr">
        <is>
          <t>bis 35 cm</t>
        </is>
      </c>
      <c r="T539" t="inlineStr">
        <is>
          <t>80° bis 110°, einseitig digitalisierbar?</t>
        </is>
      </c>
      <c r="U539" t="inlineStr">
        <is>
          <t>fester Rücken mit Schmuckprägung</t>
        </is>
      </c>
      <c r="V539" t="inlineStr"/>
      <c r="W539" t="inlineStr"/>
      <c r="X539" t="inlineStr"/>
      <c r="Y539" t="n">
        <v>1</v>
      </c>
      <c r="Z539" t="inlineStr"/>
      <c r="AA539" t="inlineStr">
        <is>
          <t>enth. Blindlagen</t>
        </is>
      </c>
      <c r="AB539" t="inlineStr"/>
      <c r="AC539" t="inlineStr"/>
      <c r="AD539" t="inlineStr"/>
      <c r="AE539" t="inlineStr"/>
      <c r="AF539" t="inlineStr"/>
      <c r="AG539" t="inlineStr"/>
      <c r="AH539" t="inlineStr"/>
      <c r="AI539" t="inlineStr">
        <is>
          <t>G</t>
        </is>
      </c>
      <c r="AJ539" t="inlineStr"/>
      <c r="AK539" t="inlineStr">
        <is>
          <t>x</t>
        </is>
      </c>
      <c r="AL539" t="inlineStr"/>
      <c r="AM539" t="inlineStr">
        <is>
          <t>h/E</t>
        </is>
      </c>
      <c r="AN539" t="inlineStr"/>
      <c r="AO539" t="inlineStr"/>
      <c r="AP539" t="inlineStr"/>
      <c r="AQ539" t="inlineStr"/>
      <c r="AR539" t="inlineStr"/>
      <c r="AS539" t="inlineStr">
        <is>
          <t>Pa</t>
        </is>
      </c>
      <c r="AT539" t="inlineStr">
        <is>
          <t>x</t>
        </is>
      </c>
      <c r="AU539" t="inlineStr"/>
      <c r="AV539" t="inlineStr"/>
      <c r="AW539" t="inlineStr"/>
      <c r="AX539" t="inlineStr"/>
      <c r="AY539" t="inlineStr"/>
      <c r="AZ539" t="inlineStr"/>
      <c r="BA539" t="inlineStr"/>
      <c r="BB539" t="inlineStr"/>
      <c r="BC539" t="inlineStr"/>
      <c r="BD539" t="inlineStr"/>
      <c r="BE539" t="inlineStr"/>
      <c r="BF539" t="inlineStr"/>
      <c r="BG539" t="n">
        <v>110</v>
      </c>
      <c r="BH539" t="inlineStr"/>
      <c r="BI539" t="inlineStr"/>
      <c r="BJ539" t="inlineStr"/>
      <c r="BK539" t="inlineStr"/>
      <c r="BL539" t="inlineStr"/>
      <c r="BM539" t="inlineStr">
        <is>
          <t>n</t>
        </is>
      </c>
      <c r="BN539" t="n">
        <v>0</v>
      </c>
      <c r="BO539" t="inlineStr"/>
      <c r="BP539" t="inlineStr"/>
      <c r="BQ539" t="inlineStr"/>
      <c r="BR539" t="inlineStr"/>
      <c r="BS539" t="inlineStr"/>
      <c r="BT539" t="inlineStr"/>
      <c r="BU539" t="inlineStr"/>
      <c r="BV539" t="inlineStr">
        <is>
          <t>Schaden stabil</t>
        </is>
      </c>
      <c r="BW539" t="inlineStr"/>
      <c r="BX539" t="inlineStr"/>
      <c r="BY539" t="inlineStr"/>
      <c r="BZ539" t="inlineStr"/>
      <c r="CA539" t="inlineStr"/>
      <c r="CB539" t="inlineStr"/>
      <c r="CC539" t="inlineStr"/>
      <c r="CD539" t="inlineStr"/>
      <c r="CE539" t="inlineStr"/>
      <c r="CF539" t="inlineStr"/>
      <c r="CG539" t="inlineStr"/>
      <c r="CH539" t="inlineStr"/>
      <c r="CI539" t="inlineStr"/>
      <c r="CJ539" t="inlineStr"/>
      <c r="CK539" t="inlineStr"/>
      <c r="CL539" t="inlineStr"/>
      <c r="CM539" t="inlineStr"/>
      <c r="CN539" t="inlineStr"/>
      <c r="CO539" t="inlineStr"/>
      <c r="CP539" t="inlineStr"/>
      <c r="CQ539" t="inlineStr"/>
      <c r="CR539" t="inlineStr"/>
      <c r="CS539" t="inlineStr"/>
      <c r="CT539" t="inlineStr"/>
      <c r="CU539" t="inlineStr"/>
      <c r="CV539" t="inlineStr"/>
      <c r="CW539" t="inlineStr"/>
      <c r="CX539" t="inlineStr"/>
      <c r="CY539" t="inlineStr"/>
      <c r="CZ539" t="inlineStr"/>
      <c r="DA539" t="inlineStr"/>
      <c r="DB539" t="inlineStr"/>
      <c r="DC539" t="inlineStr"/>
      <c r="DD539" t="inlineStr"/>
      <c r="DE539" t="inlineStr"/>
      <c r="DF539" t="inlineStr"/>
      <c r="DG539" t="inlineStr"/>
    </row>
    <row r="540">
      <c r="A540" t="inlineStr">
        <is>
          <t>III</t>
        </is>
      </c>
      <c r="B540" t="b">
        <v>1</v>
      </c>
      <c r="C540" t="inlineStr"/>
      <c r="D540" t="inlineStr"/>
      <c r="E540" t="n">
        <v>607</v>
      </c>
      <c r="F540">
        <f>HYPERLINK("https://portal.dnb.de/opac.htm?method=simpleSearch&amp;cqlMode=true&amp;query=idn%3D1066962766", "Portal")</f>
        <v/>
      </c>
      <c r="G540" t="inlineStr">
        <is>
          <t>Aaf</t>
        </is>
      </c>
      <c r="H540" t="inlineStr">
        <is>
          <t>L-1539-315493097</t>
        </is>
      </c>
      <c r="I540" t="inlineStr">
        <is>
          <t>1066962766</t>
        </is>
      </c>
      <c r="J540" t="inlineStr">
        <is>
          <t>III 60, 63</t>
        </is>
      </c>
      <c r="K540" t="inlineStr">
        <is>
          <t>III 60, 63</t>
        </is>
      </c>
      <c r="L540" t="inlineStr">
        <is>
          <t>III 60, 63</t>
        </is>
      </c>
      <c r="M540" t="inlineStr"/>
      <c r="N540" t="inlineStr">
        <is>
          <t>VNdergerichts ordnung des Er=||tzstiffts Thrier/ durch den Hochwirdigsten iñ Gott|| vatter/ Fürsten vnd herren/ Herrn Johansen Ertzbischouen zu Thrier</t>
        </is>
      </c>
      <c r="O540" t="inlineStr">
        <is>
          <t xml:space="preserve"> : </t>
        </is>
      </c>
      <c r="P540" t="inlineStr"/>
      <c r="Q540" t="inlineStr"/>
      <c r="R540" t="inlineStr"/>
      <c r="S540" t="inlineStr"/>
      <c r="T540" t="inlineStr"/>
      <c r="U540" t="inlineStr"/>
      <c r="V540" t="inlineStr"/>
      <c r="W540" t="inlineStr"/>
      <c r="X540" t="inlineStr"/>
      <c r="Y540" t="inlineStr"/>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inlineStr"/>
      <c r="BI540" t="inlineStr"/>
      <c r="BJ540" t="inlineStr"/>
      <c r="BK540" t="inlineStr"/>
      <c r="BL540" t="inlineStr"/>
      <c r="BM540" t="inlineStr"/>
      <c r="BN540" t="n">
        <v>0</v>
      </c>
      <c r="BO540" t="inlineStr"/>
      <c r="BP540" t="inlineStr"/>
      <c r="BQ540" t="inlineStr"/>
      <c r="BR540" t="inlineStr"/>
      <c r="BS540" t="inlineStr"/>
      <c r="BT540" t="inlineStr"/>
      <c r="BU540" t="inlineStr"/>
      <c r="BV540" t="inlineStr"/>
      <c r="BW540" t="inlineStr"/>
      <c r="BX540" t="inlineStr"/>
      <c r="BY540" t="inlineStr"/>
      <c r="BZ540" t="inlineStr"/>
      <c r="CA540" t="inlineStr"/>
      <c r="CB540" t="inlineStr"/>
      <c r="CC540" t="inlineStr"/>
      <c r="CD540" t="inlineStr"/>
      <c r="CE540" t="inlineStr"/>
      <c r="CF540" t="inlineStr"/>
      <c r="CG540" t="inlineStr"/>
      <c r="CH540" t="inlineStr"/>
      <c r="CI540" t="inlineStr"/>
      <c r="CJ540" t="inlineStr"/>
      <c r="CK540" t="inlineStr"/>
      <c r="CL540" t="inlineStr"/>
      <c r="CM540" t="inlineStr"/>
      <c r="CN540" t="inlineStr"/>
      <c r="CO540" t="inlineStr"/>
      <c r="CP540" t="inlineStr"/>
      <c r="CQ540" t="inlineStr"/>
      <c r="CR540" t="inlineStr"/>
      <c r="CS540" t="inlineStr"/>
      <c r="CT540" t="inlineStr"/>
      <c r="CU540" t="inlineStr"/>
      <c r="CV540" t="inlineStr"/>
      <c r="CW540" t="inlineStr"/>
      <c r="CX540" t="inlineStr"/>
      <c r="CY540" t="inlineStr"/>
      <c r="CZ540" t="inlineStr"/>
      <c r="DA540" t="inlineStr"/>
      <c r="DB540" t="inlineStr"/>
      <c r="DC540" t="inlineStr"/>
      <c r="DD540" t="inlineStr"/>
      <c r="DE540" t="inlineStr"/>
      <c r="DF540" t="inlineStr"/>
      <c r="DG540" t="inlineStr"/>
    </row>
    <row r="541">
      <c r="A541" t="inlineStr">
        <is>
          <t>III</t>
        </is>
      </c>
      <c r="B541" t="b">
        <v>1</v>
      </c>
      <c r="C541" t="inlineStr"/>
      <c r="D541" t="inlineStr"/>
      <c r="E541" t="n">
        <v>608</v>
      </c>
      <c r="F541">
        <f>HYPERLINK("https://portal.dnb.de/opac.htm?method=simpleSearch&amp;cqlMode=true&amp;query=idn%3D1066963177", "Portal")</f>
        <v/>
      </c>
      <c r="G541" t="inlineStr">
        <is>
          <t>Aaf</t>
        </is>
      </c>
      <c r="H541" t="inlineStr">
        <is>
          <t>L-1540-315493453</t>
        </is>
      </c>
      <c r="I541" t="inlineStr">
        <is>
          <t>1066963177</t>
        </is>
      </c>
      <c r="J541" t="inlineStr">
        <is>
          <t>III 60, 64</t>
        </is>
      </c>
      <c r="K541" t="inlineStr">
        <is>
          <t>III 60, 64</t>
        </is>
      </c>
      <c r="L541" t="inlineStr">
        <is>
          <t>III 60, 64</t>
        </is>
      </c>
      <c r="M541" t="inlineStr"/>
      <c r="N541" t="inlineStr">
        <is>
          <t>TYPVS ECCLE=||SIAE PRIO=||RIS.|| Anzeigung/ wie die heilig Kyrche|| Gottes/ inwendig siben vnd mehr hun=||dert jaren/ nach vnsers Her=||ren Auffart/ g</t>
        </is>
      </c>
      <c r="O541" t="inlineStr">
        <is>
          <t xml:space="preserve"> : </t>
        </is>
      </c>
      <c r="P541" t="inlineStr">
        <is>
          <t>X</t>
        </is>
      </c>
      <c r="Q541" t="inlineStr"/>
      <c r="R541" t="inlineStr">
        <is>
          <t>Halbledereinband, Schließen, erhabene Buchbeschläge</t>
        </is>
      </c>
      <c r="S541" t="inlineStr">
        <is>
          <t>bis 25 cm</t>
        </is>
      </c>
      <c r="T541" t="inlineStr">
        <is>
          <t>180°</t>
        </is>
      </c>
      <c r="U541" t="inlineStr">
        <is>
          <t>hohler Rücken</t>
        </is>
      </c>
      <c r="V541" t="inlineStr"/>
      <c r="W541" t="inlineStr">
        <is>
          <t>Buchschuh</t>
        </is>
      </c>
      <c r="X541" t="inlineStr">
        <is>
          <t>Nein</t>
        </is>
      </c>
      <c r="Y541" t="n">
        <v>1</v>
      </c>
      <c r="Z541" t="inlineStr"/>
      <c r="AA541" t="inlineStr">
        <is>
          <t>enth. Blindlagen</t>
        </is>
      </c>
      <c r="AB541" t="inlineStr"/>
      <c r="AC541" t="inlineStr"/>
      <c r="AD541" t="inlineStr"/>
      <c r="AE541" t="inlineStr"/>
      <c r="AF541" t="inlineStr"/>
      <c r="AG541" t="inlineStr"/>
      <c r="AH541" t="inlineStr"/>
      <c r="AI541" t="inlineStr">
        <is>
          <t>HL</t>
        </is>
      </c>
      <c r="AJ541" t="inlineStr"/>
      <c r="AK541" t="inlineStr">
        <is>
          <t>x</t>
        </is>
      </c>
      <c r="AL541" t="inlineStr"/>
      <c r="AM541" t="inlineStr">
        <is>
          <t>h/E</t>
        </is>
      </c>
      <c r="AN541" t="inlineStr"/>
      <c r="AO541" t="inlineStr">
        <is>
          <t>x</t>
        </is>
      </c>
      <c r="AP541" t="inlineStr"/>
      <c r="AQ541" t="inlineStr"/>
      <c r="AR541" t="inlineStr"/>
      <c r="AS541" t="inlineStr">
        <is>
          <t>Pa</t>
        </is>
      </c>
      <c r="AT541" t="inlineStr">
        <is>
          <t>x</t>
        </is>
      </c>
      <c r="AU541" t="inlineStr"/>
      <c r="AV541" t="inlineStr"/>
      <c r="AW541" t="inlineStr"/>
      <c r="AX541" t="inlineStr"/>
      <c r="AY541" t="inlineStr"/>
      <c r="AZ541" t="inlineStr"/>
      <c r="BA541" t="inlineStr"/>
      <c r="BB541" t="inlineStr"/>
      <c r="BC541" t="inlineStr"/>
      <c r="BD541" t="inlineStr"/>
      <c r="BE541" t="inlineStr"/>
      <c r="BF541" t="inlineStr"/>
      <c r="BG541" t="n">
        <v>80</v>
      </c>
      <c r="BH541" t="inlineStr"/>
      <c r="BI541" t="inlineStr"/>
      <c r="BJ541" t="inlineStr"/>
      <c r="BK541" t="inlineStr"/>
      <c r="BL541" t="inlineStr"/>
      <c r="BM541" t="inlineStr">
        <is>
          <t>n</t>
        </is>
      </c>
      <c r="BN541" t="n">
        <v>0</v>
      </c>
      <c r="BO541" t="inlineStr"/>
      <c r="BP541" t="inlineStr"/>
      <c r="BQ541" t="inlineStr"/>
      <c r="BR541" t="inlineStr">
        <is>
          <t>x</t>
        </is>
      </c>
      <c r="BS541" t="inlineStr"/>
      <c r="BT541" t="inlineStr"/>
      <c r="BU541" t="inlineStr"/>
      <c r="BV541" t="inlineStr">
        <is>
          <t>Schaden stabil, Umschlag trotzt Buchschuh</t>
        </is>
      </c>
      <c r="BW541" t="inlineStr"/>
      <c r="BX541" t="inlineStr"/>
      <c r="BY541" t="inlineStr">
        <is>
          <t>Umschlag (Leder pudert)</t>
        </is>
      </c>
      <c r="BZ541" t="inlineStr"/>
      <c r="CA541" t="inlineStr"/>
      <c r="CB541" t="inlineStr"/>
      <c r="CC541" t="inlineStr"/>
      <c r="CD541" t="inlineStr"/>
      <c r="CE541" t="inlineStr"/>
      <c r="CF541" t="inlineStr"/>
      <c r="CG541" t="inlineStr"/>
      <c r="CH541" t="inlineStr"/>
      <c r="CI541" t="inlineStr"/>
      <c r="CJ541" t="inlineStr"/>
      <c r="CK541" t="inlineStr"/>
      <c r="CL541" t="inlineStr"/>
      <c r="CM541" t="inlineStr"/>
      <c r="CN541" t="inlineStr"/>
      <c r="CO541" t="inlineStr"/>
      <c r="CP541" t="inlineStr"/>
      <c r="CQ541" t="inlineStr"/>
      <c r="CR541" t="inlineStr"/>
      <c r="CS541" t="inlineStr"/>
      <c r="CT541" t="inlineStr"/>
      <c r="CU541" t="inlineStr"/>
      <c r="CV541" t="inlineStr"/>
      <c r="CW541" t="inlineStr"/>
      <c r="CX541" t="inlineStr"/>
      <c r="CY541" t="inlineStr"/>
      <c r="CZ541" t="inlineStr"/>
      <c r="DA541" t="inlineStr"/>
      <c r="DB541" t="inlineStr"/>
      <c r="DC541" t="inlineStr"/>
      <c r="DD541" t="inlineStr"/>
      <c r="DE541" t="inlineStr"/>
      <c r="DF541" t="inlineStr"/>
      <c r="DG541" t="inlineStr"/>
    </row>
    <row r="542">
      <c r="A542" t="inlineStr">
        <is>
          <t>III</t>
        </is>
      </c>
      <c r="B542" t="b">
        <v>1</v>
      </c>
      <c r="C542" t="inlineStr"/>
      <c r="D542" t="inlineStr"/>
      <c r="E542" t="n">
        <v>609</v>
      </c>
      <c r="F542">
        <f>HYPERLINK("https://portal.dnb.de/opac.htm?method=simpleSearch&amp;cqlMode=true&amp;query=idn%3D1066956812", "Portal")</f>
        <v/>
      </c>
      <c r="G542" t="inlineStr">
        <is>
          <t>Aaf</t>
        </is>
      </c>
      <c r="H542" t="inlineStr">
        <is>
          <t>L-1540-315487429</t>
        </is>
      </c>
      <c r="I542" t="inlineStr">
        <is>
          <t>1066956812</t>
        </is>
      </c>
      <c r="J542" t="inlineStr">
        <is>
          <t>III 60, 65</t>
        </is>
      </c>
      <c r="K542" t="inlineStr">
        <is>
          <t>III 60, 65</t>
        </is>
      </c>
      <c r="L542" t="inlineStr">
        <is>
          <t>III 60, 65</t>
        </is>
      </c>
      <c r="M542" t="inlineStr"/>
      <c r="N542" t="inlineStr">
        <is>
          <t xml:space="preserve">Der @heiligen Messen|| brauch/ wie er in der alten Kyr=||chen vor tausent jaren|| gewesen.|| Aus S. Joan. Chrysostomo|| verdeutscht.|| ...|| : </t>
        </is>
      </c>
      <c r="O542" t="inlineStr">
        <is>
          <t xml:space="preserve"> : </t>
        </is>
      </c>
      <c r="P542" t="inlineStr">
        <is>
          <t>X</t>
        </is>
      </c>
      <c r="Q542" t="inlineStr"/>
      <c r="R542" t="inlineStr">
        <is>
          <t>Halbledereinband, Schließen, erhabene Buchbeschläge</t>
        </is>
      </c>
      <c r="S542" t="inlineStr">
        <is>
          <t>bis 25 cm</t>
        </is>
      </c>
      <c r="T542" t="inlineStr">
        <is>
          <t>180°</t>
        </is>
      </c>
      <c r="U542" t="inlineStr">
        <is>
          <t>hohler Rücken</t>
        </is>
      </c>
      <c r="V542" t="inlineStr"/>
      <c r="W542" t="inlineStr">
        <is>
          <t>Buchschuh</t>
        </is>
      </c>
      <c r="X542" t="inlineStr">
        <is>
          <t>Nein</t>
        </is>
      </c>
      <c r="Y542" t="n">
        <v>1</v>
      </c>
      <c r="Z542" t="inlineStr"/>
      <c r="AA542" t="inlineStr">
        <is>
          <t>enth. Blindlagen</t>
        </is>
      </c>
      <c r="AB542" t="inlineStr"/>
      <c r="AC542" t="inlineStr"/>
      <c r="AD542" t="inlineStr"/>
      <c r="AE542" t="inlineStr"/>
      <c r="AF542" t="inlineStr"/>
      <c r="AG542" t="inlineStr"/>
      <c r="AH542" t="inlineStr"/>
      <c r="AI542" t="inlineStr">
        <is>
          <t>HL</t>
        </is>
      </c>
      <c r="AJ542" t="inlineStr"/>
      <c r="AK542" t="inlineStr">
        <is>
          <t>x</t>
        </is>
      </c>
      <c r="AL542" t="inlineStr"/>
      <c r="AM542" t="inlineStr">
        <is>
          <t>h/E</t>
        </is>
      </c>
      <c r="AN542" t="inlineStr"/>
      <c r="AO542" t="inlineStr">
        <is>
          <t>x</t>
        </is>
      </c>
      <c r="AP542" t="inlineStr"/>
      <c r="AQ542" t="inlineStr"/>
      <c r="AR542" t="inlineStr"/>
      <c r="AS542" t="inlineStr">
        <is>
          <t>Pa</t>
        </is>
      </c>
      <c r="AT542" t="inlineStr">
        <is>
          <t>x</t>
        </is>
      </c>
      <c r="AU542" t="inlineStr"/>
      <c r="AV542" t="inlineStr"/>
      <c r="AW542" t="inlineStr"/>
      <c r="AX542" t="inlineStr"/>
      <c r="AY542" t="inlineStr"/>
      <c r="AZ542" t="inlineStr"/>
      <c r="BA542" t="inlineStr"/>
      <c r="BB542" t="inlineStr"/>
      <c r="BC542" t="inlineStr"/>
      <c r="BD542" t="inlineStr"/>
      <c r="BE542" t="inlineStr"/>
      <c r="BF542" t="inlineStr"/>
      <c r="BG542" t="n">
        <v>80</v>
      </c>
      <c r="BH542" t="inlineStr"/>
      <c r="BI542" t="inlineStr"/>
      <c r="BJ542" t="inlineStr"/>
      <c r="BK542" t="inlineStr"/>
      <c r="BL542" t="inlineStr"/>
      <c r="BM542" t="inlineStr">
        <is>
          <t>n</t>
        </is>
      </c>
      <c r="BN542" t="n">
        <v>0</v>
      </c>
      <c r="BO542" t="inlineStr"/>
      <c r="BP542" t="inlineStr"/>
      <c r="BQ542" t="inlineStr"/>
      <c r="BR542" t="inlineStr">
        <is>
          <t>x</t>
        </is>
      </c>
      <c r="BS542" t="inlineStr"/>
      <c r="BT542" t="inlineStr"/>
      <c r="BU542" t="inlineStr"/>
      <c r="BV542" t="inlineStr">
        <is>
          <t>Schaden stabil, Umschlag trotzt Buchschuh</t>
        </is>
      </c>
      <c r="BW542" t="inlineStr"/>
      <c r="BX542" t="inlineStr"/>
      <c r="BY542" t="inlineStr">
        <is>
          <t>Umschlag (Leder pudert)</t>
        </is>
      </c>
      <c r="BZ542" t="inlineStr"/>
      <c r="CA542" t="inlineStr"/>
      <c r="CB542" t="inlineStr"/>
      <c r="CC542" t="inlineStr"/>
      <c r="CD542" t="inlineStr"/>
      <c r="CE542" t="inlineStr"/>
      <c r="CF542" t="inlineStr"/>
      <c r="CG542" t="inlineStr"/>
      <c r="CH542" t="inlineStr"/>
      <c r="CI542" t="inlineStr"/>
      <c r="CJ542" t="inlineStr"/>
      <c r="CK542" t="inlineStr"/>
      <c r="CL542" t="inlineStr"/>
      <c r="CM542" t="inlineStr"/>
      <c r="CN542" t="inlineStr"/>
      <c r="CO542" t="inlineStr"/>
      <c r="CP542" t="inlineStr"/>
      <c r="CQ542" t="inlineStr"/>
      <c r="CR542" t="inlineStr"/>
      <c r="CS542" t="inlineStr"/>
      <c r="CT542" t="inlineStr"/>
      <c r="CU542" t="inlineStr"/>
      <c r="CV542" t="inlineStr"/>
      <c r="CW542" t="inlineStr"/>
      <c r="CX542" t="inlineStr"/>
      <c r="CY542" t="inlineStr"/>
      <c r="CZ542" t="inlineStr"/>
      <c r="DA542" t="inlineStr"/>
      <c r="DB542" t="inlineStr"/>
      <c r="DC542" t="inlineStr"/>
      <c r="DD542" t="inlineStr"/>
      <c r="DE542" t="inlineStr"/>
      <c r="DF542" t="inlineStr"/>
      <c r="DG542" t="inlineStr"/>
    </row>
    <row r="543">
      <c r="A543" t="inlineStr">
        <is>
          <t>III</t>
        </is>
      </c>
      <c r="B543" t="b">
        <v>1</v>
      </c>
      <c r="C543" t="inlineStr"/>
      <c r="D543" t="inlineStr"/>
      <c r="E543" t="n">
        <v>610</v>
      </c>
      <c r="F543">
        <f>HYPERLINK("https://portal.dnb.de/opac.htm?method=simpleSearch&amp;cqlMode=true&amp;query=idn%3D1066873380", "Portal")</f>
        <v/>
      </c>
      <c r="G543" t="inlineStr">
        <is>
          <t>Aaf</t>
        </is>
      </c>
      <c r="H543" t="inlineStr">
        <is>
          <t>L-1540-315331186</t>
        </is>
      </c>
      <c r="I543" t="inlineStr">
        <is>
          <t>1066873380</t>
        </is>
      </c>
      <c r="J543" t="inlineStr">
        <is>
          <t>III 60, 66</t>
        </is>
      </c>
      <c r="K543" t="inlineStr">
        <is>
          <t>III 60, 66</t>
        </is>
      </c>
      <c r="L543" t="inlineStr">
        <is>
          <t>III 60, 66</t>
        </is>
      </c>
      <c r="M543" t="inlineStr"/>
      <c r="N543" t="inlineStr">
        <is>
          <t xml:space="preserve"> L. FLORI|| DE GESTIS ROMANO=||RVM LIBRI QVATVOR, VNA CVM|| adnotationibus Iaon. Camertis, quæ Comenta||rij uice in omnem Romanam historiā|| esse poss</t>
        </is>
      </c>
      <c r="O543" t="inlineStr">
        <is>
          <t xml:space="preserve"> : </t>
        </is>
      </c>
      <c r="P543" t="inlineStr">
        <is>
          <t>X</t>
        </is>
      </c>
      <c r="Q543" t="inlineStr"/>
      <c r="R543" t="inlineStr">
        <is>
          <t>Halbpergamentband</t>
        </is>
      </c>
      <c r="S543" t="inlineStr">
        <is>
          <t>bis 25 cm</t>
        </is>
      </c>
      <c r="T543" t="inlineStr">
        <is>
          <t>80° bis 110°, einseitig digitalisierbar?</t>
        </is>
      </c>
      <c r="U543" t="inlineStr">
        <is>
          <t>fester Rücken mit Schmuckprägung</t>
        </is>
      </c>
      <c r="V543" t="inlineStr"/>
      <c r="W543" t="inlineStr"/>
      <c r="X543" t="inlineStr"/>
      <c r="Y543" t="n">
        <v>0</v>
      </c>
      <c r="Z543" t="inlineStr"/>
      <c r="AA543" t="inlineStr">
        <is>
          <t>enth. Blindlagen</t>
        </is>
      </c>
      <c r="AB543" t="inlineStr"/>
      <c r="AC543" t="inlineStr"/>
      <c r="AD543" t="inlineStr"/>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c r="BD543" t="inlineStr"/>
      <c r="BE543" t="inlineStr"/>
      <c r="BF543" t="inlineStr"/>
      <c r="BG543" t="inlineStr"/>
      <c r="BH543" t="inlineStr"/>
      <c r="BI543" t="inlineStr"/>
      <c r="BJ543" t="inlineStr"/>
      <c r="BK543" t="inlineStr"/>
      <c r="BL543" t="inlineStr"/>
      <c r="BM543" t="inlineStr"/>
      <c r="BN543" t="n">
        <v>0</v>
      </c>
      <c r="BO543" t="inlineStr"/>
      <c r="BP543" t="inlineStr"/>
      <c r="BQ543" t="inlineStr"/>
      <c r="BR543" t="inlineStr"/>
      <c r="BS543" t="inlineStr"/>
      <c r="BT543" t="inlineStr"/>
      <c r="BU543" t="inlineStr"/>
      <c r="BV543" t="inlineStr"/>
      <c r="BW543" t="inlineStr"/>
      <c r="BX543" t="inlineStr"/>
      <c r="BY543" t="inlineStr"/>
      <c r="BZ543" t="inlineStr"/>
      <c r="CA543" t="inlineStr"/>
      <c r="CB543" t="inlineStr"/>
      <c r="CC543" t="inlineStr"/>
      <c r="CD543" t="inlineStr"/>
      <c r="CE543" t="inlineStr"/>
      <c r="CF543" t="inlineStr"/>
      <c r="CG543" t="inlineStr"/>
      <c r="CH543" t="inlineStr"/>
      <c r="CI543" t="inlineStr"/>
      <c r="CJ543" t="inlineStr"/>
      <c r="CK543" t="inlineStr"/>
      <c r="CL543" t="inlineStr"/>
      <c r="CM543" t="inlineStr"/>
      <c r="CN543" t="inlineStr"/>
      <c r="CO543" t="inlineStr"/>
      <c r="CP543" t="inlineStr"/>
      <c r="CQ543" t="inlineStr"/>
      <c r="CR543" t="inlineStr"/>
      <c r="CS543" t="inlineStr"/>
      <c r="CT543" t="inlineStr"/>
      <c r="CU543" t="inlineStr"/>
      <c r="CV543" t="inlineStr"/>
      <c r="CW543" t="inlineStr"/>
      <c r="CX543" t="inlineStr"/>
      <c r="CY543" t="inlineStr"/>
      <c r="CZ543" t="inlineStr"/>
      <c r="DA543" t="inlineStr"/>
      <c r="DB543" t="inlineStr"/>
      <c r="DC543" t="inlineStr"/>
      <c r="DD543" t="inlineStr"/>
      <c r="DE543" t="inlineStr"/>
      <c r="DF543" t="inlineStr"/>
      <c r="DG543" t="inlineStr"/>
    </row>
    <row r="544">
      <c r="A544" t="inlineStr">
        <is>
          <t>III</t>
        </is>
      </c>
      <c r="B544" t="b">
        <v>1</v>
      </c>
      <c r="C544" t="inlineStr"/>
      <c r="D544" t="inlineStr"/>
      <c r="E544" t="n">
        <v>611</v>
      </c>
      <c r="F544">
        <f>HYPERLINK("https://portal.dnb.de/opac.htm?method=simpleSearch&amp;cqlMode=true&amp;query=idn%3D997744677", "Portal")</f>
        <v/>
      </c>
      <c r="G544" t="inlineStr">
        <is>
          <t>Aal</t>
        </is>
      </c>
      <c r="H544" t="inlineStr">
        <is>
          <t>L-1541-164689737</t>
        </is>
      </c>
      <c r="I544" t="inlineStr">
        <is>
          <t>997744677</t>
        </is>
      </c>
      <c r="J544" t="inlineStr">
        <is>
          <t>III 60, 67</t>
        </is>
      </c>
      <c r="K544" t="inlineStr">
        <is>
          <t>III 60, 67</t>
        </is>
      </c>
      <c r="L544" t="inlineStr">
        <is>
          <t>III 60, 67</t>
        </is>
      </c>
      <c r="M544" t="inlineStr"/>
      <c r="N544" t="inlineStr">
        <is>
          <t xml:space="preserve">ABschiedt deß Reichß||tags zu Regen||spurg gehal||ten||ANNO||M. D. XLI.|| Cum GRATIA &amp; Priuilegio Imperiali|| : </t>
        </is>
      </c>
      <c r="O544" t="inlineStr">
        <is>
          <t xml:space="preserve"> : </t>
        </is>
      </c>
      <c r="P544" t="inlineStr">
        <is>
          <t>X</t>
        </is>
      </c>
      <c r="Q544" t="inlineStr"/>
      <c r="R544" t="inlineStr">
        <is>
          <t>Gewebeeinband</t>
        </is>
      </c>
      <c r="S544" t="inlineStr">
        <is>
          <t>bis 35 cm</t>
        </is>
      </c>
      <c r="T544" t="inlineStr">
        <is>
          <t>180°</t>
        </is>
      </c>
      <c r="U544" t="inlineStr">
        <is>
          <t>fester Rücken mit Schmuckprägung</t>
        </is>
      </c>
      <c r="V544" t="inlineStr"/>
      <c r="W544" t="inlineStr"/>
      <c r="X544" t="inlineStr"/>
      <c r="Y544" t="n">
        <v>1</v>
      </c>
      <c r="Z544" t="inlineStr"/>
      <c r="AA544" t="inlineStr"/>
      <c r="AB544" t="inlineStr"/>
      <c r="AC544" t="inlineStr"/>
      <c r="AD544" t="inlineStr"/>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c r="AT544" t="inlineStr"/>
      <c r="AU544" t="inlineStr"/>
      <c r="AV544" t="inlineStr"/>
      <c r="AW544" t="inlineStr"/>
      <c r="AX544" t="inlineStr"/>
      <c r="AY544" t="inlineStr"/>
      <c r="AZ544" t="inlineStr"/>
      <c r="BA544" t="inlineStr"/>
      <c r="BB544" t="inlineStr"/>
      <c r="BC544" t="inlineStr"/>
      <c r="BD544" t="inlineStr"/>
      <c r="BE544" t="inlineStr"/>
      <c r="BF544" t="inlineStr"/>
      <c r="BG544" t="inlineStr"/>
      <c r="BH544" t="inlineStr"/>
      <c r="BI544" t="inlineStr"/>
      <c r="BJ544" t="inlineStr"/>
      <c r="BK544" t="inlineStr"/>
      <c r="BL544" t="inlineStr"/>
      <c r="BM544" t="inlineStr"/>
      <c r="BN544" t="n">
        <v>0</v>
      </c>
      <c r="BO544" t="inlineStr"/>
      <c r="BP544" t="inlineStr"/>
      <c r="BQ544" t="inlineStr"/>
      <c r="BR544" t="inlineStr"/>
      <c r="BS544" t="inlineStr"/>
      <c r="BT544" t="inlineStr"/>
      <c r="BU544" t="inlineStr"/>
      <c r="BV544" t="inlineStr"/>
      <c r="BW544" t="inlineStr"/>
      <c r="BX544" t="inlineStr"/>
      <c r="BY544" t="inlineStr"/>
      <c r="BZ544" t="inlineStr"/>
      <c r="CA544" t="inlineStr"/>
      <c r="CB544" t="inlineStr"/>
      <c r="CC544" t="inlineStr"/>
      <c r="CD544" t="inlineStr"/>
      <c r="CE544" t="inlineStr"/>
      <c r="CF544" t="inlineStr"/>
      <c r="CG544" t="inlineStr"/>
      <c r="CH544" t="inlineStr"/>
      <c r="CI544" t="inlineStr"/>
      <c r="CJ544" t="inlineStr"/>
      <c r="CK544" t="inlineStr"/>
      <c r="CL544" t="inlineStr"/>
      <c r="CM544" t="inlineStr"/>
      <c r="CN544" t="inlineStr"/>
      <c r="CO544" t="inlineStr"/>
      <c r="CP544" t="inlineStr"/>
      <c r="CQ544" t="inlineStr"/>
      <c r="CR544" t="inlineStr"/>
      <c r="CS544" t="inlineStr"/>
      <c r="CT544" t="inlineStr"/>
      <c r="CU544" t="inlineStr"/>
      <c r="CV544" t="inlineStr"/>
      <c r="CW544" t="inlineStr"/>
      <c r="CX544" t="inlineStr"/>
      <c r="CY544" t="inlineStr"/>
      <c r="CZ544" t="inlineStr"/>
      <c r="DA544" t="inlineStr"/>
      <c r="DB544" t="inlineStr"/>
      <c r="DC544" t="inlineStr"/>
      <c r="DD544" t="inlineStr"/>
      <c r="DE544" t="inlineStr"/>
      <c r="DF544" t="inlineStr"/>
      <c r="DG544" t="inlineStr"/>
    </row>
    <row r="545">
      <c r="A545" t="inlineStr">
        <is>
          <t>III</t>
        </is>
      </c>
      <c r="B545" t="b">
        <v>1</v>
      </c>
      <c r="C545" t="inlineStr"/>
      <c r="D545" t="inlineStr"/>
      <c r="E545" t="n">
        <v>612</v>
      </c>
      <c r="F545">
        <f>HYPERLINK("https://portal.dnb.de/opac.htm?method=simpleSearch&amp;cqlMode=true&amp;query=idn%3D1066963150", "Portal")</f>
        <v/>
      </c>
      <c r="G545" t="inlineStr">
        <is>
          <t>Aaf</t>
        </is>
      </c>
      <c r="H545" t="inlineStr">
        <is>
          <t>L-1541-315493437</t>
        </is>
      </c>
      <c r="I545" t="inlineStr">
        <is>
          <t>1066963150</t>
        </is>
      </c>
      <c r="J545" t="inlineStr">
        <is>
          <t>III 60, 68</t>
        </is>
      </c>
      <c r="K545" t="inlineStr">
        <is>
          <t>III 60, 68</t>
        </is>
      </c>
      <c r="L545" t="inlineStr">
        <is>
          <t>III 60, 68</t>
        </is>
      </c>
      <c r="M545" t="inlineStr"/>
      <c r="N545" t="inlineStr">
        <is>
          <t xml:space="preserve">CATECHI=||STICVM EXAMEN CHRI=||stiani, pueri, ad pedes : </t>
        </is>
      </c>
      <c r="O545" t="inlineStr">
        <is>
          <t xml:space="preserve"> : </t>
        </is>
      </c>
      <c r="P545" t="inlineStr">
        <is>
          <t>X</t>
        </is>
      </c>
      <c r="Q545" t="inlineStr"/>
      <c r="R545" t="inlineStr">
        <is>
          <t>Ledereinband</t>
        </is>
      </c>
      <c r="S545" t="inlineStr">
        <is>
          <t>bis 25 cm</t>
        </is>
      </c>
      <c r="T545" t="inlineStr">
        <is>
          <t>80° bis 110°, einseitig digitalisierbar?</t>
        </is>
      </c>
      <c r="U545" t="inlineStr">
        <is>
          <t>fester Rücken mit Schmuckprägung</t>
        </is>
      </c>
      <c r="V545" t="inlineStr"/>
      <c r="W545" t="inlineStr"/>
      <c r="X545" t="inlineStr"/>
      <c r="Y545" t="n">
        <v>1</v>
      </c>
      <c r="Z545" t="inlineStr"/>
      <c r="AA545" t="inlineStr">
        <is>
          <t>enth. Blindlagen</t>
        </is>
      </c>
      <c r="AB545" t="inlineStr"/>
      <c r="AC545" t="inlineStr"/>
      <c r="AD545" t="inlineStr"/>
      <c r="AE545" t="inlineStr"/>
      <c r="AF545" t="inlineStr"/>
      <c r="AG545" t="inlineStr"/>
      <c r="AH545" t="inlineStr">
        <is>
          <t>x</t>
        </is>
      </c>
      <c r="AI545" t="inlineStr">
        <is>
          <t>L</t>
        </is>
      </c>
      <c r="AJ545" t="inlineStr"/>
      <c r="AK545" t="inlineStr"/>
      <c r="AL545" t="inlineStr">
        <is>
          <t>x</t>
        </is>
      </c>
      <c r="AM545" t="inlineStr"/>
      <c r="AN545" t="inlineStr"/>
      <c r="AO545" t="inlineStr"/>
      <c r="AP545" t="inlineStr"/>
      <c r="AQ545" t="inlineStr"/>
      <c r="AR545" t="inlineStr"/>
      <c r="AS545" t="inlineStr">
        <is>
          <t>Pa</t>
        </is>
      </c>
      <c r="AT545" t="inlineStr">
        <is>
          <t>x</t>
        </is>
      </c>
      <c r="AU545" t="inlineStr"/>
      <c r="AV545" t="inlineStr"/>
      <c r="AW545" t="inlineStr"/>
      <c r="AX545" t="inlineStr"/>
      <c r="AY545" t="inlineStr"/>
      <c r="AZ545" t="inlineStr"/>
      <c r="BA545" t="inlineStr"/>
      <c r="BB545" t="inlineStr"/>
      <c r="BC545" t="inlineStr"/>
      <c r="BD545" t="inlineStr"/>
      <c r="BE545" t="inlineStr"/>
      <c r="BF545" t="inlineStr"/>
      <c r="BG545" t="n">
        <v>110</v>
      </c>
      <c r="BH545" t="inlineStr"/>
      <c r="BI545" t="inlineStr"/>
      <c r="BJ545" t="inlineStr"/>
      <c r="BK545" t="inlineStr"/>
      <c r="BL545" t="inlineStr"/>
      <c r="BM545" t="inlineStr">
        <is>
          <t>n</t>
        </is>
      </c>
      <c r="BN545" t="n">
        <v>0</v>
      </c>
      <c r="BO545" t="inlineStr"/>
      <c r="BP545" t="inlineStr"/>
      <c r="BQ545" t="inlineStr"/>
      <c r="BR545" t="inlineStr"/>
      <c r="BS545" t="inlineStr"/>
      <c r="BT545" t="inlineStr"/>
      <c r="BU545" t="inlineStr"/>
      <c r="BV545" t="inlineStr">
        <is>
          <t>Schaden stabil</t>
        </is>
      </c>
      <c r="BW545" t="inlineStr"/>
      <c r="BX545" t="inlineStr"/>
      <c r="BY545" t="inlineStr"/>
      <c r="BZ545" t="inlineStr"/>
      <c r="CA545" t="inlineStr"/>
      <c r="CB545" t="inlineStr"/>
      <c r="CC545" t="inlineStr"/>
      <c r="CD545" t="inlineStr"/>
      <c r="CE545" t="inlineStr"/>
      <c r="CF545" t="inlineStr"/>
      <c r="CG545" t="inlineStr"/>
      <c r="CH545" t="inlineStr"/>
      <c r="CI545" t="inlineStr"/>
      <c r="CJ545" t="inlineStr"/>
      <c r="CK545" t="inlineStr"/>
      <c r="CL545" t="inlineStr"/>
      <c r="CM545" t="inlineStr"/>
      <c r="CN545" t="inlineStr"/>
      <c r="CO545" t="inlineStr"/>
      <c r="CP545" t="inlineStr"/>
      <c r="CQ545" t="inlineStr"/>
      <c r="CR545" t="inlineStr"/>
      <c r="CS545" t="inlineStr"/>
      <c r="CT545" t="inlineStr"/>
      <c r="CU545" t="inlineStr"/>
      <c r="CV545" t="inlineStr"/>
      <c r="CW545" t="inlineStr"/>
      <c r="CX545" t="inlineStr"/>
      <c r="CY545" t="inlineStr"/>
      <c r="CZ545" t="inlineStr"/>
      <c r="DA545" t="inlineStr"/>
      <c r="DB545" t="inlineStr"/>
      <c r="DC545" t="inlineStr"/>
      <c r="DD545" t="inlineStr"/>
      <c r="DE545" t="inlineStr"/>
      <c r="DF545" t="inlineStr"/>
      <c r="DG545" t="inlineStr"/>
    </row>
    <row r="546">
      <c r="A546" t="inlineStr">
        <is>
          <t>III</t>
        </is>
      </c>
      <c r="B546" t="b">
        <v>1</v>
      </c>
      <c r="C546" t="inlineStr"/>
      <c r="D546" t="inlineStr"/>
      <c r="E546" t="n">
        <v>613</v>
      </c>
      <c r="F546">
        <f>HYPERLINK("https://portal.dnb.de/opac.htm?method=simpleSearch&amp;cqlMode=true&amp;query=idn%3D1066957045", "Portal")</f>
        <v/>
      </c>
      <c r="G546" t="inlineStr">
        <is>
          <t>Aaf</t>
        </is>
      </c>
      <c r="H546" t="inlineStr">
        <is>
          <t>L-1541-315487666</t>
        </is>
      </c>
      <c r="I546" t="inlineStr">
        <is>
          <t>1066957045</t>
        </is>
      </c>
      <c r="J546" t="inlineStr">
        <is>
          <t>III 60, 69</t>
        </is>
      </c>
      <c r="K546" t="inlineStr">
        <is>
          <t>III 60, 69</t>
        </is>
      </c>
      <c r="L546" t="inlineStr">
        <is>
          <t>III 60, 69</t>
        </is>
      </c>
      <c r="M546" t="inlineStr"/>
      <c r="N546" t="inlineStr">
        <is>
          <t>Titi Liuij deß|| aller redsprechsten vnd hochbe=||r#[ue]mpsten geschicht schreibersz/ R#[oe]mische Historien/|| jetzundt mit gantzen fleiß besichtigt/</t>
        </is>
      </c>
      <c r="O546" t="inlineStr">
        <is>
          <t xml:space="preserve"> : </t>
        </is>
      </c>
      <c r="P546" t="inlineStr">
        <is>
          <t>X</t>
        </is>
      </c>
      <c r="Q546" t="inlineStr"/>
      <c r="R546" t="inlineStr">
        <is>
          <t>Halbledereinband</t>
        </is>
      </c>
      <c r="S546" t="inlineStr">
        <is>
          <t>bis 35 cm</t>
        </is>
      </c>
      <c r="T546" t="inlineStr">
        <is>
          <t>80° bis 110°, einseitig digitalisierbar?</t>
        </is>
      </c>
      <c r="U546" t="inlineStr">
        <is>
          <t>hohler Rücken</t>
        </is>
      </c>
      <c r="V546" t="inlineStr"/>
      <c r="W546" t="inlineStr"/>
      <c r="X546" t="inlineStr"/>
      <c r="Y546" t="n">
        <v>0</v>
      </c>
      <c r="Z546" t="inlineStr"/>
      <c r="AA546" t="inlineStr"/>
      <c r="AB546" t="inlineStr"/>
      <c r="AC546" t="inlineStr"/>
      <c r="AD546" t="inlineStr"/>
      <c r="AE546" t="inlineStr"/>
      <c r="AF546" t="inlineStr"/>
      <c r="AG546" t="inlineStr"/>
      <c r="AH546" t="inlineStr"/>
      <c r="AI546" t="inlineStr"/>
      <c r="AJ546" t="inlineStr"/>
      <c r="AK546" t="inlineStr"/>
      <c r="AL546" t="inlineStr"/>
      <c r="AM546" t="inlineStr"/>
      <c r="AN546" t="inlineStr"/>
      <c r="AO546" t="inlineStr"/>
      <c r="AP546" t="inlineStr"/>
      <c r="AQ546" t="inlineStr"/>
      <c r="AR546" t="inlineStr"/>
      <c r="AS546" t="inlineStr"/>
      <c r="AT546" t="inlineStr"/>
      <c r="AU546" t="inlineStr"/>
      <c r="AV546" t="inlineStr"/>
      <c r="AW546" t="inlineStr"/>
      <c r="AX546" t="inlineStr"/>
      <c r="AY546" t="inlineStr"/>
      <c r="AZ546" t="inlineStr"/>
      <c r="BA546" t="inlineStr"/>
      <c r="BB546" t="inlineStr"/>
      <c r="BC546" t="inlineStr"/>
      <c r="BD546" t="inlineStr"/>
      <c r="BE546" t="inlineStr"/>
      <c r="BF546" t="inlineStr"/>
      <c r="BG546" t="inlineStr"/>
      <c r="BH546" t="inlineStr"/>
      <c r="BI546" t="inlineStr"/>
      <c r="BJ546" t="inlineStr"/>
      <c r="BK546" t="inlineStr"/>
      <c r="BL546" t="inlineStr"/>
      <c r="BM546" t="inlineStr"/>
      <c r="BN546" t="n">
        <v>0</v>
      </c>
      <c r="BO546" t="inlineStr"/>
      <c r="BP546" t="inlineStr"/>
      <c r="BQ546" t="inlineStr"/>
      <c r="BR546" t="inlineStr"/>
      <c r="BS546" t="inlineStr"/>
      <c r="BT546" t="inlineStr"/>
      <c r="BU546" t="inlineStr"/>
      <c r="BV546" t="inlineStr"/>
      <c r="BW546" t="inlineStr"/>
      <c r="BX546" t="inlineStr"/>
      <c r="BY546" t="inlineStr"/>
      <c r="BZ546" t="inlineStr"/>
      <c r="CA546" t="inlineStr"/>
      <c r="CB546" t="inlineStr"/>
      <c r="CC546" t="inlineStr"/>
      <c r="CD546" t="inlineStr"/>
      <c r="CE546" t="inlineStr"/>
      <c r="CF546" t="inlineStr"/>
      <c r="CG546" t="inlineStr"/>
      <c r="CH546" t="inlineStr"/>
      <c r="CI546" t="inlineStr"/>
      <c r="CJ546" t="inlineStr"/>
      <c r="CK546" t="inlineStr"/>
      <c r="CL546" t="inlineStr"/>
      <c r="CM546" t="inlineStr"/>
      <c r="CN546" t="inlineStr"/>
      <c r="CO546" t="inlineStr"/>
      <c r="CP546" t="inlineStr"/>
      <c r="CQ546" t="inlineStr"/>
      <c r="CR546" t="inlineStr"/>
      <c r="CS546" t="inlineStr"/>
      <c r="CT546" t="inlineStr"/>
      <c r="CU546" t="inlineStr"/>
      <c r="CV546" t="inlineStr"/>
      <c r="CW546" t="inlineStr"/>
      <c r="CX546" t="inlineStr"/>
      <c r="CY546" t="inlineStr"/>
      <c r="CZ546" t="inlineStr"/>
      <c r="DA546" t="inlineStr"/>
      <c r="DB546" t="inlineStr"/>
      <c r="DC546" t="inlineStr"/>
      <c r="DD546" t="inlineStr"/>
      <c r="DE546" t="inlineStr"/>
      <c r="DF546" t="inlineStr"/>
      <c r="DG546" t="inlineStr"/>
    </row>
    <row r="547">
      <c r="A547" t="inlineStr">
        <is>
          <t>III</t>
        </is>
      </c>
      <c r="B547" t="b">
        <v>1</v>
      </c>
      <c r="C547" t="inlineStr"/>
      <c r="D547" t="inlineStr"/>
      <c r="E547" t="n">
        <v>614</v>
      </c>
      <c r="F547">
        <f>HYPERLINK("https://portal.dnb.de/opac.htm?method=simpleSearch&amp;cqlMode=true&amp;query=idn%3D1066867704", "Portal")</f>
        <v/>
      </c>
      <c r="G547" t="inlineStr">
        <is>
          <t>Aaf</t>
        </is>
      </c>
      <c r="H547" t="inlineStr">
        <is>
          <t>L-1542-315325887</t>
        </is>
      </c>
      <c r="I547" t="inlineStr">
        <is>
          <t>1066867704</t>
        </is>
      </c>
      <c r="J547" t="inlineStr">
        <is>
          <t>III 60, 70</t>
        </is>
      </c>
      <c r="K547" t="inlineStr">
        <is>
          <t>III 60, 70</t>
        </is>
      </c>
      <c r="L547" t="inlineStr">
        <is>
          <t>III 60, 70</t>
        </is>
      </c>
      <c r="M547" t="inlineStr"/>
      <c r="N547" t="inlineStr">
        <is>
          <t>DEß @aller Důrchleüchtigsten|| großmechtigsten: Vnüber=||windtlichsten Keyser Karls desz füfften/ vnnd desz Hey=||ligen Römischen Reichs peinlich Geri</t>
        </is>
      </c>
      <c r="O547" t="inlineStr">
        <is>
          <t xml:space="preserve"> : </t>
        </is>
      </c>
      <c r="P547" t="inlineStr">
        <is>
          <t>X</t>
        </is>
      </c>
      <c r="Q547" t="inlineStr"/>
      <c r="R547" t="inlineStr">
        <is>
          <t>Halbgewebeband</t>
        </is>
      </c>
      <c r="S547" t="inlineStr">
        <is>
          <t>bis 35 cm</t>
        </is>
      </c>
      <c r="T547" t="inlineStr">
        <is>
          <t>180°</t>
        </is>
      </c>
      <c r="U547" t="inlineStr">
        <is>
          <t>hohler Rücken</t>
        </is>
      </c>
      <c r="V547" t="inlineStr"/>
      <c r="W547" t="inlineStr"/>
      <c r="X547" t="inlineStr"/>
      <c r="Y547" t="n">
        <v>0</v>
      </c>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inlineStr"/>
      <c r="BI547" t="inlineStr"/>
      <c r="BJ547" t="inlineStr"/>
      <c r="BK547" t="inlineStr"/>
      <c r="BL547" t="inlineStr"/>
      <c r="BM547" t="inlineStr"/>
      <c r="BN547" t="n">
        <v>0</v>
      </c>
      <c r="BO547" t="inlineStr"/>
      <c r="BP547" t="inlineStr"/>
      <c r="BQ547" t="inlineStr"/>
      <c r="BR547" t="inlineStr"/>
      <c r="BS547" t="inlineStr"/>
      <c r="BT547" t="inlineStr"/>
      <c r="BU547" t="inlineStr"/>
      <c r="BV547" t="inlineStr"/>
      <c r="BW547" t="inlineStr"/>
      <c r="BX547" t="inlineStr"/>
      <c r="BY547" t="inlineStr"/>
      <c r="BZ547" t="inlineStr"/>
      <c r="CA547" t="inlineStr"/>
      <c r="CB547" t="inlineStr"/>
      <c r="CC547" t="inlineStr"/>
      <c r="CD547" t="inlineStr"/>
      <c r="CE547" t="inlineStr"/>
      <c r="CF547" t="inlineStr"/>
      <c r="CG547" t="inlineStr"/>
      <c r="CH547" t="inlineStr"/>
      <c r="CI547" t="inlineStr"/>
      <c r="CJ547" t="inlineStr"/>
      <c r="CK547" t="inlineStr"/>
      <c r="CL547" t="inlineStr"/>
      <c r="CM547" t="inlineStr"/>
      <c r="CN547" t="inlineStr"/>
      <c r="CO547" t="inlineStr"/>
      <c r="CP547" t="inlineStr"/>
      <c r="CQ547" t="inlineStr"/>
      <c r="CR547" t="inlineStr"/>
      <c r="CS547" t="inlineStr"/>
      <c r="CT547" t="inlineStr"/>
      <c r="CU547" t="inlineStr"/>
      <c r="CV547" t="inlineStr"/>
      <c r="CW547" t="inlineStr"/>
      <c r="CX547" t="inlineStr"/>
      <c r="CY547" t="inlineStr"/>
      <c r="CZ547" t="inlineStr"/>
      <c r="DA547" t="inlineStr"/>
      <c r="DB547" t="inlineStr"/>
      <c r="DC547" t="inlineStr"/>
      <c r="DD547" t="inlineStr"/>
      <c r="DE547" t="inlineStr"/>
      <c r="DF547" t="inlineStr"/>
      <c r="DG547" t="inlineStr"/>
    </row>
    <row r="548">
      <c r="A548" t="inlineStr">
        <is>
          <t>III</t>
        </is>
      </c>
      <c r="B548" t="b">
        <v>1</v>
      </c>
      <c r="C548" t="inlineStr"/>
      <c r="D548" t="inlineStr"/>
      <c r="E548" t="n">
        <v>615</v>
      </c>
      <c r="F548">
        <f>HYPERLINK("https://portal.dnb.de/opac.htm?method=simpleSearch&amp;cqlMode=true&amp;query=idn%3D1066674566", "Portal")</f>
        <v/>
      </c>
      <c r="G548" t="inlineStr">
        <is>
          <t>Aaf</t>
        </is>
      </c>
      <c r="H548" t="inlineStr">
        <is>
          <t>L-1544-315063092</t>
        </is>
      </c>
      <c r="I548" t="inlineStr">
        <is>
          <t>1066674566</t>
        </is>
      </c>
      <c r="J548" t="inlineStr">
        <is>
          <t>III 60, 71</t>
        </is>
      </c>
      <c r="K548" t="inlineStr">
        <is>
          <t>III 60, 71</t>
        </is>
      </c>
      <c r="L548" t="inlineStr">
        <is>
          <t>III 60, 71</t>
        </is>
      </c>
      <c r="M548" t="inlineStr"/>
      <c r="N548" t="inlineStr">
        <is>
          <t xml:space="preserve">VALERII|| MAXIMI FACTO-||RVM DICTORVMQVE|| memorabilium Libri Nouem.|| PRAETEREA CAII TITII|| Probi, in Decimum Lib. huius Ope=||ris, Epitome, etc.|| </t>
        </is>
      </c>
      <c r="O548" t="inlineStr">
        <is>
          <t xml:space="preserve"> : </t>
        </is>
      </c>
      <c r="P548" t="inlineStr">
        <is>
          <t>X</t>
        </is>
      </c>
      <c r="Q548" t="inlineStr"/>
      <c r="R548" t="inlineStr">
        <is>
          <t>Ledereinband, Schließen, erhabene Buchbeschläge</t>
        </is>
      </c>
      <c r="S548" t="inlineStr">
        <is>
          <t>bis 25 cm</t>
        </is>
      </c>
      <c r="T548" t="inlineStr">
        <is>
          <t>80° bis 110°, einseitig digitalisierbar?</t>
        </is>
      </c>
      <c r="U548" t="inlineStr">
        <is>
          <t>fester Rücken mit Schmuckprägung</t>
        </is>
      </c>
      <c r="V548" t="inlineStr"/>
      <c r="W548" t="inlineStr">
        <is>
          <t>Buchschuh</t>
        </is>
      </c>
      <c r="X548" t="inlineStr">
        <is>
          <t>Nein</t>
        </is>
      </c>
      <c r="Y548" t="n">
        <v>0</v>
      </c>
      <c r="Z548" t="inlineStr"/>
      <c r="AA548" t="inlineStr"/>
      <c r="AB548" t="inlineStr"/>
      <c r="AC548" t="inlineStr"/>
      <c r="AD548" t="inlineStr"/>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inlineStr"/>
      <c r="BI548" t="inlineStr"/>
      <c r="BJ548" t="inlineStr"/>
      <c r="BK548" t="inlineStr"/>
      <c r="BL548" t="inlineStr"/>
      <c r="BM548" t="inlineStr"/>
      <c r="BN548" t="n">
        <v>0</v>
      </c>
      <c r="BO548" t="inlineStr"/>
      <c r="BP548" t="inlineStr"/>
      <c r="BQ548" t="inlineStr"/>
      <c r="BR548" t="inlineStr"/>
      <c r="BS548" t="inlineStr"/>
      <c r="BT548" t="inlineStr"/>
      <c r="BU548" t="inlineStr"/>
      <c r="BV548" t="inlineStr"/>
      <c r="BW548" t="inlineStr"/>
      <c r="BX548" t="inlineStr"/>
      <c r="BY548" t="inlineStr"/>
      <c r="BZ548" t="inlineStr"/>
      <c r="CA548" t="inlineStr"/>
      <c r="CB548" t="inlineStr"/>
      <c r="CC548" t="inlineStr"/>
      <c r="CD548" t="inlineStr"/>
      <c r="CE548" t="inlineStr"/>
      <c r="CF548" t="inlineStr"/>
      <c r="CG548" t="inlineStr"/>
      <c r="CH548" t="inlineStr"/>
      <c r="CI548" t="inlineStr"/>
      <c r="CJ548" t="inlineStr"/>
      <c r="CK548" t="inlineStr"/>
      <c r="CL548" t="inlineStr"/>
      <c r="CM548" t="inlineStr"/>
      <c r="CN548" t="inlineStr"/>
      <c r="CO548" t="inlineStr"/>
      <c r="CP548" t="inlineStr"/>
      <c r="CQ548" t="inlineStr"/>
      <c r="CR548" t="inlineStr"/>
      <c r="CS548" t="inlineStr"/>
      <c r="CT548" t="inlineStr"/>
      <c r="CU548" t="inlineStr"/>
      <c r="CV548" t="inlineStr"/>
      <c r="CW548" t="inlineStr"/>
      <c r="CX548" t="inlineStr"/>
      <c r="CY548" t="inlineStr"/>
      <c r="CZ548" t="inlineStr"/>
      <c r="DA548" t="inlineStr"/>
      <c r="DB548" t="inlineStr"/>
      <c r="DC548" t="inlineStr"/>
      <c r="DD548" t="inlineStr"/>
      <c r="DE548" t="inlineStr"/>
      <c r="DF548" t="inlineStr"/>
      <c r="DG548" t="inlineStr"/>
    </row>
    <row r="549">
      <c r="A549" t="inlineStr">
        <is>
          <t>III</t>
        </is>
      </c>
      <c r="B549" t="b">
        <v>1</v>
      </c>
      <c r="C549" t="inlineStr">
        <is>
          <t>x</t>
        </is>
      </c>
      <c r="D549" t="inlineStr"/>
      <c r="E549" t="n">
        <v>616</v>
      </c>
      <c r="F549">
        <f>HYPERLINK("https://portal.dnb.de/opac.htm?method=simpleSearch&amp;cqlMode=true&amp;query=idn%3D994061137", "Portal")</f>
        <v/>
      </c>
      <c r="G549" t="inlineStr">
        <is>
          <t>Aal</t>
        </is>
      </c>
      <c r="H549" t="inlineStr">
        <is>
          <t>L-1546-154448621</t>
        </is>
      </c>
      <c r="I549" t="inlineStr">
        <is>
          <t>994061137</t>
        </is>
      </c>
      <c r="J549" t="inlineStr">
        <is>
          <t>III 60, 72</t>
        </is>
      </c>
      <c r="K549" t="inlineStr">
        <is>
          <t>III 60, 72</t>
        </is>
      </c>
      <c r="L549" t="inlineStr">
        <is>
          <t>III 60, 72</t>
        </is>
      </c>
      <c r="M549" t="inlineStr"/>
      <c r="N549" t="inlineStr">
        <is>
          <t xml:space="preserve">LITVRGIA|| S. BASILII|| MAG. NVPER E|| TENEBRIS ERVTA; ET|| in lucem nunc primum|| edita.|| CVM PRAEFATIO-||ne Georgij Vuicelij [Georg Witzel].|| : </t>
        </is>
      </c>
      <c r="O549" t="inlineStr">
        <is>
          <t xml:space="preserve"> : </t>
        </is>
      </c>
      <c r="P549" t="inlineStr">
        <is>
          <t>X</t>
        </is>
      </c>
      <c r="Q549" t="inlineStr"/>
      <c r="R549" t="inlineStr">
        <is>
          <t>Papier- oder Pappeinband</t>
        </is>
      </c>
      <c r="S549" t="inlineStr">
        <is>
          <t>bis 25 cm</t>
        </is>
      </c>
      <c r="T549" t="inlineStr">
        <is>
          <t>180°</t>
        </is>
      </c>
      <c r="U549" t="inlineStr"/>
      <c r="V549" t="inlineStr"/>
      <c r="W549" t="inlineStr"/>
      <c r="X549" t="inlineStr"/>
      <c r="Y549" t="n">
        <v>1</v>
      </c>
      <c r="Z549" t="inlineStr"/>
      <c r="AA549" t="inlineStr"/>
      <c r="AB549" t="inlineStr"/>
      <c r="AC549" t="inlineStr"/>
      <c r="AD549" t="inlineStr"/>
      <c r="AE549" t="inlineStr"/>
      <c r="AF549" t="inlineStr"/>
      <c r="AG549" t="inlineStr"/>
      <c r="AH549" t="inlineStr">
        <is>
          <t>x</t>
        </is>
      </c>
      <c r="AI549" t="inlineStr">
        <is>
          <t>Pa</t>
        </is>
      </c>
      <c r="AJ549" t="inlineStr"/>
      <c r="AK549" t="inlineStr"/>
      <c r="AL549" t="inlineStr"/>
      <c r="AM549" t="inlineStr">
        <is>
          <t>h/E</t>
        </is>
      </c>
      <c r="AN549" t="inlineStr"/>
      <c r="AO549" t="inlineStr"/>
      <c r="AP549" t="inlineStr"/>
      <c r="AQ549" t="inlineStr"/>
      <c r="AR549" t="inlineStr"/>
      <c r="AS549" t="inlineStr">
        <is>
          <t>Pa</t>
        </is>
      </c>
      <c r="AT549" t="inlineStr"/>
      <c r="AU549" t="inlineStr"/>
      <c r="AV549" t="inlineStr"/>
      <c r="AW549" t="inlineStr"/>
      <c r="AX549" t="inlineStr"/>
      <c r="AY549" t="inlineStr"/>
      <c r="AZ549" t="inlineStr"/>
      <c r="BA549" t="inlineStr"/>
      <c r="BB549" t="inlineStr"/>
      <c r="BC549" t="inlineStr"/>
      <c r="BD549" t="inlineStr"/>
      <c r="BE549" t="inlineStr"/>
      <c r="BF549" t="inlineStr"/>
      <c r="BG549" t="n">
        <v>110</v>
      </c>
      <c r="BH549" t="inlineStr"/>
      <c r="BI549" t="inlineStr"/>
      <c r="BJ549" t="inlineStr"/>
      <c r="BK549" t="inlineStr"/>
      <c r="BL549" t="inlineStr"/>
      <c r="BM549" t="inlineStr">
        <is>
          <t>ja vor</t>
        </is>
      </c>
      <c r="BN549" t="n">
        <v>0.5</v>
      </c>
      <c r="BO549" t="inlineStr"/>
      <c r="BP549" t="inlineStr"/>
      <c r="BQ549" t="inlineStr"/>
      <c r="BR549" t="inlineStr"/>
      <c r="BS549" t="inlineStr"/>
      <c r="BT549" t="inlineStr"/>
      <c r="BU549" t="inlineStr"/>
      <c r="BV549" t="inlineStr"/>
      <c r="BW549" t="inlineStr"/>
      <c r="BX549" t="inlineStr"/>
      <c r="BY549" t="inlineStr"/>
      <c r="BZ549" t="inlineStr">
        <is>
          <t>x</t>
        </is>
      </c>
      <c r="CA549" t="inlineStr"/>
      <c r="CB549" t="inlineStr">
        <is>
          <t>x</t>
        </is>
      </c>
      <c r="CC549" t="inlineStr"/>
      <c r="CD549" t="inlineStr"/>
      <c r="CE549" t="inlineStr"/>
      <c r="CF549" t="inlineStr"/>
      <c r="CG549" t="inlineStr"/>
      <c r="CH549" t="inlineStr"/>
      <c r="CI549" t="inlineStr"/>
      <c r="CJ549" t="inlineStr"/>
      <c r="CK549" t="inlineStr"/>
      <c r="CL549" t="inlineStr"/>
      <c r="CM549" t="n">
        <v>0.5</v>
      </c>
      <c r="CN549" t="inlineStr">
        <is>
          <t>fixieren und mit JP überfangen</t>
        </is>
      </c>
      <c r="CO549" t="inlineStr"/>
      <c r="CP549" t="inlineStr"/>
      <c r="CQ549" t="inlineStr"/>
      <c r="CR549" t="inlineStr"/>
      <c r="CS549" t="inlineStr"/>
      <c r="CT549" t="inlineStr"/>
      <c r="CU549" t="inlineStr"/>
      <c r="CV549" t="inlineStr"/>
      <c r="CW549" t="inlineStr"/>
      <c r="CX549" t="inlineStr"/>
      <c r="CY549" t="inlineStr"/>
      <c r="CZ549" t="inlineStr"/>
      <c r="DA549" t="inlineStr"/>
      <c r="DB549" t="inlineStr"/>
      <c r="DC549" t="inlineStr"/>
      <c r="DD549" t="inlineStr"/>
      <c r="DE549" t="inlineStr"/>
      <c r="DF549" t="inlineStr"/>
      <c r="DG549" t="inlineStr"/>
    </row>
    <row r="550">
      <c r="A550" t="inlineStr">
        <is>
          <t>III</t>
        </is>
      </c>
      <c r="B550" t="b">
        <v>1</v>
      </c>
      <c r="C550" t="inlineStr"/>
      <c r="D550" t="inlineStr"/>
      <c r="E550" t="n">
        <v>617</v>
      </c>
      <c r="F550">
        <f>HYPERLINK("https://portal.dnb.de/opac.htm?method=simpleSearch&amp;cqlMode=true&amp;query=idn%3D1066963118", "Portal")</f>
        <v/>
      </c>
      <c r="G550" t="inlineStr">
        <is>
          <t>Aaf</t>
        </is>
      </c>
      <c r="H550" t="inlineStr">
        <is>
          <t>L-1546-315493399</t>
        </is>
      </c>
      <c r="I550" t="inlineStr">
        <is>
          <t>1066963118</t>
        </is>
      </c>
      <c r="J550" t="inlineStr">
        <is>
          <t>III 60, 73</t>
        </is>
      </c>
      <c r="K550" t="inlineStr">
        <is>
          <t>III 60, 73</t>
        </is>
      </c>
      <c r="L550" t="inlineStr">
        <is>
          <t>III 60, 73</t>
        </is>
      </c>
      <c r="M550" t="inlineStr"/>
      <c r="N550" t="inlineStr">
        <is>
          <t xml:space="preserve">LAVS|| MARIAE DEI/||PARAE VIRGINIS, EX|| antiquißimis Ecclesiae|| Catholicae Patri/||bus agge/||sta.|| PER GEORGI/||VM VVICELIVM.|| : </t>
        </is>
      </c>
      <c r="O550" t="inlineStr">
        <is>
          <t xml:space="preserve"> : </t>
        </is>
      </c>
      <c r="P550" t="inlineStr"/>
      <c r="Q550" t="inlineStr"/>
      <c r="R550" t="inlineStr">
        <is>
          <t>Ledereinband, Schließen, erhabene Buchbeschläge</t>
        </is>
      </c>
      <c r="S550" t="inlineStr">
        <is>
          <t>bis 25 cm</t>
        </is>
      </c>
      <c r="T550" t="inlineStr">
        <is>
          <t>180°</t>
        </is>
      </c>
      <c r="U550" t="inlineStr">
        <is>
          <t>hohler Rücken, stark brüchiges Einbandmaterial</t>
        </is>
      </c>
      <c r="V550" t="inlineStr"/>
      <c r="W550" t="inlineStr">
        <is>
          <t>Buchschuh</t>
        </is>
      </c>
      <c r="X550" t="inlineStr">
        <is>
          <t>Nein</t>
        </is>
      </c>
      <c r="Y550" t="n">
        <v>3</v>
      </c>
      <c r="Z550" t="inlineStr"/>
      <c r="AA550" t="inlineStr">
        <is>
          <t>enthält Blindlagen</t>
        </is>
      </c>
      <c r="AB550" t="inlineStr"/>
      <c r="AC550" t="inlineStr"/>
      <c r="AD550" t="inlineStr"/>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c r="BD550" t="inlineStr"/>
      <c r="BE550" t="inlineStr"/>
      <c r="BF550" t="inlineStr"/>
      <c r="BG550" t="inlineStr"/>
      <c r="BH550" t="inlineStr"/>
      <c r="BI550" t="inlineStr"/>
      <c r="BJ550" t="inlineStr"/>
      <c r="BK550" t="inlineStr"/>
      <c r="BL550" t="inlineStr"/>
      <c r="BM550" t="inlineStr"/>
      <c r="BN550" t="n">
        <v>0</v>
      </c>
      <c r="BO550" t="inlineStr"/>
      <c r="BP550" t="inlineStr"/>
      <c r="BQ550" t="inlineStr"/>
      <c r="BR550" t="inlineStr"/>
      <c r="BS550" t="inlineStr"/>
      <c r="BT550" t="inlineStr"/>
      <c r="BU550" t="inlineStr"/>
      <c r="BV550" t="inlineStr"/>
      <c r="BW550" t="inlineStr"/>
      <c r="BX550" t="inlineStr"/>
      <c r="BY550" t="inlineStr"/>
      <c r="BZ550" t="inlineStr"/>
      <c r="CA550" t="inlineStr"/>
      <c r="CB550" t="inlineStr"/>
      <c r="CC550" t="inlineStr"/>
      <c r="CD550" t="inlineStr"/>
      <c r="CE550" t="inlineStr"/>
      <c r="CF550" t="inlineStr"/>
      <c r="CG550" t="inlineStr"/>
      <c r="CH550" t="inlineStr"/>
      <c r="CI550" t="inlineStr"/>
      <c r="CJ550" t="inlineStr"/>
      <c r="CK550" t="inlineStr"/>
      <c r="CL550" t="inlineStr"/>
      <c r="CM550" t="inlineStr"/>
      <c r="CN550" t="inlineStr"/>
      <c r="CO550" t="inlineStr"/>
      <c r="CP550" t="inlineStr"/>
      <c r="CQ550" t="inlineStr"/>
      <c r="CR550" t="inlineStr"/>
      <c r="CS550" t="inlineStr"/>
      <c r="CT550" t="inlineStr"/>
      <c r="CU550" t="inlineStr"/>
      <c r="CV550" t="inlineStr"/>
      <c r="CW550" t="inlineStr"/>
      <c r="CX550" t="inlineStr"/>
      <c r="CY550" t="inlineStr"/>
      <c r="CZ550" t="inlineStr"/>
      <c r="DA550" t="inlineStr"/>
      <c r="DB550" t="inlineStr"/>
      <c r="DC550" t="inlineStr"/>
      <c r="DD550" t="inlineStr"/>
      <c r="DE550" t="inlineStr"/>
      <c r="DF550" t="inlineStr"/>
      <c r="DG550" t="inlineStr"/>
    </row>
    <row r="551">
      <c r="A551" t="inlineStr">
        <is>
          <t>III</t>
        </is>
      </c>
      <c r="B551" t="b">
        <v>1</v>
      </c>
      <c r="C551" t="inlineStr">
        <is>
          <t>x</t>
        </is>
      </c>
      <c r="D551" t="inlineStr"/>
      <c r="E551" t="n">
        <v>618</v>
      </c>
      <c r="F551">
        <f>HYPERLINK("https://portal.dnb.de/opac.htm?method=simpleSearch&amp;cqlMode=true&amp;query=idn%3D1079607978", "Portal")</f>
        <v/>
      </c>
      <c r="G551" t="inlineStr">
        <is>
          <t>Aaf</t>
        </is>
      </c>
      <c r="H551" t="inlineStr">
        <is>
          <t>L-1546-343788683</t>
        </is>
      </c>
      <c r="I551" t="inlineStr">
        <is>
          <t>1079607978</t>
        </is>
      </c>
      <c r="J551" t="inlineStr">
        <is>
          <t>III 60, 74</t>
        </is>
      </c>
      <c r="K551" t="inlineStr">
        <is>
          <t>III 60, 74</t>
        </is>
      </c>
      <c r="L551" t="inlineStr">
        <is>
          <t>III 60, 74</t>
        </is>
      </c>
      <c r="M551" t="inlineStr"/>
      <c r="N551" t="inlineStr">
        <is>
          <t>Titi Liuij deß|| aller redsprechsten vnd hochbe=||r#[ue]mpsten geschicht schreibersz/ R#[oe]mische Historien/|| jetzundt mit gantzen fleiß besichtigt/</t>
        </is>
      </c>
      <c r="O551" t="inlineStr">
        <is>
          <t xml:space="preserve"> : </t>
        </is>
      </c>
      <c r="P551" t="inlineStr">
        <is>
          <t>X</t>
        </is>
      </c>
      <c r="Q551" t="inlineStr"/>
      <c r="R551" t="inlineStr">
        <is>
          <t>Ledereinband</t>
        </is>
      </c>
      <c r="S551" t="inlineStr">
        <is>
          <t>bis 35 cm</t>
        </is>
      </c>
      <c r="T551" t="inlineStr">
        <is>
          <t>180°</t>
        </is>
      </c>
      <c r="U551" t="inlineStr">
        <is>
          <t>fester Rücken mit Schmuckprägung, stark brüchiges Einbandmaterial</t>
        </is>
      </c>
      <c r="V551" t="inlineStr"/>
      <c r="W551" t="inlineStr"/>
      <c r="X551" t="inlineStr"/>
      <c r="Y551" t="n">
        <v>3</v>
      </c>
      <c r="Z551" t="inlineStr"/>
      <c r="AA551" t="inlineStr"/>
      <c r="AB551" t="inlineStr"/>
      <c r="AC551" t="inlineStr"/>
      <c r="AD551" t="inlineStr"/>
      <c r="AE551" t="inlineStr"/>
      <c r="AF551" t="inlineStr"/>
      <c r="AG551" t="inlineStr"/>
      <c r="AH551" t="inlineStr"/>
      <c r="AI551" t="inlineStr">
        <is>
          <t>L</t>
        </is>
      </c>
      <c r="AJ551" t="inlineStr"/>
      <c r="AK551" t="inlineStr"/>
      <c r="AL551" t="inlineStr"/>
      <c r="AM551" t="inlineStr">
        <is>
          <t>f/V</t>
        </is>
      </c>
      <c r="AN551" t="inlineStr"/>
      <c r="AO551" t="inlineStr">
        <is>
          <t>x</t>
        </is>
      </c>
      <c r="AP551" t="inlineStr"/>
      <c r="AQ551" t="inlineStr"/>
      <c r="AR551" t="inlineStr"/>
      <c r="AS551" t="inlineStr">
        <is>
          <t>Pa</t>
        </is>
      </c>
      <c r="AT551" t="inlineStr"/>
      <c r="AU551" t="inlineStr"/>
      <c r="AV551" t="inlineStr"/>
      <c r="AW551" t="inlineStr"/>
      <c r="AX551" t="inlineStr"/>
      <c r="AY551" t="inlineStr"/>
      <c r="AZ551" t="inlineStr"/>
      <c r="BA551" t="inlineStr"/>
      <c r="BB551" t="inlineStr"/>
      <c r="BC551" t="inlineStr"/>
      <c r="BD551" t="inlineStr"/>
      <c r="BE551" t="inlineStr"/>
      <c r="BF551" t="inlineStr"/>
      <c r="BG551" t="n">
        <v>45</v>
      </c>
      <c r="BH551" t="inlineStr"/>
      <c r="BI551" t="inlineStr"/>
      <c r="BJ551" t="inlineStr"/>
      <c r="BK551" t="inlineStr"/>
      <c r="BL551" t="inlineStr"/>
      <c r="BM551" t="inlineStr">
        <is>
          <t>ja vor</t>
        </is>
      </c>
      <c r="BN551" t="n">
        <v>2.5</v>
      </c>
      <c r="BO551" t="inlineStr"/>
      <c r="BP551" t="inlineStr"/>
      <c r="BQ551" t="inlineStr"/>
      <c r="BR551" t="inlineStr"/>
      <c r="BS551" t="inlineStr"/>
      <c r="BT551" t="inlineStr"/>
      <c r="BU551" t="inlineStr"/>
      <c r="BV551" t="inlineStr"/>
      <c r="BW551" t="inlineStr"/>
      <c r="BX551" t="inlineStr"/>
      <c r="BY551" t="inlineStr">
        <is>
          <t>Umschlag (Leder pudert)</t>
        </is>
      </c>
      <c r="BZ551" t="inlineStr">
        <is>
          <t>x</t>
        </is>
      </c>
      <c r="CA551" t="inlineStr">
        <is>
          <t>x</t>
        </is>
      </c>
      <c r="CB551" t="inlineStr">
        <is>
          <t>x</t>
        </is>
      </c>
      <c r="CC551" t="inlineStr">
        <is>
          <t>x</t>
        </is>
      </c>
      <c r="CD551" t="inlineStr">
        <is>
          <t>v</t>
        </is>
      </c>
      <c r="CE551" t="inlineStr"/>
      <c r="CF551" t="inlineStr"/>
      <c r="CG551" t="inlineStr"/>
      <c r="CH551" t="inlineStr"/>
      <c r="CI551" t="inlineStr"/>
      <c r="CJ551" t="inlineStr"/>
      <c r="CK551" t="inlineStr"/>
      <c r="CL551" t="inlineStr"/>
      <c r="CM551" t="n">
        <v>2.5</v>
      </c>
      <c r="CN551" t="inlineStr">
        <is>
          <t>fixieren, ggf. JP unterlegen im Gelenk, mit JP überfangen, ws. Klucel einsetzen?, ws. extrem(!) feuchteempfindliches Leder</t>
        </is>
      </c>
      <c r="CO551" t="inlineStr"/>
      <c r="CP551" t="inlineStr"/>
      <c r="CQ551" t="inlineStr"/>
      <c r="CR551" t="inlineStr"/>
      <c r="CS551" t="inlineStr"/>
      <c r="CT551" t="inlineStr"/>
      <c r="CU551" t="inlineStr"/>
      <c r="CV551" t="inlineStr"/>
      <c r="CW551" t="inlineStr"/>
      <c r="CX551" t="inlineStr"/>
      <c r="CY551" t="inlineStr"/>
      <c r="CZ551" t="inlineStr"/>
      <c r="DA551" t="inlineStr"/>
      <c r="DB551" t="inlineStr"/>
      <c r="DC551" t="inlineStr"/>
      <c r="DD551" t="inlineStr"/>
      <c r="DE551" t="inlineStr"/>
      <c r="DF551" t="inlineStr"/>
      <c r="DG551" t="inlineStr"/>
    </row>
    <row r="552">
      <c r="A552" t="inlineStr">
        <is>
          <t>III</t>
        </is>
      </c>
      <c r="B552" t="b">
        <v>1</v>
      </c>
      <c r="C552" t="inlineStr">
        <is>
          <t>x</t>
        </is>
      </c>
      <c r="D552" t="inlineStr"/>
      <c r="E552" t="inlineStr"/>
      <c r="F552">
        <f>HYPERLINK("https://portal.dnb.de/opac.htm?method=simpleSearch&amp;cqlMode=true&amp;query=idn%3D1267944188", "Portal")</f>
        <v/>
      </c>
      <c r="G552" t="inlineStr">
        <is>
          <t>Qd</t>
        </is>
      </c>
      <c r="H552" t="inlineStr">
        <is>
          <t>L-1548-815623631</t>
        </is>
      </c>
      <c r="I552" t="inlineStr">
        <is>
          <t>1267944188</t>
        </is>
      </c>
      <c r="J552" t="inlineStr">
        <is>
          <t>III 60, 75</t>
        </is>
      </c>
      <c r="K552" t="inlineStr">
        <is>
          <t>III 60, 75</t>
        </is>
      </c>
      <c r="L552" t="inlineStr">
        <is>
          <t>III 60, 75</t>
        </is>
      </c>
      <c r="M552" t="inlineStr">
        <is>
          <t>überprüfen, ob das das erst enthaltene Werk ist</t>
        </is>
      </c>
      <c r="N552" t="inlineStr">
        <is>
          <t xml:space="preserve">Sammelband : </t>
        </is>
      </c>
      <c r="O552" t="inlineStr">
        <is>
          <t xml:space="preserve"> : </t>
        </is>
      </c>
      <c r="P552" t="inlineStr">
        <is>
          <t>X</t>
        </is>
      </c>
      <c r="Q552" t="inlineStr"/>
      <c r="R552" t="inlineStr">
        <is>
          <t>Ledereinband</t>
        </is>
      </c>
      <c r="S552" t="inlineStr">
        <is>
          <t>bis 35 cm</t>
        </is>
      </c>
      <c r="T552" t="inlineStr">
        <is>
          <t>180°</t>
        </is>
      </c>
      <c r="U552" t="inlineStr">
        <is>
          <t>fester Rücken mit Schmuckprägung, stark brüchiges Einbandmaterial</t>
        </is>
      </c>
      <c r="V552" t="inlineStr"/>
      <c r="W552" t="inlineStr"/>
      <c r="X552" t="inlineStr"/>
      <c r="Y552" t="n">
        <v>3</v>
      </c>
      <c r="Z552" t="inlineStr"/>
      <c r="AA552" t="inlineStr"/>
      <c r="AB552" t="inlineStr"/>
      <c r="AC552" t="inlineStr"/>
      <c r="AD552" t="inlineStr"/>
      <c r="AE552" t="inlineStr"/>
      <c r="AF552" t="inlineStr"/>
      <c r="AG552" t="inlineStr"/>
      <c r="AH552" t="inlineStr"/>
      <c r="AI552" t="inlineStr">
        <is>
          <t>L</t>
        </is>
      </c>
      <c r="AJ552" t="inlineStr"/>
      <c r="AK552" t="inlineStr"/>
      <c r="AL552" t="inlineStr"/>
      <c r="AM552" t="inlineStr">
        <is>
          <t>f/V</t>
        </is>
      </c>
      <c r="AN552" t="inlineStr"/>
      <c r="AO552" t="inlineStr">
        <is>
          <t>x</t>
        </is>
      </c>
      <c r="AP552" t="inlineStr"/>
      <c r="AQ552" t="inlineStr"/>
      <c r="AR552" t="inlineStr"/>
      <c r="AS552" t="inlineStr">
        <is>
          <t>Pa</t>
        </is>
      </c>
      <c r="AT552" t="inlineStr"/>
      <c r="AU552" t="inlineStr"/>
      <c r="AV552" t="inlineStr"/>
      <c r="AW552" t="inlineStr"/>
      <c r="AX552" t="inlineStr"/>
      <c r="AY552" t="inlineStr"/>
      <c r="AZ552" t="inlineStr"/>
      <c r="BA552" t="inlineStr"/>
      <c r="BB552" t="inlineStr"/>
      <c r="BC552" t="inlineStr"/>
      <c r="BD552" t="inlineStr"/>
      <c r="BE552" t="inlineStr"/>
      <c r="BF552" t="inlineStr"/>
      <c r="BG552" t="n">
        <v>45</v>
      </c>
      <c r="BH552" t="inlineStr"/>
      <c r="BI552" t="inlineStr"/>
      <c r="BJ552" t="inlineStr"/>
      <c r="BK552" t="inlineStr"/>
      <c r="BL552" t="inlineStr"/>
      <c r="BM552" t="inlineStr">
        <is>
          <t>ja vor</t>
        </is>
      </c>
      <c r="BN552" t="n">
        <v>7</v>
      </c>
      <c r="BO552" t="inlineStr"/>
      <c r="BP552" t="inlineStr"/>
      <c r="BQ552" t="inlineStr"/>
      <c r="BR552" t="inlineStr"/>
      <c r="BS552" t="inlineStr"/>
      <c r="BT552" t="inlineStr"/>
      <c r="BU552" t="inlineStr"/>
      <c r="BV552" t="inlineStr"/>
      <c r="BW552" t="inlineStr"/>
      <c r="BX552" t="inlineStr"/>
      <c r="BY552" t="inlineStr">
        <is>
          <t>Umschlag (Leder pudert)</t>
        </is>
      </c>
      <c r="BZ552" t="inlineStr">
        <is>
          <t>x</t>
        </is>
      </c>
      <c r="CA552" t="inlineStr">
        <is>
          <t>x</t>
        </is>
      </c>
      <c r="CB552" t="inlineStr">
        <is>
          <t>x</t>
        </is>
      </c>
      <c r="CC552" t="inlineStr">
        <is>
          <t>x</t>
        </is>
      </c>
      <c r="CD552" t="inlineStr">
        <is>
          <t>v</t>
        </is>
      </c>
      <c r="CE552" t="n">
        <v>2</v>
      </c>
      <c r="CF552" t="inlineStr"/>
      <c r="CG552" t="inlineStr"/>
      <c r="CH552" t="inlineStr"/>
      <c r="CI552" t="inlineStr"/>
      <c r="CJ552" t="inlineStr"/>
      <c r="CK552" t="inlineStr">
        <is>
          <t>VD</t>
        </is>
      </c>
      <c r="CL552" t="inlineStr">
        <is>
          <t>x</t>
        </is>
      </c>
      <c r="CM552" t="n">
        <v>7</v>
      </c>
      <c r="CN552" t="inlineStr">
        <is>
          <t>Kapital und Leder fixieren, Gelenk mit JP-Gewebe-Laminat unterlegen und dadurch Deckel fixieren, ggf. mit JP überfangen, ggf. innen den Falz abdecken, ws. extrem(!) feuchteempfindliches Leder</t>
        </is>
      </c>
      <c r="CO552" t="inlineStr"/>
      <c r="CP552" t="inlineStr"/>
      <c r="CQ552" t="inlineStr"/>
      <c r="CR552" t="inlineStr"/>
      <c r="CS552" t="inlineStr"/>
      <c r="CT552" t="inlineStr"/>
      <c r="CU552" t="inlineStr"/>
      <c r="CV552" t="inlineStr"/>
      <c r="CW552" t="inlineStr"/>
      <c r="CX552" t="inlineStr"/>
      <c r="CY552" t="inlineStr"/>
      <c r="CZ552" t="inlineStr"/>
      <c r="DA552" t="inlineStr"/>
      <c r="DB552" t="inlineStr"/>
      <c r="DC552" t="inlineStr"/>
      <c r="DD552" t="inlineStr"/>
      <c r="DE552" t="inlineStr"/>
      <c r="DF552" t="inlineStr"/>
      <c r="DG552" t="inlineStr"/>
    </row>
    <row r="553">
      <c r="A553" t="inlineStr">
        <is>
          <t>III</t>
        </is>
      </c>
      <c r="B553" t="b">
        <v>1</v>
      </c>
      <c r="C553" t="inlineStr"/>
      <c r="D553" t="inlineStr"/>
      <c r="E553" t="n">
        <v>625</v>
      </c>
      <c r="F553">
        <f>HYPERLINK("https://portal.dnb.de/opac.htm?method=simpleSearch&amp;cqlMode=true&amp;query=idn%3D1066865094", "Portal")</f>
        <v/>
      </c>
      <c r="G553" t="inlineStr">
        <is>
          <t>Aaf</t>
        </is>
      </c>
      <c r="H553" t="inlineStr">
        <is>
          <t>L-1548-315323418</t>
        </is>
      </c>
      <c r="I553" t="inlineStr">
        <is>
          <t>1066865094</t>
        </is>
      </c>
      <c r="J553" t="inlineStr">
        <is>
          <t>III 60, 76</t>
        </is>
      </c>
      <c r="K553" t="inlineStr">
        <is>
          <t>III 60, 76</t>
        </is>
      </c>
      <c r="L553" t="inlineStr">
        <is>
          <t>III 60, 76</t>
        </is>
      </c>
      <c r="M553" t="inlineStr"/>
      <c r="N553" t="inlineStr">
        <is>
          <t>FORMVLA RE=||FORMATIONIS PER CAE-||SAREAM MAIESTATEM|| Statibus Ecclesiasticis in Comitijs Augustanis ad de-||liberandum proposita, et ab eisdem, ut p</t>
        </is>
      </c>
      <c r="O553" t="inlineStr">
        <is>
          <t xml:space="preserve"> : </t>
        </is>
      </c>
      <c r="P553" t="inlineStr">
        <is>
          <t>X</t>
        </is>
      </c>
      <c r="Q553" t="inlineStr"/>
      <c r="R553" t="inlineStr">
        <is>
          <t>Papier- oder Pappeinband</t>
        </is>
      </c>
      <c r="S553" t="inlineStr">
        <is>
          <t>bis 35 cm</t>
        </is>
      </c>
      <c r="T553" t="inlineStr">
        <is>
          <t>180°</t>
        </is>
      </c>
      <c r="U553" t="inlineStr"/>
      <c r="V553" t="inlineStr"/>
      <c r="W553" t="inlineStr"/>
      <c r="X553" t="inlineStr"/>
      <c r="Y553" t="n">
        <v>0</v>
      </c>
      <c r="Z553" t="inlineStr"/>
      <c r="AA553" t="inlineStr"/>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inlineStr"/>
      <c r="BI553" t="inlineStr"/>
      <c r="BJ553" t="inlineStr"/>
      <c r="BK553" t="inlineStr"/>
      <c r="BL553" t="inlineStr"/>
      <c r="BM553" t="inlineStr"/>
      <c r="BN553" t="n">
        <v>0</v>
      </c>
      <c r="BO553" t="inlineStr"/>
      <c r="BP553" t="inlineStr"/>
      <c r="BQ553" t="inlineStr"/>
      <c r="BR553" t="inlineStr"/>
      <c r="BS553" t="inlineStr"/>
      <c r="BT553" t="inlineStr"/>
      <c r="BU553" t="inlineStr"/>
      <c r="BV553" t="inlineStr"/>
      <c r="BW553" t="inlineStr"/>
      <c r="BX553" t="inlineStr"/>
      <c r="BY553" t="inlineStr"/>
      <c r="BZ553" t="inlineStr"/>
      <c r="CA553" t="inlineStr"/>
      <c r="CB553" t="inlineStr"/>
      <c r="CC553" t="inlineStr"/>
      <c r="CD553" t="inlineStr"/>
      <c r="CE553" t="inlineStr"/>
      <c r="CF553" t="inlineStr"/>
      <c r="CG553" t="inlineStr"/>
      <c r="CH553" t="inlineStr"/>
      <c r="CI553" t="inlineStr"/>
      <c r="CJ553" t="inlineStr"/>
      <c r="CK553" t="inlineStr"/>
      <c r="CL553" t="inlineStr"/>
      <c r="CM553" t="inlineStr"/>
      <c r="CN553" t="inlineStr"/>
      <c r="CO553" t="inlineStr"/>
      <c r="CP553" t="inlineStr"/>
      <c r="CQ553" t="inlineStr"/>
      <c r="CR553" t="inlineStr"/>
      <c r="CS553" t="inlineStr"/>
      <c r="CT553" t="inlineStr"/>
      <c r="CU553" t="inlineStr"/>
      <c r="CV553" t="inlineStr"/>
      <c r="CW553" t="inlineStr"/>
      <c r="CX553" t="inlineStr"/>
      <c r="CY553" t="inlineStr"/>
      <c r="CZ553" t="inlineStr"/>
      <c r="DA553" t="inlineStr"/>
      <c r="DB553" t="inlineStr"/>
      <c r="DC553" t="inlineStr"/>
      <c r="DD553" t="inlineStr"/>
      <c r="DE553" t="inlineStr"/>
      <c r="DF553" t="inlineStr"/>
      <c r="DG553" t="inlineStr"/>
    </row>
    <row r="554">
      <c r="A554" t="inlineStr">
        <is>
          <t>III</t>
        </is>
      </c>
      <c r="B554" t="b">
        <v>1</v>
      </c>
      <c r="C554" t="inlineStr"/>
      <c r="D554" t="inlineStr"/>
      <c r="E554" t="n">
        <v>626</v>
      </c>
      <c r="F554">
        <f>HYPERLINK("https://portal.dnb.de/opac.htm?method=simpleSearch&amp;cqlMode=true&amp;query=idn%3D1066868867", "Portal")</f>
        <v/>
      </c>
      <c r="G554" t="inlineStr">
        <is>
          <t>Aaf</t>
        </is>
      </c>
      <c r="H554" t="inlineStr">
        <is>
          <t>L-1549-315326913</t>
        </is>
      </c>
      <c r="I554" t="inlineStr">
        <is>
          <t>1066868867</t>
        </is>
      </c>
      <c r="J554" t="inlineStr">
        <is>
          <t>III 60, 77</t>
        </is>
      </c>
      <c r="K554" t="inlineStr">
        <is>
          <t>III 60, 77</t>
        </is>
      </c>
      <c r="L554" t="inlineStr">
        <is>
          <t>III 60, 77</t>
        </is>
      </c>
      <c r="M554" t="inlineStr"/>
      <c r="N554" t="inlineStr">
        <is>
          <t xml:space="preserve">SACRAE CAESA=||REAE MAIESTATIS DECLARA-||RATIO, QVOMODO IN NE-||gocio Religionis per Imperium usqz ad definitionem|| Concilij generalis uiuendum sit, </t>
        </is>
      </c>
      <c r="O554" t="inlineStr">
        <is>
          <t xml:space="preserve"> : </t>
        </is>
      </c>
      <c r="P554" t="inlineStr">
        <is>
          <t>X</t>
        </is>
      </c>
      <c r="Q554" t="inlineStr"/>
      <c r="R554" t="inlineStr">
        <is>
          <t>Papier- oder Pappeinband</t>
        </is>
      </c>
      <c r="S554" t="inlineStr">
        <is>
          <t>bis 35 cm</t>
        </is>
      </c>
      <c r="T554" t="inlineStr">
        <is>
          <t>180°</t>
        </is>
      </c>
      <c r="U554" t="inlineStr"/>
      <c r="V554" t="inlineStr"/>
      <c r="W554" t="inlineStr"/>
      <c r="X554" t="inlineStr"/>
      <c r="Y554" t="n">
        <v>0</v>
      </c>
      <c r="Z554" t="inlineStr"/>
      <c r="AA554" t="inlineStr"/>
      <c r="AB554" t="inlineStr"/>
      <c r="AC554" t="inlineStr"/>
      <c r="AD554" t="inlineStr"/>
      <c r="AE554" t="inlineStr"/>
      <c r="AF554" t="inlineStr"/>
      <c r="AG554" t="inlineStr"/>
      <c r="AH554" t="inlineStr"/>
      <c r="AI554" t="inlineStr"/>
      <c r="AJ554" t="inlineStr"/>
      <c r="AK554" t="inlineStr"/>
      <c r="AL554" t="inlineStr"/>
      <c r="AM554" t="inlineStr"/>
      <c r="AN554" t="inlineStr"/>
      <c r="AO554" t="inlineStr"/>
      <c r="AP554" t="inlineStr"/>
      <c r="AQ554" t="inlineStr"/>
      <c r="AR554" t="inlineStr"/>
      <c r="AS554" t="inlineStr"/>
      <c r="AT554" t="inlineStr"/>
      <c r="AU554" t="inlineStr"/>
      <c r="AV554" t="inlineStr"/>
      <c r="AW554" t="inlineStr"/>
      <c r="AX554" t="inlineStr"/>
      <c r="AY554" t="inlineStr"/>
      <c r="AZ554" t="inlineStr"/>
      <c r="BA554" t="inlineStr"/>
      <c r="BB554" t="inlineStr"/>
      <c r="BC554" t="inlineStr"/>
      <c r="BD554" t="inlineStr"/>
      <c r="BE554" t="inlineStr"/>
      <c r="BF554" t="inlineStr"/>
      <c r="BG554" t="inlineStr"/>
      <c r="BH554" t="inlineStr"/>
      <c r="BI554" t="inlineStr"/>
      <c r="BJ554" t="inlineStr"/>
      <c r="BK554" t="inlineStr"/>
      <c r="BL554" t="inlineStr"/>
      <c r="BM554" t="inlineStr"/>
      <c r="BN554" t="n">
        <v>0</v>
      </c>
      <c r="BO554" t="inlineStr"/>
      <c r="BP554" t="inlineStr"/>
      <c r="BQ554" t="inlineStr"/>
      <c r="BR554" t="inlineStr"/>
      <c r="BS554" t="inlineStr"/>
      <c r="BT554" t="inlineStr"/>
      <c r="BU554" t="inlineStr"/>
      <c r="BV554" t="inlineStr"/>
      <c r="BW554" t="inlineStr"/>
      <c r="BX554" t="inlineStr"/>
      <c r="BY554" t="inlineStr"/>
      <c r="BZ554" t="inlineStr"/>
      <c r="CA554" t="inlineStr"/>
      <c r="CB554" t="inlineStr"/>
      <c r="CC554" t="inlineStr"/>
      <c r="CD554" t="inlineStr"/>
      <c r="CE554" t="inlineStr"/>
      <c r="CF554" t="inlineStr"/>
      <c r="CG554" t="inlineStr"/>
      <c r="CH554" t="inlineStr"/>
      <c r="CI554" t="inlineStr"/>
      <c r="CJ554" t="inlineStr"/>
      <c r="CK554" t="inlineStr"/>
      <c r="CL554" t="inlineStr"/>
      <c r="CM554" t="inlineStr"/>
      <c r="CN554" t="inlineStr"/>
      <c r="CO554" t="inlineStr"/>
      <c r="CP554" t="inlineStr"/>
      <c r="CQ554" t="inlineStr"/>
      <c r="CR554" t="inlineStr"/>
      <c r="CS554" t="inlineStr"/>
      <c r="CT554" t="inlineStr"/>
      <c r="CU554" t="inlineStr"/>
      <c r="CV554" t="inlineStr"/>
      <c r="CW554" t="inlineStr"/>
      <c r="CX554" t="inlineStr"/>
      <c r="CY554" t="inlineStr"/>
      <c r="CZ554" t="inlineStr"/>
      <c r="DA554" t="inlineStr"/>
      <c r="DB554" t="inlineStr"/>
      <c r="DC554" t="inlineStr"/>
      <c r="DD554" t="inlineStr"/>
      <c r="DE554" t="inlineStr"/>
      <c r="DF554" t="inlineStr"/>
      <c r="DG554" t="inlineStr"/>
    </row>
    <row r="555">
      <c r="A555" t="inlineStr">
        <is>
          <t>III</t>
        </is>
      </c>
      <c r="B555" t="b">
        <v>1</v>
      </c>
      <c r="C555" t="inlineStr"/>
      <c r="D555" t="inlineStr"/>
      <c r="E555" t="n">
        <v>627</v>
      </c>
      <c r="F555">
        <f>HYPERLINK("https://portal.dnb.de/opac.htm?method=simpleSearch&amp;cqlMode=true&amp;query=idn%3D1066866147", "Portal")</f>
        <v/>
      </c>
      <c r="G555" t="inlineStr">
        <is>
          <t>Aaf</t>
        </is>
      </c>
      <c r="H555" t="inlineStr">
        <is>
          <t>L-1549-315324384</t>
        </is>
      </c>
      <c r="I555" t="inlineStr">
        <is>
          <t>1066866147</t>
        </is>
      </c>
      <c r="J555" t="inlineStr">
        <is>
          <t>III 60, 78</t>
        </is>
      </c>
      <c r="K555" t="inlineStr">
        <is>
          <t>III 60, 78</t>
        </is>
      </c>
      <c r="L555" t="inlineStr">
        <is>
          <t>III 60, 78</t>
        </is>
      </c>
      <c r="M555" t="inlineStr"/>
      <c r="N555" t="inlineStr">
        <is>
          <t>DEr @Römischen|| Keiserlichen Maiestat|| Erklärung/ wie es der Reli=||gion halben/ imm Heyligen|| Reich/ biß zÃ Außtrag deß|| gemeynen Concilij gehalt</t>
        </is>
      </c>
      <c r="O555" t="inlineStr">
        <is>
          <t xml:space="preserve"> : </t>
        </is>
      </c>
      <c r="P555" t="inlineStr">
        <is>
          <t>X</t>
        </is>
      </c>
      <c r="Q555" t="inlineStr"/>
      <c r="R555" t="inlineStr">
        <is>
          <t>Papier- oder Pappeinband</t>
        </is>
      </c>
      <c r="S555" t="inlineStr">
        <is>
          <t>bis 35 cm</t>
        </is>
      </c>
      <c r="T555" t="inlineStr">
        <is>
          <t>180°</t>
        </is>
      </c>
      <c r="U555" t="inlineStr"/>
      <c r="V555" t="inlineStr"/>
      <c r="W555" t="inlineStr"/>
      <c r="X555" t="inlineStr"/>
      <c r="Y555" t="n">
        <v>0</v>
      </c>
      <c r="Z555" t="inlineStr"/>
      <c r="AA555" t="inlineStr"/>
      <c r="AB555" t="inlineStr"/>
      <c r="AC555" t="inlineStr"/>
      <c r="AD555" t="inlineStr"/>
      <c r="AE555" t="inlineStr"/>
      <c r="AF555" t="inlineStr"/>
      <c r="AG555" t="inlineStr"/>
      <c r="AH555" t="inlineStr"/>
      <c r="AI555" t="inlineStr"/>
      <c r="AJ555" t="inlineStr"/>
      <c r="AK555" t="inlineStr"/>
      <c r="AL555" t="inlineStr"/>
      <c r="AM555" t="inlineStr"/>
      <c r="AN555" t="inlineStr"/>
      <c r="AO555" t="inlineStr"/>
      <c r="AP555" t="inlineStr"/>
      <c r="AQ555" t="inlineStr"/>
      <c r="AR555" t="inlineStr"/>
      <c r="AS555" t="inlineStr"/>
      <c r="AT555" t="inlineStr"/>
      <c r="AU555" t="inlineStr"/>
      <c r="AV555" t="inlineStr"/>
      <c r="AW555" t="inlineStr"/>
      <c r="AX555" t="inlineStr"/>
      <c r="AY555" t="inlineStr"/>
      <c r="AZ555" t="inlineStr"/>
      <c r="BA555" t="inlineStr"/>
      <c r="BB555" t="inlineStr"/>
      <c r="BC555" t="inlineStr"/>
      <c r="BD555" t="inlineStr"/>
      <c r="BE555" t="inlineStr"/>
      <c r="BF555" t="inlineStr"/>
      <c r="BG555" t="inlineStr"/>
      <c r="BH555" t="inlineStr"/>
      <c r="BI555" t="inlineStr"/>
      <c r="BJ555" t="inlineStr"/>
      <c r="BK555" t="inlineStr"/>
      <c r="BL555" t="inlineStr"/>
      <c r="BM555" t="inlineStr"/>
      <c r="BN555" t="n">
        <v>0</v>
      </c>
      <c r="BO555" t="inlineStr"/>
      <c r="BP555" t="inlineStr"/>
      <c r="BQ555" t="inlineStr"/>
      <c r="BR555" t="inlineStr"/>
      <c r="BS555" t="inlineStr"/>
      <c r="BT555" t="inlineStr"/>
      <c r="BU555" t="inlineStr"/>
      <c r="BV555" t="inlineStr"/>
      <c r="BW555" t="inlineStr"/>
      <c r="BX555" t="inlineStr"/>
      <c r="BY555" t="inlineStr"/>
      <c r="BZ555" t="inlineStr"/>
      <c r="CA555" t="inlineStr"/>
      <c r="CB555" t="inlineStr"/>
      <c r="CC555" t="inlineStr"/>
      <c r="CD555" t="inlineStr"/>
      <c r="CE555" t="inlineStr"/>
      <c r="CF555" t="inlineStr"/>
      <c r="CG555" t="inlineStr"/>
      <c r="CH555" t="inlineStr"/>
      <c r="CI555" t="inlineStr"/>
      <c r="CJ555" t="inlineStr"/>
      <c r="CK555" t="inlineStr"/>
      <c r="CL555" t="inlineStr"/>
      <c r="CM555" t="inlineStr"/>
      <c r="CN555" t="inlineStr"/>
      <c r="CO555" t="inlineStr"/>
      <c r="CP555" t="inlineStr"/>
      <c r="CQ555" t="inlineStr"/>
      <c r="CR555" t="inlineStr"/>
      <c r="CS555" t="inlineStr"/>
      <c r="CT555" t="inlineStr"/>
      <c r="CU555" t="inlineStr"/>
      <c r="CV555" t="inlineStr"/>
      <c r="CW555" t="inlineStr"/>
      <c r="CX555" t="inlineStr"/>
      <c r="CY555" t="inlineStr"/>
      <c r="CZ555" t="inlineStr"/>
      <c r="DA555" t="inlineStr"/>
      <c r="DB555" t="inlineStr"/>
      <c r="DC555" t="inlineStr"/>
      <c r="DD555" t="inlineStr"/>
      <c r="DE555" t="inlineStr"/>
      <c r="DF555" t="inlineStr"/>
      <c r="DG555" t="inlineStr"/>
    </row>
    <row r="556">
      <c r="A556" t="inlineStr">
        <is>
          <t>III</t>
        </is>
      </c>
      <c r="B556" t="b">
        <v>1</v>
      </c>
      <c r="C556" t="inlineStr"/>
      <c r="D556" t="inlineStr"/>
      <c r="E556" t="n">
        <v>628</v>
      </c>
      <c r="F556">
        <f>HYPERLINK("https://portal.dnb.de/opac.htm?method=simpleSearch&amp;cqlMode=true&amp;query=idn%3D1066959668", "Portal")</f>
        <v/>
      </c>
      <c r="G556" t="inlineStr">
        <is>
          <t>Aaf</t>
        </is>
      </c>
      <c r="H556" t="inlineStr">
        <is>
          <t>L-1549-315490187</t>
        </is>
      </c>
      <c r="I556" t="inlineStr">
        <is>
          <t>1066959668</t>
        </is>
      </c>
      <c r="J556" t="inlineStr">
        <is>
          <t>III 60, 79</t>
        </is>
      </c>
      <c r="K556" t="inlineStr">
        <is>
          <t>III 60, 79</t>
        </is>
      </c>
      <c r="L556" t="inlineStr">
        <is>
          <t>III 60, 79</t>
        </is>
      </c>
      <c r="M556" t="inlineStr"/>
      <c r="N556" t="inlineStr">
        <is>
          <t>R#[oe]mischer Keyser=||licher Maiestat/|| vnd deß Heyligen Reichs Landtfriden/|| auff dem Reichßtag zÄ Augspurg declariert/ er=||neüwert/ auffgericht/</t>
        </is>
      </c>
      <c r="O556" t="inlineStr">
        <is>
          <t xml:space="preserve"> : </t>
        </is>
      </c>
      <c r="P556" t="inlineStr">
        <is>
          <t>X</t>
        </is>
      </c>
      <c r="Q556" t="inlineStr"/>
      <c r="R556" t="inlineStr">
        <is>
          <t>Papier- oder Pappeinband</t>
        </is>
      </c>
      <c r="S556" t="inlineStr">
        <is>
          <t>bis 35 cm</t>
        </is>
      </c>
      <c r="T556" t="inlineStr">
        <is>
          <t>180°</t>
        </is>
      </c>
      <c r="U556" t="inlineStr"/>
      <c r="V556" t="inlineStr"/>
      <c r="W556" t="inlineStr"/>
      <c r="X556" t="inlineStr"/>
      <c r="Y556" t="n">
        <v>0</v>
      </c>
      <c r="Z556" t="inlineStr"/>
      <c r="AA556" t="inlineStr">
        <is>
          <t>Seiten glätten?</t>
        </is>
      </c>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inlineStr"/>
      <c r="BI556" t="inlineStr"/>
      <c r="BJ556" t="inlineStr"/>
      <c r="BK556" t="inlineStr"/>
      <c r="BL556" t="inlineStr"/>
      <c r="BM556" t="inlineStr"/>
      <c r="BN556" t="n">
        <v>0</v>
      </c>
      <c r="BO556" t="inlineStr"/>
      <c r="BP556" t="inlineStr"/>
      <c r="BQ556" t="inlineStr"/>
      <c r="BR556" t="inlineStr"/>
      <c r="BS556" t="inlineStr"/>
      <c r="BT556" t="inlineStr"/>
      <c r="BU556" t="inlineStr"/>
      <c r="BV556" t="inlineStr"/>
      <c r="BW556" t="inlineStr"/>
      <c r="BX556" t="inlineStr"/>
      <c r="BY556" t="inlineStr"/>
      <c r="BZ556" t="inlineStr"/>
      <c r="CA556" t="inlineStr"/>
      <c r="CB556" t="inlineStr"/>
      <c r="CC556" t="inlineStr"/>
      <c r="CD556" t="inlineStr"/>
      <c r="CE556" t="inlineStr"/>
      <c r="CF556" t="inlineStr"/>
      <c r="CG556" t="inlineStr"/>
      <c r="CH556" t="inlineStr"/>
      <c r="CI556" t="inlineStr"/>
      <c r="CJ556" t="inlineStr"/>
      <c r="CK556" t="inlineStr"/>
      <c r="CL556" t="inlineStr"/>
      <c r="CM556" t="inlineStr"/>
      <c r="CN556" t="inlineStr"/>
      <c r="CO556" t="inlineStr"/>
      <c r="CP556" t="inlineStr"/>
      <c r="CQ556" t="inlineStr"/>
      <c r="CR556" t="inlineStr"/>
      <c r="CS556" t="inlineStr"/>
      <c r="CT556" t="inlineStr"/>
      <c r="CU556" t="inlineStr"/>
      <c r="CV556" t="inlineStr"/>
      <c r="CW556" t="inlineStr"/>
      <c r="CX556" t="inlineStr"/>
      <c r="CY556" t="inlineStr"/>
      <c r="CZ556" t="inlineStr"/>
      <c r="DA556" t="inlineStr"/>
      <c r="DB556" t="inlineStr"/>
      <c r="DC556" t="inlineStr"/>
      <c r="DD556" t="inlineStr"/>
      <c r="DE556" t="inlineStr"/>
      <c r="DF556" t="inlineStr"/>
      <c r="DG556" t="inlineStr"/>
    </row>
    <row r="557">
      <c r="A557" t="inlineStr">
        <is>
          <t>III</t>
        </is>
      </c>
      <c r="B557" t="b">
        <v>1</v>
      </c>
      <c r="C557" t="inlineStr"/>
      <c r="D557" t="inlineStr"/>
      <c r="E557" t="n">
        <v>629</v>
      </c>
      <c r="F557">
        <f>HYPERLINK("https://portal.dnb.de/opac.htm?method=simpleSearch&amp;cqlMode=true&amp;query=idn%3D1066867984", "Portal")</f>
        <v/>
      </c>
      <c r="G557" t="inlineStr">
        <is>
          <t>Aaf</t>
        </is>
      </c>
      <c r="H557" t="inlineStr">
        <is>
          <t>L-1549-315326158</t>
        </is>
      </c>
      <c r="I557" t="inlineStr">
        <is>
          <t>1066867984</t>
        </is>
      </c>
      <c r="J557" t="inlineStr">
        <is>
          <t>III 60, 80</t>
        </is>
      </c>
      <c r="K557" t="inlineStr">
        <is>
          <t>III 60, 80</t>
        </is>
      </c>
      <c r="L557" t="inlineStr">
        <is>
          <t>III 60, 80</t>
        </is>
      </c>
      <c r="M557" t="inlineStr"/>
      <c r="N557" t="inlineStr">
        <is>
          <t xml:space="preserve">Römischer Keyserli=||cher Maiestat/ vnd|| desz heyligen Reichs sondere Con=||stitutiones/ vff ettlichen/ hieuor/ gehal=||tenen Reichßtägen vffgericht </t>
        </is>
      </c>
      <c r="O557" t="inlineStr">
        <is>
          <t xml:space="preserve"> : </t>
        </is>
      </c>
      <c r="P557" t="inlineStr">
        <is>
          <t>X</t>
        </is>
      </c>
      <c r="Q557" t="inlineStr"/>
      <c r="R557" t="inlineStr">
        <is>
          <t>Papier- oder Pappeinband</t>
        </is>
      </c>
      <c r="S557" t="inlineStr">
        <is>
          <t>bis 35 cm</t>
        </is>
      </c>
      <c r="T557" t="inlineStr">
        <is>
          <t>180°</t>
        </is>
      </c>
      <c r="U557" t="inlineStr">
        <is>
          <t>welliger Buchblock</t>
        </is>
      </c>
      <c r="V557" t="inlineStr"/>
      <c r="W557" t="inlineStr"/>
      <c r="X557" t="inlineStr"/>
      <c r="Y557" t="inlineStr"/>
      <c r="Z557" t="inlineStr"/>
      <c r="AA557" t="inlineStr"/>
      <c r="AB557" t="inlineStr"/>
      <c r="AC557" t="inlineStr"/>
      <c r="AD557" t="inlineStr"/>
      <c r="AE557" t="inlineStr"/>
      <c r="AF557" t="inlineStr"/>
      <c r="AG557" t="inlineStr"/>
      <c r="AH557" t="inlineStr"/>
      <c r="AI557" t="inlineStr"/>
      <c r="AJ557" t="inlineStr"/>
      <c r="AK557" t="inlineStr"/>
      <c r="AL557" t="inlineStr"/>
      <c r="AM557" t="inlineStr"/>
      <c r="AN557" t="inlineStr"/>
      <c r="AO557" t="inlineStr"/>
      <c r="AP557" t="inlineStr"/>
      <c r="AQ557" t="inlineStr"/>
      <c r="AR557" t="inlineStr"/>
      <c r="AS557" t="inlineStr"/>
      <c r="AT557" t="inlineStr"/>
      <c r="AU557" t="inlineStr"/>
      <c r="AV557" t="inlineStr"/>
      <c r="AW557" t="inlineStr"/>
      <c r="AX557" t="inlineStr"/>
      <c r="AY557" t="inlineStr"/>
      <c r="AZ557" t="inlineStr"/>
      <c r="BA557" t="inlineStr"/>
      <c r="BB557" t="inlineStr"/>
      <c r="BC557" t="inlineStr"/>
      <c r="BD557" t="inlineStr"/>
      <c r="BE557" t="inlineStr"/>
      <c r="BF557" t="inlineStr"/>
      <c r="BG557" t="inlineStr"/>
      <c r="BH557" t="inlineStr"/>
      <c r="BI557" t="inlineStr"/>
      <c r="BJ557" t="inlineStr"/>
      <c r="BK557" t="inlineStr"/>
      <c r="BL557" t="inlineStr"/>
      <c r="BM557" t="inlineStr"/>
      <c r="BN557" t="n">
        <v>0</v>
      </c>
      <c r="BO557" t="inlineStr"/>
      <c r="BP557" t="inlineStr"/>
      <c r="BQ557" t="inlineStr"/>
      <c r="BR557" t="inlineStr"/>
      <c r="BS557" t="inlineStr"/>
      <c r="BT557" t="inlineStr"/>
      <c r="BU557" t="inlineStr"/>
      <c r="BV557" t="inlineStr"/>
      <c r="BW557" t="inlineStr"/>
      <c r="BX557" t="inlineStr"/>
      <c r="BY557" t="inlineStr"/>
      <c r="BZ557" t="inlineStr"/>
      <c r="CA557" t="inlineStr"/>
      <c r="CB557" t="inlineStr"/>
      <c r="CC557" t="inlineStr"/>
      <c r="CD557" t="inlineStr"/>
      <c r="CE557" t="inlineStr"/>
      <c r="CF557" t="inlineStr"/>
      <c r="CG557" t="inlineStr"/>
      <c r="CH557" t="inlineStr"/>
      <c r="CI557" t="inlineStr"/>
      <c r="CJ557" t="inlineStr"/>
      <c r="CK557" t="inlineStr"/>
      <c r="CL557" t="inlineStr"/>
      <c r="CM557" t="inlineStr"/>
      <c r="CN557" t="inlineStr"/>
      <c r="CO557" t="inlineStr"/>
      <c r="CP557" t="inlineStr"/>
      <c r="CQ557" t="inlineStr"/>
      <c r="CR557" t="inlineStr"/>
      <c r="CS557" t="inlineStr"/>
      <c r="CT557" t="inlineStr"/>
      <c r="CU557" t="inlineStr"/>
      <c r="CV557" t="inlineStr"/>
      <c r="CW557" t="inlineStr"/>
      <c r="CX557" t="inlineStr"/>
      <c r="CY557" t="inlineStr"/>
      <c r="CZ557" t="inlineStr"/>
      <c r="DA557" t="inlineStr"/>
      <c r="DB557" t="inlineStr"/>
      <c r="DC557" t="inlineStr"/>
      <c r="DD557" t="inlineStr"/>
      <c r="DE557" t="inlineStr"/>
      <c r="DF557" t="inlineStr"/>
      <c r="DG557" t="inlineStr"/>
    </row>
    <row r="558">
      <c r="A558" t="inlineStr">
        <is>
          <t>III</t>
        </is>
      </c>
      <c r="B558" t="b">
        <v>1</v>
      </c>
      <c r="C558" t="inlineStr"/>
      <c r="D558" t="inlineStr"/>
      <c r="E558" t="n">
        <v>630</v>
      </c>
      <c r="F558">
        <f>HYPERLINK("https://portal.dnb.de/opac.htm?method=simpleSearch&amp;cqlMode=true&amp;query=idn%3D997745096", "Portal")</f>
        <v/>
      </c>
      <c r="G558" t="inlineStr">
        <is>
          <t>Aal</t>
        </is>
      </c>
      <c r="H558" t="inlineStr">
        <is>
          <t>L-1549-164690077</t>
        </is>
      </c>
      <c r="I558" t="inlineStr">
        <is>
          <t>997745096</t>
        </is>
      </c>
      <c r="J558" t="inlineStr">
        <is>
          <t>III 60, 81</t>
        </is>
      </c>
      <c r="K558" t="inlineStr">
        <is>
          <t>III 60, 81</t>
        </is>
      </c>
      <c r="L558" t="inlineStr">
        <is>
          <t>III 60, 81</t>
        </is>
      </c>
      <c r="M558" t="inlineStr"/>
      <c r="N558" t="inlineStr">
        <is>
          <t>ABschiedt Der|| Röm. Keys. Maiest. vnd ge||meyner Stend, vff dem Reichsztag z°u Aug||spurg vffgericht, Anno Domini|| M. D. XLVIII.|| Resolution vnd Er</t>
        </is>
      </c>
      <c r="O558" t="inlineStr">
        <is>
          <t xml:space="preserve"> : </t>
        </is>
      </c>
      <c r="P558" t="inlineStr">
        <is>
          <t>X</t>
        </is>
      </c>
      <c r="Q558" t="inlineStr"/>
      <c r="R558" t="inlineStr">
        <is>
          <t>Papier- oder Pappeinband</t>
        </is>
      </c>
      <c r="S558" t="inlineStr">
        <is>
          <t>bis 35 cm</t>
        </is>
      </c>
      <c r="T558" t="inlineStr">
        <is>
          <t>180°</t>
        </is>
      </c>
      <c r="U558" t="inlineStr"/>
      <c r="V558" t="inlineStr"/>
      <c r="W558" t="inlineStr"/>
      <c r="X558" t="inlineStr"/>
      <c r="Y558" t="n">
        <v>0</v>
      </c>
      <c r="Z558" t="inlineStr"/>
      <c r="AA558" t="inlineStr"/>
      <c r="AB558" t="inlineStr"/>
      <c r="AC558" t="inlineStr"/>
      <c r="AD558" t="inlineStr"/>
      <c r="AE558" t="inlineStr"/>
      <c r="AF558" t="inlineStr"/>
      <c r="AG558" t="inlineStr"/>
      <c r="AH558" t="inlineStr"/>
      <c r="AI558" t="inlineStr"/>
      <c r="AJ558" t="inlineStr"/>
      <c r="AK558" t="inlineStr"/>
      <c r="AL558" t="inlineStr"/>
      <c r="AM558" t="inlineStr"/>
      <c r="AN558" t="inlineStr"/>
      <c r="AO558" t="inlineStr"/>
      <c r="AP558" t="inlineStr"/>
      <c r="AQ558" t="inlineStr"/>
      <c r="AR558" t="inlineStr"/>
      <c r="AS558" t="inlineStr"/>
      <c r="AT558" t="inlineStr"/>
      <c r="AU558" t="inlineStr"/>
      <c r="AV558" t="inlineStr"/>
      <c r="AW558" t="inlineStr"/>
      <c r="AX558" t="inlineStr"/>
      <c r="AY558" t="inlineStr"/>
      <c r="AZ558" t="inlineStr"/>
      <c r="BA558" t="inlineStr"/>
      <c r="BB558" t="inlineStr"/>
      <c r="BC558" t="inlineStr"/>
      <c r="BD558" t="inlineStr"/>
      <c r="BE558" t="inlineStr"/>
      <c r="BF558" t="inlineStr"/>
      <c r="BG558" t="inlineStr"/>
      <c r="BH558" t="inlineStr"/>
      <c r="BI558" t="inlineStr"/>
      <c r="BJ558" t="inlineStr"/>
      <c r="BK558" t="inlineStr"/>
      <c r="BL558" t="inlineStr"/>
      <c r="BM558" t="inlineStr"/>
      <c r="BN558" t="n">
        <v>0</v>
      </c>
      <c r="BO558" t="inlineStr"/>
      <c r="BP558" t="inlineStr"/>
      <c r="BQ558" t="inlineStr"/>
      <c r="BR558" t="inlineStr"/>
      <c r="BS558" t="inlineStr"/>
      <c r="BT558" t="inlineStr"/>
      <c r="BU558" t="inlineStr"/>
      <c r="BV558" t="inlineStr"/>
      <c r="BW558" t="inlineStr"/>
      <c r="BX558" t="inlineStr"/>
      <c r="BY558" t="inlineStr"/>
      <c r="BZ558" t="inlineStr"/>
      <c r="CA558" t="inlineStr"/>
      <c r="CB558" t="inlineStr"/>
      <c r="CC558" t="inlineStr"/>
      <c r="CD558" t="inlineStr"/>
      <c r="CE558" t="inlineStr"/>
      <c r="CF558" t="inlineStr"/>
      <c r="CG558" t="inlineStr"/>
      <c r="CH558" t="inlineStr"/>
      <c r="CI558" t="inlineStr"/>
      <c r="CJ558" t="inlineStr"/>
      <c r="CK558" t="inlineStr"/>
      <c r="CL558" t="inlineStr"/>
      <c r="CM558" t="inlineStr"/>
      <c r="CN558" t="inlineStr"/>
      <c r="CO558" t="inlineStr"/>
      <c r="CP558" t="inlineStr"/>
      <c r="CQ558" t="inlineStr"/>
      <c r="CR558" t="inlineStr"/>
      <c r="CS558" t="inlineStr"/>
      <c r="CT558" t="inlineStr"/>
      <c r="CU558" t="inlineStr"/>
      <c r="CV558" t="inlineStr"/>
      <c r="CW558" t="inlineStr"/>
      <c r="CX558" t="inlineStr"/>
      <c r="CY558" t="inlineStr"/>
      <c r="CZ558" t="inlineStr"/>
      <c r="DA558" t="inlineStr"/>
      <c r="DB558" t="inlineStr"/>
      <c r="DC558" t="inlineStr"/>
      <c r="DD558" t="inlineStr"/>
      <c r="DE558" t="inlineStr"/>
      <c r="DF558" t="inlineStr"/>
      <c r="DG558" t="inlineStr"/>
    </row>
    <row r="559">
      <c r="A559" t="inlineStr">
        <is>
          <t>III</t>
        </is>
      </c>
      <c r="B559" t="b">
        <v>1</v>
      </c>
      <c r="C559" t="inlineStr"/>
      <c r="D559" t="inlineStr"/>
      <c r="E559" t="n">
        <v>631</v>
      </c>
      <c r="F559">
        <f>HYPERLINK("https://portal.dnb.de/opac.htm?method=simpleSearch&amp;cqlMode=true&amp;query=idn%3D1066963517", "Portal")</f>
        <v/>
      </c>
      <c r="G559" t="inlineStr">
        <is>
          <t>Aaf</t>
        </is>
      </c>
      <c r="H559" t="inlineStr">
        <is>
          <t>L-1549-315493755</t>
        </is>
      </c>
      <c r="I559" t="inlineStr">
        <is>
          <t>1066963517</t>
        </is>
      </c>
      <c r="J559" t="inlineStr">
        <is>
          <t>III 60, 82</t>
        </is>
      </c>
      <c r="K559" t="inlineStr">
        <is>
          <t>III 60, 82</t>
        </is>
      </c>
      <c r="L559" t="inlineStr">
        <is>
          <t>III 60, 82</t>
        </is>
      </c>
      <c r="M559" t="inlineStr"/>
      <c r="N559" t="inlineStr">
        <is>
          <t xml:space="preserve">AVREA BVLLA|| CAROLI QVARTI ROMANO-||RVM IMPERATORIS,|| &amp; Regis Bohemiae, &amp;c.|| ...|| : </t>
        </is>
      </c>
      <c r="O559" t="inlineStr">
        <is>
          <t xml:space="preserve"> : </t>
        </is>
      </c>
      <c r="P559" t="inlineStr">
        <is>
          <t>X</t>
        </is>
      </c>
      <c r="Q559" t="inlineStr"/>
      <c r="R559" t="inlineStr">
        <is>
          <t>Gewebeeinband</t>
        </is>
      </c>
      <c r="S559" t="inlineStr">
        <is>
          <t>bis 35 cm</t>
        </is>
      </c>
      <c r="T559" t="inlineStr">
        <is>
          <t>180°</t>
        </is>
      </c>
      <c r="U559" t="inlineStr">
        <is>
          <t>hohler Rücken</t>
        </is>
      </c>
      <c r="V559" t="inlineStr"/>
      <c r="W559" t="inlineStr"/>
      <c r="X559" t="inlineStr"/>
      <c r="Y559" t="n">
        <v>0</v>
      </c>
      <c r="Z559" t="inlineStr"/>
      <c r="AA559" t="inlineStr">
        <is>
          <t>mit Blindlagen</t>
        </is>
      </c>
      <c r="AB559" t="inlineStr"/>
      <c r="AC559" t="inlineStr"/>
      <c r="AD559" t="inlineStr"/>
      <c r="AE559" t="inlineStr"/>
      <c r="AF559" t="inlineStr"/>
      <c r="AG559" t="inlineStr"/>
      <c r="AH559" t="inlineStr"/>
      <c r="AI559" t="inlineStr"/>
      <c r="AJ559" t="inlineStr"/>
      <c r="AK559" t="inlineStr"/>
      <c r="AL559" t="inlineStr"/>
      <c r="AM559" t="inlineStr"/>
      <c r="AN559" t="inlineStr"/>
      <c r="AO559" t="inlineStr"/>
      <c r="AP559" t="inlineStr"/>
      <c r="AQ559" t="inlineStr"/>
      <c r="AR559" t="inlineStr"/>
      <c r="AS559" t="inlineStr"/>
      <c r="AT559" t="inlineStr"/>
      <c r="AU559" t="inlineStr"/>
      <c r="AV559" t="inlineStr"/>
      <c r="AW559" t="inlineStr"/>
      <c r="AX559" t="inlineStr"/>
      <c r="AY559" t="inlineStr"/>
      <c r="AZ559" t="inlineStr"/>
      <c r="BA559" t="inlineStr"/>
      <c r="BB559" t="inlineStr"/>
      <c r="BC559" t="inlineStr"/>
      <c r="BD559" t="inlineStr"/>
      <c r="BE559" t="inlineStr"/>
      <c r="BF559" t="inlineStr"/>
      <c r="BG559" t="inlineStr"/>
      <c r="BH559" t="inlineStr"/>
      <c r="BI559" t="inlineStr"/>
      <c r="BJ559" t="inlineStr"/>
      <c r="BK559" t="inlineStr"/>
      <c r="BL559" t="inlineStr"/>
      <c r="BM559" t="inlineStr"/>
      <c r="BN559" t="n">
        <v>0</v>
      </c>
      <c r="BO559" t="inlineStr"/>
      <c r="BP559" t="inlineStr"/>
      <c r="BQ559" t="inlineStr"/>
      <c r="BR559" t="inlineStr"/>
      <c r="BS559" t="inlineStr"/>
      <c r="BT559" t="inlineStr"/>
      <c r="BU559" t="inlineStr"/>
      <c r="BV559" t="inlineStr"/>
      <c r="BW559" t="inlineStr"/>
      <c r="BX559" t="inlineStr"/>
      <c r="BY559" t="inlineStr"/>
      <c r="BZ559" t="inlineStr"/>
      <c r="CA559" t="inlineStr"/>
      <c r="CB559" t="inlineStr"/>
      <c r="CC559" t="inlineStr"/>
      <c r="CD559" t="inlineStr"/>
      <c r="CE559" t="inlineStr"/>
      <c r="CF559" t="inlineStr"/>
      <c r="CG559" t="inlineStr"/>
      <c r="CH559" t="inlineStr"/>
      <c r="CI559" t="inlineStr"/>
      <c r="CJ559" t="inlineStr"/>
      <c r="CK559" t="inlineStr"/>
      <c r="CL559" t="inlineStr"/>
      <c r="CM559" t="inlineStr"/>
      <c r="CN559" t="inlineStr"/>
      <c r="CO559" t="inlineStr"/>
      <c r="CP559" t="inlineStr"/>
      <c r="CQ559" t="inlineStr"/>
      <c r="CR559" t="inlineStr"/>
      <c r="CS559" t="inlineStr"/>
      <c r="CT559" t="inlineStr"/>
      <c r="CU559" t="inlineStr"/>
      <c r="CV559" t="inlineStr"/>
      <c r="CW559" t="inlineStr"/>
      <c r="CX559" t="inlineStr"/>
      <c r="CY559" t="inlineStr"/>
      <c r="CZ559" t="inlineStr"/>
      <c r="DA559" t="inlineStr"/>
      <c r="DB559" t="inlineStr"/>
      <c r="DC559" t="inlineStr"/>
      <c r="DD559" t="inlineStr"/>
      <c r="DE559" t="inlineStr"/>
      <c r="DF559" t="inlineStr"/>
      <c r="DG559" t="inlineStr"/>
    </row>
    <row r="560">
      <c r="A560" t="inlineStr">
        <is>
          <t>III</t>
        </is>
      </c>
      <c r="B560" t="b">
        <v>1</v>
      </c>
      <c r="C560" t="inlineStr"/>
      <c r="D560" t="inlineStr"/>
      <c r="E560" t="n">
        <v>632</v>
      </c>
      <c r="F560">
        <f>HYPERLINK("https://portal.dnb.de/opac.htm?method=simpleSearch&amp;cqlMode=true&amp;query=idn%3D1066867984", "Portal")</f>
        <v/>
      </c>
      <c r="G560" t="inlineStr">
        <is>
          <t>Aaf</t>
        </is>
      </c>
      <c r="H560" t="inlineStr">
        <is>
          <t>L-1549-315326166</t>
        </is>
      </c>
      <c r="I560" t="inlineStr">
        <is>
          <t>1066867984</t>
        </is>
      </c>
      <c r="J560" t="inlineStr">
        <is>
          <t>III 60, 83</t>
        </is>
      </c>
      <c r="K560" t="inlineStr">
        <is>
          <t>III 60, 83</t>
        </is>
      </c>
      <c r="L560" t="inlineStr">
        <is>
          <t>III 60, 83</t>
        </is>
      </c>
      <c r="M560" t="inlineStr"/>
      <c r="N560" t="inlineStr">
        <is>
          <t xml:space="preserve">Römischer Keyserli=||cher Maiestat/ vnd|| desz heyligen Reichs sondere Con=||stitutiones/ vff ettlichen/ hieuor/ gehal=||tenen Reichßtägen vffgericht </t>
        </is>
      </c>
      <c r="O560" t="inlineStr">
        <is>
          <t xml:space="preserve"> : </t>
        </is>
      </c>
      <c r="P560" t="inlineStr">
        <is>
          <t>X</t>
        </is>
      </c>
      <c r="Q560" t="inlineStr"/>
      <c r="R560" t="inlineStr">
        <is>
          <t>Gewebeeinband</t>
        </is>
      </c>
      <c r="S560" t="inlineStr">
        <is>
          <t>bis 35 cm</t>
        </is>
      </c>
      <c r="T560" t="inlineStr">
        <is>
          <t>180°</t>
        </is>
      </c>
      <c r="U560" t="inlineStr">
        <is>
          <t>fester Rücken mit Schmuckprägung</t>
        </is>
      </c>
      <c r="V560" t="inlineStr"/>
      <c r="W560" t="inlineStr"/>
      <c r="X560" t="inlineStr"/>
      <c r="Y560" t="n">
        <v>0</v>
      </c>
      <c r="Z560" t="inlineStr"/>
      <c r="AA560" t="inlineStr">
        <is>
          <t>mit Blindlagen</t>
        </is>
      </c>
      <c r="AB560" t="inlineStr"/>
      <c r="AC560" t="inlineStr"/>
      <c r="AD560" t="inlineStr"/>
      <c r="AE560" t="inlineStr"/>
      <c r="AF560" t="inlineStr"/>
      <c r="AG560" t="inlineStr"/>
      <c r="AH560" t="inlineStr"/>
      <c r="AI560" t="inlineStr"/>
      <c r="AJ560" t="inlineStr"/>
      <c r="AK560" t="inlineStr"/>
      <c r="AL560" t="inlineStr"/>
      <c r="AM560" t="inlineStr"/>
      <c r="AN560" t="inlineStr"/>
      <c r="AO560" t="inlineStr"/>
      <c r="AP560" t="inlineStr"/>
      <c r="AQ560" t="inlineStr"/>
      <c r="AR560" t="inlineStr"/>
      <c r="AS560" t="inlineStr"/>
      <c r="AT560" t="inlineStr"/>
      <c r="AU560" t="inlineStr"/>
      <c r="AV560" t="inlineStr"/>
      <c r="AW560" t="inlineStr"/>
      <c r="AX560" t="inlineStr"/>
      <c r="AY560" t="inlineStr"/>
      <c r="AZ560" t="inlineStr"/>
      <c r="BA560" t="inlineStr"/>
      <c r="BB560" t="inlineStr"/>
      <c r="BC560" t="inlineStr"/>
      <c r="BD560" t="inlineStr"/>
      <c r="BE560" t="inlineStr"/>
      <c r="BF560" t="inlineStr"/>
      <c r="BG560" t="inlineStr"/>
      <c r="BH560" t="inlineStr"/>
      <c r="BI560" t="inlineStr"/>
      <c r="BJ560" t="inlineStr"/>
      <c r="BK560" t="inlineStr"/>
      <c r="BL560" t="inlineStr"/>
      <c r="BM560" t="inlineStr"/>
      <c r="BN560" t="n">
        <v>0</v>
      </c>
      <c r="BO560" t="inlineStr"/>
      <c r="BP560" t="inlineStr"/>
      <c r="BQ560" t="inlineStr"/>
      <c r="BR560" t="inlineStr"/>
      <c r="BS560" t="inlineStr"/>
      <c r="BT560" t="inlineStr"/>
      <c r="BU560" t="inlineStr"/>
      <c r="BV560" t="inlineStr"/>
      <c r="BW560" t="inlineStr"/>
      <c r="BX560" t="inlineStr"/>
      <c r="BY560" t="inlineStr"/>
      <c r="BZ560" t="inlineStr"/>
      <c r="CA560" t="inlineStr"/>
      <c r="CB560" t="inlineStr"/>
      <c r="CC560" t="inlineStr"/>
      <c r="CD560" t="inlineStr"/>
      <c r="CE560" t="inlineStr"/>
      <c r="CF560" t="inlineStr"/>
      <c r="CG560" t="inlineStr"/>
      <c r="CH560" t="inlineStr"/>
      <c r="CI560" t="inlineStr"/>
      <c r="CJ560" t="inlineStr"/>
      <c r="CK560" t="inlineStr"/>
      <c r="CL560" t="inlineStr"/>
      <c r="CM560" t="inlineStr"/>
      <c r="CN560" t="inlineStr"/>
      <c r="CO560" t="inlineStr"/>
      <c r="CP560" t="inlineStr"/>
      <c r="CQ560" t="inlineStr"/>
      <c r="CR560" t="inlineStr"/>
      <c r="CS560" t="inlineStr"/>
      <c r="CT560" t="inlineStr"/>
      <c r="CU560" t="inlineStr"/>
      <c r="CV560" t="inlineStr"/>
      <c r="CW560" t="inlineStr"/>
      <c r="CX560" t="inlineStr"/>
      <c r="CY560" t="inlineStr"/>
      <c r="CZ560" t="inlineStr"/>
      <c r="DA560" t="inlineStr"/>
      <c r="DB560" t="inlineStr"/>
      <c r="DC560" t="inlineStr"/>
      <c r="DD560" t="inlineStr"/>
      <c r="DE560" t="inlineStr"/>
      <c r="DF560" t="inlineStr"/>
      <c r="DG560" t="inlineStr"/>
    </row>
    <row r="561">
      <c r="A561" t="inlineStr">
        <is>
          <t>III</t>
        </is>
      </c>
      <c r="B561" t="b">
        <v>1</v>
      </c>
      <c r="C561" t="inlineStr"/>
      <c r="D561" t="inlineStr"/>
      <c r="E561" t="n">
        <v>633</v>
      </c>
      <c r="F561">
        <f>HYPERLINK("https://portal.dnb.de/opac.htm?method=simpleSearch&amp;cqlMode=true&amp;query=idn%3D1066769680", "Portal")</f>
        <v/>
      </c>
      <c r="G561" t="inlineStr">
        <is>
          <t>Aaf</t>
        </is>
      </c>
      <c r="H561" t="inlineStr">
        <is>
          <t>L-1549-315192097</t>
        </is>
      </c>
      <c r="I561" t="inlineStr">
        <is>
          <t>1066769680</t>
        </is>
      </c>
      <c r="J561" t="inlineStr">
        <is>
          <t>III 60, 84</t>
        </is>
      </c>
      <c r="K561" t="inlineStr">
        <is>
          <t>III 60, 84</t>
        </is>
      </c>
      <c r="L561" t="inlineStr">
        <is>
          <t>III 60, 84</t>
        </is>
      </c>
      <c r="M561" t="inlineStr"/>
      <c r="N561" t="inlineStr">
        <is>
          <t>DEr Römi=||schen Key=||serlichen Maiestat|| Ordnung vnd Reforma=||tion/ gůter Pollicei/ zů|| befürderung deß gemey=||nen NÃtz/ vff dem Reichßtag zÃ Au</t>
        </is>
      </c>
      <c r="O561" t="inlineStr">
        <is>
          <t xml:space="preserve"> : </t>
        </is>
      </c>
      <c r="P561" t="inlineStr">
        <is>
          <t>X</t>
        </is>
      </c>
      <c r="Q561" t="inlineStr"/>
      <c r="R561" t="inlineStr">
        <is>
          <t>Papier- oder Pappeinband</t>
        </is>
      </c>
      <c r="S561" t="inlineStr">
        <is>
          <t>bis 35 cm</t>
        </is>
      </c>
      <c r="T561" t="inlineStr">
        <is>
          <t>180°</t>
        </is>
      </c>
      <c r="U561" t="inlineStr"/>
      <c r="V561" t="inlineStr"/>
      <c r="W561" t="inlineStr"/>
      <c r="X561" t="inlineStr"/>
      <c r="Y561" t="n">
        <v>0</v>
      </c>
      <c r="Z561" t="inlineStr"/>
      <c r="AA561" t="inlineStr"/>
      <c r="AB561" t="inlineStr"/>
      <c r="AC561" t="inlineStr"/>
      <c r="AD561" t="inlineStr"/>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c r="BD561" t="inlineStr"/>
      <c r="BE561" t="inlineStr"/>
      <c r="BF561" t="inlineStr"/>
      <c r="BG561" t="inlineStr"/>
      <c r="BH561" t="inlineStr"/>
      <c r="BI561" t="inlineStr"/>
      <c r="BJ561" t="inlineStr"/>
      <c r="BK561" t="inlineStr"/>
      <c r="BL561" t="inlineStr"/>
      <c r="BM561" t="inlineStr"/>
      <c r="BN561" t="n">
        <v>0</v>
      </c>
      <c r="BO561" t="inlineStr"/>
      <c r="BP561" t="inlineStr"/>
      <c r="BQ561" t="inlineStr"/>
      <c r="BR561" t="inlineStr"/>
      <c r="BS561" t="inlineStr"/>
      <c r="BT561" t="inlineStr"/>
      <c r="BU561" t="inlineStr"/>
      <c r="BV561" t="inlineStr"/>
      <c r="BW561" t="inlineStr"/>
      <c r="BX561" t="inlineStr"/>
      <c r="BY561" t="inlineStr"/>
      <c r="BZ561" t="inlineStr"/>
      <c r="CA561" t="inlineStr"/>
      <c r="CB561" t="inlineStr"/>
      <c r="CC561" t="inlineStr"/>
      <c r="CD561" t="inlineStr"/>
      <c r="CE561" t="inlineStr"/>
      <c r="CF561" t="inlineStr"/>
      <c r="CG561" t="inlineStr"/>
      <c r="CH561" t="inlineStr"/>
      <c r="CI561" t="inlineStr"/>
      <c r="CJ561" t="inlineStr"/>
      <c r="CK561" t="inlineStr"/>
      <c r="CL561" t="inlineStr"/>
      <c r="CM561" t="inlineStr"/>
      <c r="CN561" t="inlineStr"/>
      <c r="CO561" t="inlineStr"/>
      <c r="CP561" t="inlineStr"/>
      <c r="CQ561" t="inlineStr"/>
      <c r="CR561" t="inlineStr"/>
      <c r="CS561" t="inlineStr"/>
      <c r="CT561" t="inlineStr"/>
      <c r="CU561" t="inlineStr"/>
      <c r="CV561" t="inlineStr"/>
      <c r="CW561" t="inlineStr"/>
      <c r="CX561" t="inlineStr"/>
      <c r="CY561" t="inlineStr"/>
      <c r="CZ561" t="inlineStr"/>
      <c r="DA561" t="inlineStr"/>
      <c r="DB561" t="inlineStr"/>
      <c r="DC561" t="inlineStr"/>
      <c r="DD561" t="inlineStr"/>
      <c r="DE561" t="inlineStr"/>
      <c r="DF561" t="inlineStr"/>
      <c r="DG561" t="inlineStr"/>
    </row>
    <row r="562">
      <c r="A562" t="inlineStr">
        <is>
          <t>III</t>
        </is>
      </c>
      <c r="B562" t="b">
        <v>1</v>
      </c>
      <c r="C562" t="inlineStr"/>
      <c r="D562" t="inlineStr"/>
      <c r="E562" t="n">
        <v>634</v>
      </c>
      <c r="F562">
        <f>HYPERLINK("https://portal.dnb.de/opac.htm?method=simpleSearch&amp;cqlMode=true&amp;query=idn%3D1066866635", "Portal")</f>
        <v/>
      </c>
      <c r="G562" t="inlineStr">
        <is>
          <t>Aaf</t>
        </is>
      </c>
      <c r="H562" t="inlineStr">
        <is>
          <t>L-1550-315324899</t>
        </is>
      </c>
      <c r="I562" t="inlineStr">
        <is>
          <t>1066866635</t>
        </is>
      </c>
      <c r="J562" t="inlineStr">
        <is>
          <t>III 60, 85</t>
        </is>
      </c>
      <c r="K562" t="inlineStr">
        <is>
          <t>III 60, 85</t>
        </is>
      </c>
      <c r="L562" t="inlineStr">
        <is>
          <t>III 60, 85</t>
        </is>
      </c>
      <c r="M562" t="inlineStr"/>
      <c r="N562" t="inlineStr">
        <is>
          <t>DEr @Römischen|| Kay. Mai. vnd|| gemeyner Stend deß|| heyligen Reichs ange=||nommene vnd bewilligte Cammergerichts Ordnung/||... auß allen alten Cam=|</t>
        </is>
      </c>
      <c r="O562" t="inlineStr">
        <is>
          <t xml:space="preserve"> : </t>
        </is>
      </c>
      <c r="P562" t="inlineStr">
        <is>
          <t>X</t>
        </is>
      </c>
      <c r="Q562" t="inlineStr"/>
      <c r="R562" t="inlineStr">
        <is>
          <t>Halbpergamentband</t>
        </is>
      </c>
      <c r="S562" t="inlineStr">
        <is>
          <t>bis 35 cm</t>
        </is>
      </c>
      <c r="T562" t="inlineStr">
        <is>
          <t>180°</t>
        </is>
      </c>
      <c r="U562" t="inlineStr">
        <is>
          <t>hohler Rücken</t>
        </is>
      </c>
      <c r="V562" t="inlineStr"/>
      <c r="W562" t="inlineStr"/>
      <c r="X562" t="inlineStr"/>
      <c r="Y562" t="n">
        <v>0</v>
      </c>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inlineStr"/>
      <c r="BI562" t="inlineStr"/>
      <c r="BJ562" t="inlineStr"/>
      <c r="BK562" t="inlineStr"/>
      <c r="BL562" t="inlineStr"/>
      <c r="BM562" t="inlineStr"/>
      <c r="BN562" t="n">
        <v>0</v>
      </c>
      <c r="BO562" t="inlineStr"/>
      <c r="BP562" t="inlineStr"/>
      <c r="BQ562" t="inlineStr"/>
      <c r="BR562" t="inlineStr"/>
      <c r="BS562" t="inlineStr"/>
      <c r="BT562" t="inlineStr"/>
      <c r="BU562" t="inlineStr"/>
      <c r="BV562" t="inlineStr"/>
      <c r="BW562" t="inlineStr"/>
      <c r="BX562" t="inlineStr"/>
      <c r="BY562" t="inlineStr"/>
      <c r="BZ562" t="inlineStr"/>
      <c r="CA562" t="inlineStr"/>
      <c r="CB562" t="inlineStr"/>
      <c r="CC562" t="inlineStr"/>
      <c r="CD562" t="inlineStr"/>
      <c r="CE562" t="inlineStr"/>
      <c r="CF562" t="inlineStr"/>
      <c r="CG562" t="inlineStr"/>
      <c r="CH562" t="inlineStr"/>
      <c r="CI562" t="inlineStr"/>
      <c r="CJ562" t="inlineStr"/>
      <c r="CK562" t="inlineStr"/>
      <c r="CL562" t="inlineStr"/>
      <c r="CM562" t="inlineStr"/>
      <c r="CN562" t="inlineStr"/>
      <c r="CO562" t="inlineStr"/>
      <c r="CP562" t="inlineStr"/>
      <c r="CQ562" t="inlineStr"/>
      <c r="CR562" t="inlineStr"/>
      <c r="CS562" t="inlineStr"/>
      <c r="CT562" t="inlineStr"/>
      <c r="CU562" t="inlineStr"/>
      <c r="CV562" t="inlineStr"/>
      <c r="CW562" t="inlineStr"/>
      <c r="CX562" t="inlineStr"/>
      <c r="CY562" t="inlineStr"/>
      <c r="CZ562" t="inlineStr"/>
      <c r="DA562" t="inlineStr"/>
      <c r="DB562" t="inlineStr"/>
      <c r="DC562" t="inlineStr"/>
      <c r="DD562" t="inlineStr"/>
      <c r="DE562" t="inlineStr"/>
      <c r="DF562" t="inlineStr"/>
      <c r="DG562" t="inlineStr"/>
    </row>
    <row r="563">
      <c r="A563" t="inlineStr">
        <is>
          <t>III</t>
        </is>
      </c>
      <c r="B563" t="b">
        <v>1</v>
      </c>
      <c r="C563" t="inlineStr"/>
      <c r="D563" t="inlineStr"/>
      <c r="E563" t="n">
        <v>635</v>
      </c>
      <c r="F563">
        <f>HYPERLINK("https://portal.dnb.de/opac.htm?method=simpleSearch&amp;cqlMode=true&amp;query=idn%3D106687123X", "Portal")</f>
        <v/>
      </c>
      <c r="G563" t="inlineStr">
        <is>
          <t>Aaf</t>
        </is>
      </c>
      <c r="H563" t="inlineStr">
        <is>
          <t>L-1550-315329068</t>
        </is>
      </c>
      <c r="I563" t="inlineStr">
        <is>
          <t>106687123X</t>
        </is>
      </c>
      <c r="J563" t="inlineStr">
        <is>
          <t>III 60, 86</t>
        </is>
      </c>
      <c r="K563" t="inlineStr">
        <is>
          <t>III 60, 86</t>
        </is>
      </c>
      <c r="L563" t="inlineStr">
        <is>
          <t>III 60, 86</t>
        </is>
      </c>
      <c r="M563" t="inlineStr"/>
      <c r="N563" t="inlineStr">
        <is>
          <t>DE CON=||SCRIBENDIS|| EPISTOLIS|| DES. ERASMI|| ROTERODAMI OPVS.|| IOANNIS LVDOVICI VIVIS|| VALENTINI LIBEL=||lus uerè aureus.|| CONRADI CELTIS|| METH</t>
        </is>
      </c>
      <c r="O563" t="inlineStr">
        <is>
          <t xml:space="preserve"> : </t>
        </is>
      </c>
      <c r="P563" t="inlineStr">
        <is>
          <t>X</t>
        </is>
      </c>
      <c r="Q563" t="inlineStr"/>
      <c r="R563" t="inlineStr">
        <is>
          <t>Halbledereinband, Schließen, erhabene Buchbeschläge</t>
        </is>
      </c>
      <c r="S563" t="inlineStr">
        <is>
          <t>bis 25 cm</t>
        </is>
      </c>
      <c r="T563" t="inlineStr">
        <is>
          <t>nur sehr geringer Öffnungswinkel</t>
        </is>
      </c>
      <c r="U563" t="inlineStr">
        <is>
          <t>fester Rücken mit Schmuckprägung</t>
        </is>
      </c>
      <c r="V563" t="inlineStr"/>
      <c r="W563" t="inlineStr">
        <is>
          <t>Buchschuh</t>
        </is>
      </c>
      <c r="X563" t="inlineStr">
        <is>
          <t>Nein</t>
        </is>
      </c>
      <c r="Y563" t="n">
        <v>0</v>
      </c>
      <c r="Z563" t="inlineStr"/>
      <c r="AA563" t="inlineStr"/>
      <c r="AB563" t="inlineStr"/>
      <c r="AC563" t="inlineStr"/>
      <c r="AD563" t="inlineStr"/>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c r="BA563" t="inlineStr"/>
      <c r="BB563" t="inlineStr"/>
      <c r="BC563" t="inlineStr"/>
      <c r="BD563" t="inlineStr"/>
      <c r="BE563" t="inlineStr"/>
      <c r="BF563" t="inlineStr"/>
      <c r="BG563" t="inlineStr"/>
      <c r="BH563" t="inlineStr"/>
      <c r="BI563" t="inlineStr"/>
      <c r="BJ563" t="inlineStr"/>
      <c r="BK563" t="inlineStr"/>
      <c r="BL563" t="inlineStr"/>
      <c r="BM563" t="inlineStr"/>
      <c r="BN563" t="n">
        <v>0</v>
      </c>
      <c r="BO563" t="inlineStr"/>
      <c r="BP563" t="inlineStr"/>
      <c r="BQ563" t="inlineStr"/>
      <c r="BR563" t="inlineStr"/>
      <c r="BS563" t="inlineStr"/>
      <c r="BT563" t="inlineStr"/>
      <c r="BU563" t="inlineStr"/>
      <c r="BV563" t="inlineStr"/>
      <c r="BW563" t="inlineStr"/>
      <c r="BX563" t="inlineStr"/>
      <c r="BY563" t="inlineStr"/>
      <c r="BZ563" t="inlineStr"/>
      <c r="CA563" t="inlineStr"/>
      <c r="CB563" t="inlineStr"/>
      <c r="CC563" t="inlineStr"/>
      <c r="CD563" t="inlineStr"/>
      <c r="CE563" t="inlineStr"/>
      <c r="CF563" t="inlineStr"/>
      <c r="CG563" t="inlineStr"/>
      <c r="CH563" t="inlineStr"/>
      <c r="CI563" t="inlineStr"/>
      <c r="CJ563" t="inlineStr"/>
      <c r="CK563" t="inlineStr"/>
      <c r="CL563" t="inlineStr"/>
      <c r="CM563" t="inlineStr"/>
      <c r="CN563" t="inlineStr"/>
      <c r="CO563" t="inlineStr"/>
      <c r="CP563" t="inlineStr"/>
      <c r="CQ563" t="inlineStr"/>
      <c r="CR563" t="inlineStr"/>
      <c r="CS563" t="inlineStr"/>
      <c r="CT563" t="inlineStr"/>
      <c r="CU563" t="inlineStr"/>
      <c r="CV563" t="inlineStr"/>
      <c r="CW563" t="inlineStr"/>
      <c r="CX563" t="inlineStr"/>
      <c r="CY563" t="inlineStr"/>
      <c r="CZ563" t="inlineStr"/>
      <c r="DA563" t="inlineStr"/>
      <c r="DB563" t="inlineStr"/>
      <c r="DC563" t="inlineStr"/>
      <c r="DD563" t="inlineStr"/>
      <c r="DE563" t="inlineStr"/>
      <c r="DF563" t="inlineStr"/>
      <c r="DG563" t="inlineStr"/>
    </row>
    <row r="564">
      <c r="A564" t="inlineStr">
        <is>
          <t>III</t>
        </is>
      </c>
      <c r="B564" t="b">
        <v>1</v>
      </c>
      <c r="C564" t="inlineStr"/>
      <c r="D564" t="inlineStr"/>
      <c r="E564" t="n">
        <v>636</v>
      </c>
      <c r="F564">
        <f>HYPERLINK("https://portal.dnb.de/opac.htm?method=simpleSearch&amp;cqlMode=true&amp;query=idn%3D1066957029", "Portal")</f>
        <v/>
      </c>
      <c r="G564" t="inlineStr">
        <is>
          <t>Aaf</t>
        </is>
      </c>
      <c r="H564" t="inlineStr">
        <is>
          <t>L-1551-31548764X</t>
        </is>
      </c>
      <c r="I564" t="inlineStr">
        <is>
          <t>1066957029</t>
        </is>
      </c>
      <c r="J564" t="inlineStr">
        <is>
          <t>III 60, 87</t>
        </is>
      </c>
      <c r="K564" t="inlineStr">
        <is>
          <t>III 60, 87</t>
        </is>
      </c>
      <c r="L564" t="inlineStr">
        <is>
          <t>III 60, 87</t>
        </is>
      </c>
      <c r="M564" t="inlineStr"/>
      <c r="N564" t="inlineStr">
        <is>
          <t>Titi Liuij deß|| aller Redsprechsten vnd Hochbe=||r#[ue]mpsten Geschichtschreibers/ R#[oe]mische Historien/|| jetzundt mit gantzen fleiß besichtigt/ g</t>
        </is>
      </c>
      <c r="O564" t="inlineStr">
        <is>
          <t xml:space="preserve"> : </t>
        </is>
      </c>
      <c r="P564" t="inlineStr">
        <is>
          <t>X</t>
        </is>
      </c>
      <c r="Q564" t="inlineStr"/>
      <c r="R564" t="inlineStr">
        <is>
          <t>Pergamentband</t>
        </is>
      </c>
      <c r="S564" t="inlineStr">
        <is>
          <t>bis 35 cm</t>
        </is>
      </c>
      <c r="T564" t="inlineStr">
        <is>
          <t>80° bis 110°, einseitig digitalisierbar?</t>
        </is>
      </c>
      <c r="U564" t="inlineStr"/>
      <c r="V564" t="inlineStr"/>
      <c r="W564" t="inlineStr"/>
      <c r="X564" t="inlineStr"/>
      <c r="Y564" t="n">
        <v>0</v>
      </c>
      <c r="Z564" t="inlineStr"/>
      <c r="AA564" t="inlineStr"/>
      <c r="AB564" t="inlineStr"/>
      <c r="AC564" t="inlineStr"/>
      <c r="AD564" t="inlineStr"/>
      <c r="AE564" t="inlineStr"/>
      <c r="AF564" t="inlineStr"/>
      <c r="AG564" t="inlineStr"/>
      <c r="AH564" t="inlineStr"/>
      <c r="AI564" t="inlineStr"/>
      <c r="AJ564" t="inlineStr"/>
      <c r="AK564" t="inlineStr"/>
      <c r="AL564" t="inlineStr"/>
      <c r="AM564" t="inlineStr"/>
      <c r="AN564" t="inlineStr"/>
      <c r="AO564" t="inlineStr"/>
      <c r="AP564" t="inlineStr"/>
      <c r="AQ564" t="inlineStr"/>
      <c r="AR564" t="inlineStr"/>
      <c r="AS564" t="inlineStr"/>
      <c r="AT564" t="inlineStr"/>
      <c r="AU564" t="inlineStr"/>
      <c r="AV564" t="inlineStr"/>
      <c r="AW564" t="inlineStr"/>
      <c r="AX564" t="inlineStr"/>
      <c r="AY564" t="inlineStr"/>
      <c r="AZ564" t="inlineStr"/>
      <c r="BA564" t="inlineStr"/>
      <c r="BB564" t="inlineStr"/>
      <c r="BC564" t="inlineStr"/>
      <c r="BD564" t="inlineStr"/>
      <c r="BE564" t="inlineStr"/>
      <c r="BF564" t="inlineStr"/>
      <c r="BG564" t="inlineStr"/>
      <c r="BH564" t="inlineStr"/>
      <c r="BI564" t="inlineStr"/>
      <c r="BJ564" t="inlineStr"/>
      <c r="BK564" t="inlineStr"/>
      <c r="BL564" t="inlineStr"/>
      <c r="BM564" t="inlineStr"/>
      <c r="BN564" t="n">
        <v>0</v>
      </c>
      <c r="BO564" t="inlineStr"/>
      <c r="BP564" t="inlineStr"/>
      <c r="BQ564" t="inlineStr"/>
      <c r="BR564" t="inlineStr"/>
      <c r="BS564" t="inlineStr"/>
      <c r="BT564" t="inlineStr"/>
      <c r="BU564" t="inlineStr"/>
      <c r="BV564" t="inlineStr"/>
      <c r="BW564" t="inlineStr"/>
      <c r="BX564" t="inlineStr"/>
      <c r="BY564" t="inlineStr"/>
      <c r="BZ564" t="inlineStr"/>
      <c r="CA564" t="inlineStr"/>
      <c r="CB564" t="inlineStr"/>
      <c r="CC564" t="inlineStr"/>
      <c r="CD564" t="inlineStr"/>
      <c r="CE564" t="inlineStr"/>
      <c r="CF564" t="inlineStr"/>
      <c r="CG564" t="inlineStr"/>
      <c r="CH564" t="inlineStr"/>
      <c r="CI564" t="inlineStr"/>
      <c r="CJ564" t="inlineStr"/>
      <c r="CK564" t="inlineStr"/>
      <c r="CL564" t="inlineStr"/>
      <c r="CM564" t="inlineStr"/>
      <c r="CN564" t="inlineStr"/>
      <c r="CO564" t="inlineStr"/>
      <c r="CP564" t="inlineStr"/>
      <c r="CQ564" t="inlineStr"/>
      <c r="CR564" t="inlineStr"/>
      <c r="CS564" t="inlineStr"/>
      <c r="CT564" t="inlineStr"/>
      <c r="CU564" t="inlineStr"/>
      <c r="CV564" t="inlineStr"/>
      <c r="CW564" t="inlineStr"/>
      <c r="CX564" t="inlineStr"/>
      <c r="CY564" t="inlineStr"/>
      <c r="CZ564" t="inlineStr"/>
      <c r="DA564" t="inlineStr"/>
      <c r="DB564" t="inlineStr"/>
      <c r="DC564" t="inlineStr"/>
      <c r="DD564" t="inlineStr"/>
      <c r="DE564" t="inlineStr"/>
      <c r="DF564" t="inlineStr"/>
      <c r="DG564" t="inlineStr"/>
    </row>
    <row r="565">
      <c r="A565" t="inlineStr">
        <is>
          <t>III</t>
        </is>
      </c>
      <c r="B565" t="b">
        <v>1</v>
      </c>
      <c r="C565" t="inlineStr"/>
      <c r="D565" t="inlineStr"/>
      <c r="E565" t="n">
        <v>637</v>
      </c>
      <c r="F565">
        <f>HYPERLINK("https://portal.dnb.de/opac.htm?method=simpleSearch&amp;cqlMode=true&amp;query=idn%3D997745622", "Portal")</f>
        <v/>
      </c>
      <c r="G565" t="inlineStr">
        <is>
          <t>Aal</t>
        </is>
      </c>
      <c r="H565" t="inlineStr">
        <is>
          <t>L-1551-164690565</t>
        </is>
      </c>
      <c r="I565" t="inlineStr">
        <is>
          <t>997745622</t>
        </is>
      </c>
      <c r="J565" t="inlineStr">
        <is>
          <t>III 60, 88</t>
        </is>
      </c>
      <c r="K565" t="inlineStr">
        <is>
          <t>III 60, 88</t>
        </is>
      </c>
      <c r="L565" t="inlineStr">
        <is>
          <t>III 60, 88</t>
        </is>
      </c>
      <c r="M565" t="inlineStr"/>
      <c r="N565" t="inlineStr">
        <is>
          <t xml:space="preserve">ABschiedt Der|| Röm. Keys. Maiest. vnd ge||meyner Stend, vff dem Reichßtag z°u Aug||spurg vffgericht, Anno Domini|| MDLI : </t>
        </is>
      </c>
      <c r="O565" t="inlineStr">
        <is>
          <t xml:space="preserve"> : </t>
        </is>
      </c>
      <c r="P565" t="inlineStr">
        <is>
          <t>X</t>
        </is>
      </c>
      <c r="Q565" t="inlineStr"/>
      <c r="R565" t="inlineStr">
        <is>
          <t>Gewebeeinband</t>
        </is>
      </c>
      <c r="S565" t="inlineStr">
        <is>
          <t>bis 35 cm</t>
        </is>
      </c>
      <c r="T565" t="inlineStr">
        <is>
          <t>180°</t>
        </is>
      </c>
      <c r="U565" t="inlineStr">
        <is>
          <t>fester Rücken mit Schmuckprägung</t>
        </is>
      </c>
      <c r="V565" t="inlineStr"/>
      <c r="W565" t="inlineStr"/>
      <c r="X565" t="inlineStr"/>
      <c r="Y565" t="n">
        <v>1</v>
      </c>
      <c r="Z565" t="inlineStr"/>
      <c r="AA565" t="inlineStr">
        <is>
          <t>mit Blindlagen</t>
        </is>
      </c>
      <c r="AB565" t="inlineStr"/>
      <c r="AC565" t="inlineStr"/>
      <c r="AD565" t="inlineStr"/>
      <c r="AE565" t="inlineStr"/>
      <c r="AF565" t="inlineStr"/>
      <c r="AG565" t="inlineStr"/>
      <c r="AH565" t="inlineStr"/>
      <c r="AI565" t="inlineStr">
        <is>
          <t>G</t>
        </is>
      </c>
      <c r="AJ565" t="inlineStr"/>
      <c r="AK565" t="inlineStr">
        <is>
          <t>x</t>
        </is>
      </c>
      <c r="AL565" t="inlineStr"/>
      <c r="AM565" t="inlineStr">
        <is>
          <t>h/E</t>
        </is>
      </c>
      <c r="AN565" t="inlineStr"/>
      <c r="AO565" t="inlineStr"/>
      <c r="AP565" t="inlineStr"/>
      <c r="AQ565" t="inlineStr"/>
      <c r="AR565" t="inlineStr"/>
      <c r="AS565" t="inlineStr">
        <is>
          <t>Pa</t>
        </is>
      </c>
      <c r="AT565" t="inlineStr">
        <is>
          <t>x</t>
        </is>
      </c>
      <c r="AU565" t="inlineStr"/>
      <c r="AV565" t="inlineStr"/>
      <c r="AW565" t="inlineStr"/>
      <c r="AX565" t="inlineStr"/>
      <c r="AY565" t="inlineStr"/>
      <c r="AZ565" t="inlineStr"/>
      <c r="BA565" t="inlineStr"/>
      <c r="BB565" t="inlineStr"/>
      <c r="BC565" t="inlineStr"/>
      <c r="BD565" t="inlineStr"/>
      <c r="BE565" t="inlineStr"/>
      <c r="BF565" t="inlineStr"/>
      <c r="BG565" t="n">
        <v>110</v>
      </c>
      <c r="BH565" t="inlineStr"/>
      <c r="BI565" t="inlineStr"/>
      <c r="BJ565" t="inlineStr"/>
      <c r="BK565" t="inlineStr"/>
      <c r="BL565" t="inlineStr"/>
      <c r="BM565" t="inlineStr">
        <is>
          <t>n</t>
        </is>
      </c>
      <c r="BN565" t="n">
        <v>0</v>
      </c>
      <c r="BO565" t="inlineStr"/>
      <c r="BP565" t="inlineStr"/>
      <c r="BQ565" t="inlineStr"/>
      <c r="BR565" t="inlineStr"/>
      <c r="BS565" t="inlineStr"/>
      <c r="BT565" t="inlineStr"/>
      <c r="BU565" t="inlineStr"/>
      <c r="BV565" t="inlineStr">
        <is>
          <t>Schaden stabil</t>
        </is>
      </c>
      <c r="BW565" t="inlineStr"/>
      <c r="BX565" t="inlineStr"/>
      <c r="BY565" t="inlineStr"/>
      <c r="BZ565" t="inlineStr"/>
      <c r="CA565" t="inlineStr"/>
      <c r="CB565" t="inlineStr"/>
      <c r="CC565" t="inlineStr"/>
      <c r="CD565" t="inlineStr"/>
      <c r="CE565" t="inlineStr"/>
      <c r="CF565" t="inlineStr"/>
      <c r="CG565" t="inlineStr"/>
      <c r="CH565" t="inlineStr"/>
      <c r="CI565" t="inlineStr"/>
      <c r="CJ565" t="inlineStr"/>
      <c r="CK565" t="inlineStr"/>
      <c r="CL565" t="inlineStr"/>
      <c r="CM565" t="inlineStr"/>
      <c r="CN565" t="inlineStr"/>
      <c r="CO565" t="inlineStr"/>
      <c r="CP565" t="inlineStr"/>
      <c r="CQ565" t="inlineStr"/>
      <c r="CR565" t="inlineStr"/>
      <c r="CS565" t="inlineStr"/>
      <c r="CT565" t="inlineStr"/>
      <c r="CU565" t="inlineStr"/>
      <c r="CV565" t="inlineStr"/>
      <c r="CW565" t="inlineStr"/>
      <c r="CX565" t="inlineStr"/>
      <c r="CY565" t="inlineStr"/>
      <c r="CZ565" t="inlineStr"/>
      <c r="DA565" t="inlineStr"/>
      <c r="DB565" t="inlineStr"/>
      <c r="DC565" t="inlineStr"/>
      <c r="DD565" t="inlineStr"/>
      <c r="DE565" t="inlineStr"/>
      <c r="DF565" t="inlineStr"/>
      <c r="DG565" t="inlineStr"/>
    </row>
    <row r="566">
      <c r="A566" t="inlineStr">
        <is>
          <t>III</t>
        </is>
      </c>
      <c r="B566" t="b">
        <v>1</v>
      </c>
      <c r="C566" t="inlineStr"/>
      <c r="D566" t="inlineStr"/>
      <c r="E566" t="n">
        <v>638</v>
      </c>
      <c r="F566">
        <f>HYPERLINK("https://portal.dnb.de/opac.htm?method=simpleSearch&amp;cqlMode=true&amp;query=idn%3D1066960593", "Portal")</f>
        <v/>
      </c>
      <c r="G566" t="inlineStr">
        <is>
          <t>Aaf</t>
        </is>
      </c>
      <c r="H566" t="inlineStr">
        <is>
          <t>L-1551-315491086</t>
        </is>
      </c>
      <c r="I566" t="inlineStr">
        <is>
          <t>1066960593</t>
        </is>
      </c>
      <c r="J566" t="inlineStr">
        <is>
          <t>III 60, 89</t>
        </is>
      </c>
      <c r="K566" t="inlineStr">
        <is>
          <t>III 60, 89</t>
        </is>
      </c>
      <c r="L566" t="inlineStr">
        <is>
          <t>III 60, 89</t>
        </is>
      </c>
      <c r="M566" t="inlineStr"/>
      <c r="N566" t="inlineStr">
        <is>
          <t>P. Ouidij Nasonis deß aller Sin=||reichsten Poeten METAMORPHOSIS/ Das|| ist von der wunderbarlicher Verenderung der Gestalten der Menschen/|| Thier/ v</t>
        </is>
      </c>
      <c r="O566" t="inlineStr">
        <is>
          <t xml:space="preserve"> : </t>
        </is>
      </c>
      <c r="P566" t="inlineStr"/>
      <c r="Q566" t="inlineStr"/>
      <c r="R566" t="inlineStr"/>
      <c r="S566" t="inlineStr">
        <is>
          <t>bis 35 cm</t>
        </is>
      </c>
      <c r="T566" t="inlineStr"/>
      <c r="U566" t="inlineStr"/>
      <c r="V566" t="inlineStr"/>
      <c r="W566" t="inlineStr"/>
      <c r="X566" t="inlineStr"/>
      <c r="Y566" t="inlineStr"/>
      <c r="Z566" t="inlineStr"/>
      <c r="AA566" t="inlineStr"/>
      <c r="AB566" t="inlineStr"/>
      <c r="AC566" t="inlineStr"/>
      <c r="AD566" t="inlineStr"/>
      <c r="AE566" t="inlineStr"/>
      <c r="AF566" t="inlineStr"/>
      <c r="AG566" t="inlineStr"/>
      <c r="AH566" t="inlineStr"/>
      <c r="AI566" t="inlineStr">
        <is>
          <t>Pa</t>
        </is>
      </c>
      <c r="AJ566" t="inlineStr"/>
      <c r="AK566" t="inlineStr">
        <is>
          <t>x</t>
        </is>
      </c>
      <c r="AL566" t="inlineStr"/>
      <c r="AM566" t="inlineStr">
        <is>
          <t>h/E</t>
        </is>
      </c>
      <c r="AN566" t="inlineStr"/>
      <c r="AO566" t="inlineStr"/>
      <c r="AP566" t="inlineStr"/>
      <c r="AQ566" t="inlineStr"/>
      <c r="AR566" t="inlineStr"/>
      <c r="AS566" t="inlineStr">
        <is>
          <t>Pa</t>
        </is>
      </c>
      <c r="AT566" t="inlineStr"/>
      <c r="AU566" t="inlineStr"/>
      <c r="AV566" t="inlineStr"/>
      <c r="AW566" t="inlineStr"/>
      <c r="AX566" t="inlineStr"/>
      <c r="AY566" t="inlineStr"/>
      <c r="AZ566" t="inlineStr"/>
      <c r="BA566" t="inlineStr"/>
      <c r="BB566" t="inlineStr"/>
      <c r="BC566" t="inlineStr"/>
      <c r="BD566" t="inlineStr"/>
      <c r="BE566" t="inlineStr"/>
      <c r="BF566" t="inlineStr"/>
      <c r="BG566" t="n">
        <v>110</v>
      </c>
      <c r="BH566" t="inlineStr"/>
      <c r="BI566" t="inlineStr"/>
      <c r="BJ566" t="inlineStr"/>
      <c r="BK566" t="inlineStr"/>
      <c r="BL566" t="inlineStr"/>
      <c r="BM566" t="inlineStr">
        <is>
          <t>n</t>
        </is>
      </c>
      <c r="BN566" t="n">
        <v>0</v>
      </c>
      <c r="BO566" t="inlineStr"/>
      <c r="BP566" t="inlineStr"/>
      <c r="BQ566" t="inlineStr"/>
      <c r="BR566" t="inlineStr">
        <is>
          <t>x</t>
        </is>
      </c>
      <c r="BS566" t="inlineStr"/>
      <c r="BT566" t="inlineStr"/>
      <c r="BU566" t="inlineStr"/>
      <c r="BV566" t="inlineStr">
        <is>
          <t>Schaden stabil</t>
        </is>
      </c>
      <c r="BW566" t="inlineStr"/>
      <c r="BX566" t="inlineStr"/>
      <c r="BY566" t="inlineStr"/>
      <c r="BZ566" t="inlineStr"/>
      <c r="CA566" t="inlineStr"/>
      <c r="CB566" t="inlineStr"/>
      <c r="CC566" t="inlineStr"/>
      <c r="CD566" t="inlineStr"/>
      <c r="CE566" t="inlineStr"/>
      <c r="CF566" t="inlineStr"/>
      <c r="CG566" t="inlineStr"/>
      <c r="CH566" t="inlineStr"/>
      <c r="CI566" t="inlineStr"/>
      <c r="CJ566" t="inlineStr"/>
      <c r="CK566" t="inlineStr"/>
      <c r="CL566" t="inlineStr"/>
      <c r="CM566" t="inlineStr"/>
      <c r="CN566" t="inlineStr"/>
      <c r="CO566" t="inlineStr"/>
      <c r="CP566" t="inlineStr"/>
      <c r="CQ566" t="inlineStr"/>
      <c r="CR566" t="inlineStr"/>
      <c r="CS566" t="inlineStr"/>
      <c r="CT566" t="inlineStr"/>
      <c r="CU566" t="inlineStr"/>
      <c r="CV566" t="inlineStr"/>
      <c r="CW566" t="inlineStr"/>
      <c r="CX566" t="inlineStr"/>
      <c r="CY566" t="inlineStr"/>
      <c r="CZ566" t="inlineStr"/>
      <c r="DA566" t="inlineStr"/>
      <c r="DB566" t="inlineStr"/>
      <c r="DC566" t="inlineStr"/>
      <c r="DD566" t="inlineStr"/>
      <c r="DE566" t="inlineStr"/>
      <c r="DF566" t="inlineStr"/>
      <c r="DG566" t="inlineStr"/>
    </row>
    <row r="567">
      <c r="A567" t="inlineStr">
        <is>
          <t>III</t>
        </is>
      </c>
      <c r="B567" t="b">
        <v>1</v>
      </c>
      <c r="C567" t="inlineStr"/>
      <c r="D567" t="inlineStr"/>
      <c r="E567" t="n">
        <v>639</v>
      </c>
      <c r="F567">
        <f>HYPERLINK("https://portal.dnb.de/opac.htm?method=simpleSearch&amp;cqlMode=true&amp;query=idn%3D1066458820", "Portal")</f>
        <v/>
      </c>
      <c r="G567" t="inlineStr">
        <is>
          <t>Aaf</t>
        </is>
      </c>
      <c r="H567" t="inlineStr">
        <is>
          <t>L-1552-314710604</t>
        </is>
      </c>
      <c r="I567" t="inlineStr">
        <is>
          <t>1066458820</t>
        </is>
      </c>
      <c r="J567" t="inlineStr">
        <is>
          <t>III 60, 90</t>
        </is>
      </c>
      <c r="K567" t="inlineStr">
        <is>
          <t>III 60, 90</t>
        </is>
      </c>
      <c r="L567" t="inlineStr">
        <is>
          <t>III 60, 90</t>
        </is>
      </c>
      <c r="M567" t="inlineStr"/>
      <c r="N567" t="inlineStr">
        <is>
          <t xml:space="preserve">AVREA BVLLA|| CAROLI QVARTI ROMANO-||RVM IMPERATORIS,|| &amp; Regis Bohemiae, &amp;c.|| ...|| : </t>
        </is>
      </c>
      <c r="O567" t="inlineStr">
        <is>
          <t xml:space="preserve"> : </t>
        </is>
      </c>
      <c r="P567" t="inlineStr"/>
      <c r="Q567" t="inlineStr"/>
      <c r="R567" t="inlineStr"/>
      <c r="S567" t="inlineStr"/>
      <c r="T567" t="inlineStr"/>
      <c r="U567" t="inlineStr"/>
      <c r="V567" t="inlineStr"/>
      <c r="W567" t="inlineStr"/>
      <c r="X567" t="inlineStr"/>
      <c r="Y567" t="inlineStr"/>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c r="BD567" t="inlineStr"/>
      <c r="BE567" t="inlineStr"/>
      <c r="BF567" t="inlineStr"/>
      <c r="BG567" t="inlineStr"/>
      <c r="BH567" t="inlineStr"/>
      <c r="BI567" t="inlineStr"/>
      <c r="BJ567" t="inlineStr"/>
      <c r="BK567" t="inlineStr"/>
      <c r="BL567" t="inlineStr"/>
      <c r="BM567" t="inlineStr"/>
      <c r="BN567" t="n">
        <v>0</v>
      </c>
      <c r="BO567" t="inlineStr"/>
      <c r="BP567" t="inlineStr"/>
      <c r="BQ567" t="inlineStr"/>
      <c r="BR567" t="inlineStr"/>
      <c r="BS567" t="inlineStr"/>
      <c r="BT567" t="inlineStr"/>
      <c r="BU567" t="inlineStr"/>
      <c r="BV567" t="inlineStr"/>
      <c r="BW567" t="inlineStr"/>
      <c r="BX567" t="inlineStr"/>
      <c r="BY567" t="inlineStr"/>
      <c r="BZ567" t="inlineStr"/>
      <c r="CA567" t="inlineStr"/>
      <c r="CB567" t="inlineStr"/>
      <c r="CC567" t="inlineStr"/>
      <c r="CD567" t="inlineStr"/>
      <c r="CE567" t="inlineStr"/>
      <c r="CF567" t="inlineStr"/>
      <c r="CG567" t="inlineStr"/>
      <c r="CH567" t="inlineStr"/>
      <c r="CI567" t="inlineStr"/>
      <c r="CJ567" t="inlineStr"/>
      <c r="CK567" t="inlineStr"/>
      <c r="CL567" t="inlineStr"/>
      <c r="CM567" t="inlineStr"/>
      <c r="CN567" t="inlineStr"/>
      <c r="CO567" t="inlineStr"/>
      <c r="CP567" t="inlineStr"/>
      <c r="CQ567" t="inlineStr"/>
      <c r="CR567" t="inlineStr"/>
      <c r="CS567" t="inlineStr"/>
      <c r="CT567" t="inlineStr"/>
      <c r="CU567" t="inlineStr"/>
      <c r="CV567" t="inlineStr"/>
      <c r="CW567" t="inlineStr"/>
      <c r="CX567" t="inlineStr"/>
      <c r="CY567" t="inlineStr"/>
      <c r="CZ567" t="inlineStr"/>
      <c r="DA567" t="inlineStr"/>
      <c r="DB567" t="inlineStr"/>
      <c r="DC567" t="inlineStr"/>
      <c r="DD567" t="inlineStr"/>
      <c r="DE567" t="inlineStr"/>
      <c r="DF567" t="inlineStr"/>
      <c r="DG567" t="inlineStr"/>
    </row>
    <row r="568">
      <c r="A568" t="inlineStr">
        <is>
          <t>III</t>
        </is>
      </c>
      <c r="B568" t="b">
        <v>1</v>
      </c>
      <c r="C568" t="inlineStr"/>
      <c r="D568" t="inlineStr"/>
      <c r="E568" t="n">
        <v>665</v>
      </c>
      <c r="F568">
        <f>HYPERLINK("https://portal.dnb.de/opac.htm?method=simpleSearch&amp;cqlMode=true&amp;query=idn%3D999770985", "Portal")</f>
        <v/>
      </c>
      <c r="G568" t="inlineStr">
        <is>
          <t>Aal</t>
        </is>
      </c>
      <c r="H568" t="inlineStr">
        <is>
          <t>L-1552-169129314</t>
        </is>
      </c>
      <c r="I568" t="inlineStr">
        <is>
          <t>999770985</t>
        </is>
      </c>
      <c r="J568" t="inlineStr">
        <is>
          <t>III 60, 90a</t>
        </is>
      </c>
      <c r="K568" t="inlineStr">
        <is>
          <t>III 60, 90a</t>
        </is>
      </c>
      <c r="L568" t="inlineStr">
        <is>
          <t>III 60, 90 a</t>
        </is>
      </c>
      <c r="M568" t="inlineStr"/>
      <c r="N568" t="inlineStr">
        <is>
          <t>Des @Heyligen Römi=||schen Reichs Ordnungen.|| Die Gulden Bulla, sampt aller gehaltner Reichßtäg Abschieden.|| Besonderlich auch die Artickel vnd Ordn</t>
        </is>
      </c>
      <c r="O568" t="inlineStr">
        <is>
          <t xml:space="preserve"> : </t>
        </is>
      </c>
      <c r="P568" t="inlineStr"/>
      <c r="Q568" t="inlineStr"/>
      <c r="R568" t="inlineStr"/>
      <c r="S568" t="inlineStr"/>
      <c r="T568" t="inlineStr"/>
      <c r="U568" t="inlineStr"/>
      <c r="V568" t="inlineStr"/>
      <c r="W568" t="inlineStr"/>
      <c r="X568" t="inlineStr"/>
      <c r="Y568" t="inlineStr"/>
      <c r="Z568" t="inlineStr"/>
      <c r="AA568" t="inlineStr"/>
      <c r="AB568" t="inlineStr"/>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c r="BD568" t="inlineStr"/>
      <c r="BE568" t="inlineStr"/>
      <c r="BF568" t="inlineStr"/>
      <c r="BG568" t="inlineStr"/>
      <c r="BH568" t="inlineStr"/>
      <c r="BI568" t="inlineStr"/>
      <c r="BJ568" t="inlineStr"/>
      <c r="BK568" t="inlineStr"/>
      <c r="BL568" t="inlineStr"/>
      <c r="BM568" t="inlineStr"/>
      <c r="BN568" t="n">
        <v>0</v>
      </c>
      <c r="BO568" t="inlineStr"/>
      <c r="BP568" t="inlineStr"/>
      <c r="BQ568" t="inlineStr"/>
      <c r="BR568" t="inlineStr"/>
      <c r="BS568" t="inlineStr"/>
      <c r="BT568" t="inlineStr"/>
      <c r="BU568" t="inlineStr"/>
      <c r="BV568" t="inlineStr"/>
      <c r="BW568" t="inlineStr"/>
      <c r="BX568" t="inlineStr"/>
      <c r="BY568" t="inlineStr"/>
      <c r="BZ568" t="inlineStr"/>
      <c r="CA568" t="inlineStr"/>
      <c r="CB568" t="inlineStr"/>
      <c r="CC568" t="inlineStr"/>
      <c r="CD568" t="inlineStr"/>
      <c r="CE568" t="inlineStr"/>
      <c r="CF568" t="inlineStr"/>
      <c r="CG568" t="inlineStr"/>
      <c r="CH568" t="inlineStr"/>
      <c r="CI568" t="inlineStr"/>
      <c r="CJ568" t="inlineStr"/>
      <c r="CK568" t="inlineStr"/>
      <c r="CL568" t="inlineStr"/>
      <c r="CM568" t="inlineStr"/>
      <c r="CN568" t="inlineStr"/>
      <c r="CO568" t="inlineStr"/>
      <c r="CP568" t="inlineStr"/>
      <c r="CQ568" t="inlineStr"/>
      <c r="CR568" t="inlineStr"/>
      <c r="CS568" t="inlineStr"/>
      <c r="CT568" t="inlineStr"/>
      <c r="CU568" t="inlineStr"/>
      <c r="CV568" t="inlineStr"/>
      <c r="CW568" t="inlineStr"/>
      <c r="CX568" t="inlineStr"/>
      <c r="CY568" t="inlineStr"/>
      <c r="CZ568" t="inlineStr"/>
      <c r="DA568" t="inlineStr"/>
      <c r="DB568" t="inlineStr"/>
      <c r="DC568" t="inlineStr"/>
      <c r="DD568" t="inlineStr"/>
      <c r="DE568" t="inlineStr"/>
      <c r="DF568" t="inlineStr"/>
      <c r="DG568" t="inlineStr"/>
    </row>
    <row r="569">
      <c r="A569" t="inlineStr">
        <is>
          <t>III</t>
        </is>
      </c>
      <c r="B569" t="b">
        <v>1</v>
      </c>
      <c r="C569" t="inlineStr"/>
      <c r="D569" t="inlineStr"/>
      <c r="E569" t="n">
        <v>640</v>
      </c>
      <c r="F569">
        <f>HYPERLINK("https://portal.dnb.de/opac.htm?method=simpleSearch&amp;cqlMode=true&amp;query=idn%3D1066868050", "Portal")</f>
        <v/>
      </c>
      <c r="G569" t="inlineStr">
        <is>
          <t>Aaf</t>
        </is>
      </c>
      <c r="H569" t="inlineStr">
        <is>
          <t>L-1555-315326255</t>
        </is>
      </c>
      <c r="I569" t="inlineStr">
        <is>
          <t>1066868050</t>
        </is>
      </c>
      <c r="J569" t="inlineStr">
        <is>
          <t>III 60, 91</t>
        </is>
      </c>
      <c r="K569" t="inlineStr">
        <is>
          <t>III 60, 91</t>
        </is>
      </c>
      <c r="L569" t="inlineStr">
        <is>
          <t>III 60, 91</t>
        </is>
      </c>
      <c r="M569" t="inlineStr"/>
      <c r="N569" t="inlineStr">
        <is>
          <t>DEß aller Durch=||leüchtigsten/ Groß=||mechtigsten/ Vnüberwindt=||lichsten Keyser Karls deß fünfften/ vnd deß Heyligen Römischen Reichs peinlich Geric</t>
        </is>
      </c>
      <c r="O569" t="inlineStr">
        <is>
          <t xml:space="preserve"> : </t>
        </is>
      </c>
      <c r="P569" t="inlineStr"/>
      <c r="Q569" t="inlineStr"/>
      <c r="R569" t="inlineStr"/>
      <c r="S569" t="inlineStr"/>
      <c r="T569" t="inlineStr"/>
      <c r="U569" t="inlineStr"/>
      <c r="V569" t="inlineStr"/>
      <c r="W569" t="inlineStr"/>
      <c r="X569" t="inlineStr"/>
      <c r="Y569" t="inlineStr"/>
      <c r="Z569" t="inlineStr"/>
      <c r="AA569" t="inlineStr"/>
      <c r="AB569" t="inlineStr"/>
      <c r="AC569" t="inlineStr"/>
      <c r="AD569" t="inlineStr"/>
      <c r="AE569" t="inlineStr"/>
      <c r="AF569" t="inlineStr"/>
      <c r="AG569" t="inlineStr"/>
      <c r="AH569" t="inlineStr"/>
      <c r="AI569" t="inlineStr"/>
      <c r="AJ569" t="inlineStr"/>
      <c r="AK569" t="inlineStr"/>
      <c r="AL569" t="inlineStr"/>
      <c r="AM569" t="inlineStr"/>
      <c r="AN569" t="inlineStr"/>
      <c r="AO569" t="inlineStr"/>
      <c r="AP569" t="inlineStr"/>
      <c r="AQ569" t="inlineStr"/>
      <c r="AR569" t="inlineStr"/>
      <c r="AS569" t="inlineStr"/>
      <c r="AT569" t="inlineStr"/>
      <c r="AU569" t="inlineStr"/>
      <c r="AV569" t="inlineStr"/>
      <c r="AW569" t="inlineStr"/>
      <c r="AX569" t="inlineStr"/>
      <c r="AY569" t="inlineStr"/>
      <c r="AZ569" t="inlineStr"/>
      <c r="BA569" t="inlineStr"/>
      <c r="BB569" t="inlineStr"/>
      <c r="BC569" t="inlineStr"/>
      <c r="BD569" t="inlineStr"/>
      <c r="BE569" t="inlineStr"/>
      <c r="BF569" t="inlineStr"/>
      <c r="BG569" t="inlineStr"/>
      <c r="BH569" t="inlineStr"/>
      <c r="BI569" t="inlineStr"/>
      <c r="BJ569" t="inlineStr"/>
      <c r="BK569" t="inlineStr"/>
      <c r="BL569" t="inlineStr"/>
      <c r="BM569" t="inlineStr"/>
      <c r="BN569" t="n">
        <v>0</v>
      </c>
      <c r="BO569" t="inlineStr"/>
      <c r="BP569" t="inlineStr"/>
      <c r="BQ569" t="inlineStr"/>
      <c r="BR569" t="inlineStr"/>
      <c r="BS569" t="inlineStr"/>
      <c r="BT569" t="inlineStr"/>
      <c r="BU569" t="inlineStr"/>
      <c r="BV569" t="inlineStr"/>
      <c r="BW569" t="inlineStr"/>
      <c r="BX569" t="inlineStr"/>
      <c r="BY569" t="inlineStr"/>
      <c r="BZ569" t="inlineStr"/>
      <c r="CA569" t="inlineStr"/>
      <c r="CB569" t="inlineStr"/>
      <c r="CC569" t="inlineStr"/>
      <c r="CD569" t="inlineStr"/>
      <c r="CE569" t="inlineStr"/>
      <c r="CF569" t="inlineStr"/>
      <c r="CG569" t="inlineStr"/>
      <c r="CH569" t="inlineStr"/>
      <c r="CI569" t="inlineStr"/>
      <c r="CJ569" t="inlineStr"/>
      <c r="CK569" t="inlineStr"/>
      <c r="CL569" t="inlineStr"/>
      <c r="CM569" t="inlineStr"/>
      <c r="CN569" t="inlineStr"/>
      <c r="CO569" t="inlineStr"/>
      <c r="CP569" t="inlineStr"/>
      <c r="CQ569" t="inlineStr"/>
      <c r="CR569" t="inlineStr"/>
      <c r="CS569" t="inlineStr"/>
      <c r="CT569" t="inlineStr"/>
      <c r="CU569" t="inlineStr"/>
      <c r="CV569" t="inlineStr"/>
      <c r="CW569" t="inlineStr"/>
      <c r="CX569" t="inlineStr"/>
      <c r="CY569" t="inlineStr"/>
      <c r="CZ569" t="inlineStr"/>
      <c r="DA569" t="inlineStr"/>
      <c r="DB569" t="inlineStr"/>
      <c r="DC569" t="inlineStr"/>
      <c r="DD569" t="inlineStr"/>
      <c r="DE569" t="inlineStr"/>
      <c r="DF569" t="inlineStr"/>
      <c r="DG569" t="inlineStr"/>
    </row>
    <row r="570">
      <c r="A570" t="inlineStr">
        <is>
          <t>III</t>
        </is>
      </c>
      <c r="B570" t="b">
        <v>1</v>
      </c>
      <c r="C570" t="inlineStr">
        <is>
          <t>x</t>
        </is>
      </c>
      <c r="D570" t="inlineStr"/>
      <c r="E570" t="n">
        <v>641</v>
      </c>
      <c r="F570">
        <f>HYPERLINK("https://portal.dnb.de/opac.htm?method=simpleSearch&amp;cqlMode=true&amp;query=idn%3D1066796122", "Portal")</f>
        <v/>
      </c>
      <c r="G570" t="inlineStr">
        <is>
          <t>Aaf</t>
        </is>
      </c>
      <c r="H570" t="inlineStr">
        <is>
          <t>L-1557-315216573</t>
        </is>
      </c>
      <c r="I570" t="inlineStr">
        <is>
          <t>1066796122</t>
        </is>
      </c>
      <c r="J570" t="inlineStr">
        <is>
          <t>III 60, 92</t>
        </is>
      </c>
      <c r="K570" t="inlineStr">
        <is>
          <t>III 60, 92</t>
        </is>
      </c>
      <c r="L570" t="inlineStr">
        <is>
          <t>III 60, 92</t>
        </is>
      </c>
      <c r="M570" t="inlineStr"/>
      <c r="N570" t="inlineStr">
        <is>
          <t>Titi Liuij deß|| aller Redsprechsten vnd Hochbe|| rh#[ue]mptesten Geschichtschreibers/ Rh#[oe]mische Historien/|| jetzundt mit gantzem fleiß besichtig</t>
        </is>
      </c>
      <c r="O570" t="inlineStr">
        <is>
          <t xml:space="preserve"> : </t>
        </is>
      </c>
      <c r="P570" t="inlineStr"/>
      <c r="Q570" t="inlineStr"/>
      <c r="R570" t="inlineStr"/>
      <c r="S570" t="inlineStr">
        <is>
          <t>bis 35 cm</t>
        </is>
      </c>
      <c r="T570" t="inlineStr"/>
      <c r="U570" t="inlineStr"/>
      <c r="V570" t="inlineStr"/>
      <c r="W570" t="inlineStr"/>
      <c r="X570" t="inlineStr"/>
      <c r="Y570" t="inlineStr"/>
      <c r="Z570" t="inlineStr"/>
      <c r="AA570" t="inlineStr"/>
      <c r="AB570" t="inlineStr"/>
      <c r="AC570" t="inlineStr"/>
      <c r="AD570" t="inlineStr"/>
      <c r="AE570" t="inlineStr"/>
      <c r="AF570" t="inlineStr"/>
      <c r="AG570" t="inlineStr"/>
      <c r="AH570" t="inlineStr"/>
      <c r="AI570" t="inlineStr">
        <is>
          <t>HD</t>
        </is>
      </c>
      <c r="AJ570" t="inlineStr"/>
      <c r="AK570" t="inlineStr">
        <is>
          <t>x</t>
        </is>
      </c>
      <c r="AL570" t="inlineStr"/>
      <c r="AM570" t="inlineStr">
        <is>
          <t>f/V</t>
        </is>
      </c>
      <c r="AN570" t="inlineStr"/>
      <c r="AO570" t="inlineStr"/>
      <c r="AP570" t="inlineStr"/>
      <c r="AQ570" t="inlineStr"/>
      <c r="AR570" t="inlineStr"/>
      <c r="AS570" t="inlineStr">
        <is>
          <t>Pa</t>
        </is>
      </c>
      <c r="AT570" t="inlineStr"/>
      <c r="AU570" t="inlineStr"/>
      <c r="AV570" t="inlineStr"/>
      <c r="AW570" t="inlineStr">
        <is>
          <t>x</t>
        </is>
      </c>
      <c r="AX570" t="inlineStr"/>
      <c r="AY570" t="inlineStr"/>
      <c r="AZ570" t="inlineStr"/>
      <c r="BA570" t="inlineStr"/>
      <c r="BB570" t="inlineStr"/>
      <c r="BC570" t="inlineStr"/>
      <c r="BD570" t="inlineStr"/>
      <c r="BE570" t="n">
        <v>0</v>
      </c>
      <c r="BF570" t="inlineStr">
        <is>
          <t>x</t>
        </is>
      </c>
      <c r="BG570" t="n">
        <v>45</v>
      </c>
      <c r="BH570" t="inlineStr"/>
      <c r="BI570" t="inlineStr"/>
      <c r="BJ570" t="inlineStr"/>
      <c r="BK570" t="inlineStr"/>
      <c r="BL570" t="inlineStr"/>
      <c r="BM570" t="inlineStr">
        <is>
          <t>ja vor</t>
        </is>
      </c>
      <c r="BN570" t="n">
        <v>0.5</v>
      </c>
      <c r="BO570" t="inlineStr"/>
      <c r="BP570" t="inlineStr"/>
      <c r="BQ570" t="inlineStr"/>
      <c r="BR570" t="inlineStr">
        <is>
          <t>x</t>
        </is>
      </c>
      <c r="BS570" t="inlineStr"/>
      <c r="BT570" t="inlineStr"/>
      <c r="BU570" t="inlineStr"/>
      <c r="BV570" t="inlineStr"/>
      <c r="BW570" t="inlineStr"/>
      <c r="BX570" t="inlineStr"/>
      <c r="BY570" t="inlineStr"/>
      <c r="BZ570" t="inlineStr">
        <is>
          <t>x</t>
        </is>
      </c>
      <c r="CA570" t="inlineStr">
        <is>
          <t>x</t>
        </is>
      </c>
      <c r="CB570" t="inlineStr">
        <is>
          <t>x</t>
        </is>
      </c>
      <c r="CC570" t="inlineStr"/>
      <c r="CD570" t="inlineStr"/>
      <c r="CE570" t="inlineStr"/>
      <c r="CF570" t="inlineStr"/>
      <c r="CG570" t="inlineStr"/>
      <c r="CH570" t="inlineStr"/>
      <c r="CI570" t="inlineStr"/>
      <c r="CJ570" t="inlineStr"/>
      <c r="CK570" t="inlineStr"/>
      <c r="CL570" t="inlineStr"/>
      <c r="CM570" t="n">
        <v>0.5</v>
      </c>
      <c r="CN570" t="inlineStr"/>
      <c r="CO570" t="inlineStr"/>
      <c r="CP570" t="inlineStr"/>
      <c r="CQ570" t="inlineStr"/>
      <c r="CR570" t="inlineStr"/>
      <c r="CS570" t="inlineStr"/>
      <c r="CT570" t="inlineStr"/>
      <c r="CU570" t="inlineStr"/>
      <c r="CV570" t="inlineStr"/>
      <c r="CW570" t="inlineStr"/>
      <c r="CX570" t="inlineStr"/>
      <c r="CY570" t="inlineStr"/>
      <c r="CZ570" t="inlineStr"/>
      <c r="DA570" t="inlineStr"/>
      <c r="DB570" t="inlineStr"/>
      <c r="DC570" t="inlineStr"/>
      <c r="DD570" t="inlineStr"/>
      <c r="DE570" t="inlineStr"/>
      <c r="DF570" t="inlineStr"/>
      <c r="DG570" t="inlineStr"/>
    </row>
    <row r="571">
      <c r="A571" t="inlineStr">
        <is>
          <t>III</t>
        </is>
      </c>
      <c r="B571" t="b">
        <v>1</v>
      </c>
      <c r="C571" t="inlineStr"/>
      <c r="D571" t="inlineStr"/>
      <c r="E571" t="n">
        <v>642</v>
      </c>
      <c r="F571">
        <f>HYPERLINK("https://portal.dnb.de/opac.htm?method=simpleSearch&amp;cqlMode=true&amp;query=idn%3D1066964289", "Portal")</f>
        <v/>
      </c>
      <c r="G571" t="inlineStr">
        <is>
          <t>Aal</t>
        </is>
      </c>
      <c r="H571" t="inlineStr">
        <is>
          <t>L-1507-315494514</t>
        </is>
      </c>
      <c r="I571" t="inlineStr">
        <is>
          <t>1066964289</t>
        </is>
      </c>
      <c r="J571" t="inlineStr">
        <is>
          <t>III 60, 93</t>
        </is>
      </c>
      <c r="K571" t="inlineStr">
        <is>
          <t>III 60, 93</t>
        </is>
      </c>
      <c r="L571" t="inlineStr">
        <is>
          <t>III 60, 93</t>
        </is>
      </c>
      <c r="M571" t="inlineStr"/>
      <c r="N571" t="inlineStr">
        <is>
          <t>Der @Stat Wor~ms|| Reformacion: statut?. ordenug|| Satzung die all? Stett?: cńmunen: Regim?ten: Fürst?=||thum: Herschafft?: Amptleüt?: nutzlich fürder</t>
        </is>
      </c>
      <c r="O571" t="inlineStr">
        <is>
          <t xml:space="preserve"> : </t>
        </is>
      </c>
      <c r="P571" t="inlineStr"/>
      <c r="Q571" t="inlineStr"/>
      <c r="R571" t="inlineStr"/>
      <c r="S571" t="inlineStr"/>
      <c r="T571" t="inlineStr"/>
      <c r="U571" t="inlineStr"/>
      <c r="V571" t="inlineStr"/>
      <c r="W571" t="inlineStr"/>
      <c r="X571" t="inlineStr"/>
      <c r="Y571" t="inlineStr"/>
      <c r="Z571" t="inlineStr"/>
      <c r="AA571" t="inlineStr"/>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c r="BD571" t="inlineStr"/>
      <c r="BE571" t="inlineStr"/>
      <c r="BF571" t="inlineStr"/>
      <c r="BG571" t="inlineStr"/>
      <c r="BH571" t="inlineStr"/>
      <c r="BI571" t="inlineStr"/>
      <c r="BJ571" t="inlineStr"/>
      <c r="BK571" t="inlineStr"/>
      <c r="BL571" t="inlineStr"/>
      <c r="BM571" t="inlineStr"/>
      <c r="BN571" t="n">
        <v>0</v>
      </c>
      <c r="BO571" t="inlineStr"/>
      <c r="BP571" t="inlineStr"/>
      <c r="BQ571" t="inlineStr"/>
      <c r="BR571" t="inlineStr"/>
      <c r="BS571" t="inlineStr"/>
      <c r="BT571" t="inlineStr"/>
      <c r="BU571" t="inlineStr"/>
      <c r="BV571" t="inlineStr"/>
      <c r="BW571" t="inlineStr"/>
      <c r="BX571" t="inlineStr"/>
      <c r="BY571" t="inlineStr"/>
      <c r="BZ571" t="inlineStr"/>
      <c r="CA571" t="inlineStr"/>
      <c r="CB571" t="inlineStr"/>
      <c r="CC571" t="inlineStr"/>
      <c r="CD571" t="inlineStr"/>
      <c r="CE571" t="inlineStr"/>
      <c r="CF571" t="inlineStr"/>
      <c r="CG571" t="inlineStr"/>
      <c r="CH571" t="inlineStr"/>
      <c r="CI571" t="inlineStr"/>
      <c r="CJ571" t="inlineStr"/>
      <c r="CK571" t="inlineStr"/>
      <c r="CL571" t="inlineStr"/>
      <c r="CM571" t="inlineStr"/>
      <c r="CN571" t="inlineStr"/>
      <c r="CO571" t="inlineStr"/>
      <c r="CP571" t="inlineStr"/>
      <c r="CQ571" t="inlineStr"/>
      <c r="CR571" t="inlineStr"/>
      <c r="CS571" t="inlineStr"/>
      <c r="CT571" t="inlineStr"/>
      <c r="CU571" t="inlineStr"/>
      <c r="CV571" t="inlineStr"/>
      <c r="CW571" t="inlineStr"/>
      <c r="CX571" t="inlineStr"/>
      <c r="CY571" t="inlineStr"/>
      <c r="CZ571" t="inlineStr"/>
      <c r="DA571" t="inlineStr"/>
      <c r="DB571" t="inlineStr"/>
      <c r="DC571" t="inlineStr"/>
      <c r="DD571" t="inlineStr"/>
      <c r="DE571" t="inlineStr"/>
      <c r="DF571" t="inlineStr"/>
      <c r="DG571" t="inlineStr"/>
    </row>
    <row r="572">
      <c r="A572" t="inlineStr">
        <is>
          <t>III</t>
        </is>
      </c>
      <c r="B572" t="b">
        <v>1</v>
      </c>
      <c r="C572" t="inlineStr">
        <is>
          <t>x</t>
        </is>
      </c>
      <c r="D572" t="inlineStr"/>
      <c r="E572" t="n">
        <v>643</v>
      </c>
      <c r="F572">
        <f>HYPERLINK("https://portal.dnb.de/opac.htm?method=simpleSearch&amp;cqlMode=true&amp;query=idn%3D106696307X", "Portal")</f>
        <v/>
      </c>
      <c r="G572" t="inlineStr">
        <is>
          <t>Aaf</t>
        </is>
      </c>
      <c r="H572" t="inlineStr">
        <is>
          <t>L-1509-315493356</t>
        </is>
      </c>
      <c r="I572" t="inlineStr">
        <is>
          <t>106696307X</t>
        </is>
      </c>
      <c r="J572" t="inlineStr">
        <is>
          <t>III 60, 94</t>
        </is>
      </c>
      <c r="K572" t="inlineStr">
        <is>
          <t>III 60, 94</t>
        </is>
      </c>
      <c r="L572" t="inlineStr">
        <is>
          <t>III 60, 94</t>
        </is>
      </c>
      <c r="M572" t="inlineStr"/>
      <c r="N572" t="inlineStr">
        <is>
          <t>Der @Stat Wor~ms|| Reformacion: statut?. ordenug|| Satzung die all? Stett?: cńmunen: Regim?ten: fürst?=||thum: Herschafften: Amptleüt?: nutzlich: fürd</t>
        </is>
      </c>
      <c r="O572" t="inlineStr">
        <is>
          <t xml:space="preserve"> : </t>
        </is>
      </c>
      <c r="P572" t="inlineStr"/>
      <c r="Q572" t="inlineStr"/>
      <c r="R572" t="inlineStr"/>
      <c r="S572" t="inlineStr">
        <is>
          <t>bis 35 cm</t>
        </is>
      </c>
      <c r="T572" t="inlineStr"/>
      <c r="U572" t="inlineStr"/>
      <c r="V572" t="inlineStr"/>
      <c r="W572" t="inlineStr"/>
      <c r="X572" t="inlineStr"/>
      <c r="Y572" t="inlineStr"/>
      <c r="Z572" t="inlineStr"/>
      <c r="AA572" t="inlineStr"/>
      <c r="AB572" t="inlineStr"/>
      <c r="AC572" t="inlineStr"/>
      <c r="AD572" t="inlineStr"/>
      <c r="AE572" t="inlineStr"/>
      <c r="AF572" t="inlineStr"/>
      <c r="AG572" t="inlineStr"/>
      <c r="AH572" t="inlineStr"/>
      <c r="AI572" t="inlineStr">
        <is>
          <t>HD</t>
        </is>
      </c>
      <c r="AJ572" t="inlineStr"/>
      <c r="AK572" t="inlineStr">
        <is>
          <t>x</t>
        </is>
      </c>
      <c r="AL572" t="inlineStr"/>
      <c r="AM572" t="inlineStr">
        <is>
          <t>f/V</t>
        </is>
      </c>
      <c r="AN572" t="inlineStr"/>
      <c r="AO572" t="inlineStr">
        <is>
          <t>x</t>
        </is>
      </c>
      <c r="AP572" t="inlineStr"/>
      <c r="AQ572" t="inlineStr"/>
      <c r="AR572" t="inlineStr"/>
      <c r="AS572" t="inlineStr">
        <is>
          <t>Pa</t>
        </is>
      </c>
      <c r="AT572" t="inlineStr"/>
      <c r="AU572" t="inlineStr"/>
      <c r="AV572" t="inlineStr"/>
      <c r="AW572" t="inlineStr"/>
      <c r="AX572" t="inlineStr"/>
      <c r="AY572" t="inlineStr"/>
      <c r="AZ572" t="inlineStr"/>
      <c r="BA572" t="inlineStr"/>
      <c r="BB572" t="inlineStr"/>
      <c r="BC572" t="inlineStr"/>
      <c r="BD572" t="inlineStr"/>
      <c r="BE572" t="inlineStr"/>
      <c r="BF572" t="inlineStr"/>
      <c r="BG572" t="n">
        <v>80</v>
      </c>
      <c r="BH572" t="inlineStr"/>
      <c r="BI572" t="inlineStr"/>
      <c r="BJ572" t="inlineStr"/>
      <c r="BK572" t="inlineStr"/>
      <c r="BL572" t="inlineStr"/>
      <c r="BM572" t="inlineStr">
        <is>
          <t>ja vor</t>
        </is>
      </c>
      <c r="BN572" t="n">
        <v>1</v>
      </c>
      <c r="BO572" t="inlineStr"/>
      <c r="BP572" t="inlineStr"/>
      <c r="BQ572" t="inlineStr"/>
      <c r="BR572" t="inlineStr">
        <is>
          <t>x</t>
        </is>
      </c>
      <c r="BS572" t="inlineStr"/>
      <c r="BT572" t="inlineStr"/>
      <c r="BU572" t="inlineStr"/>
      <c r="BV572" t="inlineStr"/>
      <c r="BW572" t="inlineStr"/>
      <c r="BX572" t="inlineStr"/>
      <c r="BY572" t="inlineStr">
        <is>
          <t>Umschlag (Leder pudert)</t>
        </is>
      </c>
      <c r="BZ572" t="inlineStr">
        <is>
          <t>x</t>
        </is>
      </c>
      <c r="CA572" t="inlineStr">
        <is>
          <t>x</t>
        </is>
      </c>
      <c r="CB572" t="inlineStr">
        <is>
          <t>x</t>
        </is>
      </c>
      <c r="CC572" t="inlineStr"/>
      <c r="CD572" t="inlineStr"/>
      <c r="CE572" t="inlineStr"/>
      <c r="CF572" t="inlineStr"/>
      <c r="CG572" t="inlineStr"/>
      <c r="CH572" t="inlineStr"/>
      <c r="CI572" t="inlineStr"/>
      <c r="CJ572" t="inlineStr"/>
      <c r="CK572" t="inlineStr"/>
      <c r="CL572" t="inlineStr"/>
      <c r="CM572" t="n">
        <v>1</v>
      </c>
      <c r="CN572" t="inlineStr">
        <is>
          <t>Einschlag fixieren, am Rücken evtl. nur überfangen</t>
        </is>
      </c>
      <c r="CO572" t="inlineStr"/>
      <c r="CP572" t="inlineStr"/>
      <c r="CQ572" t="inlineStr"/>
      <c r="CR572" t="inlineStr"/>
      <c r="CS572" t="inlineStr"/>
      <c r="CT572" t="inlineStr"/>
      <c r="CU572" t="inlineStr"/>
      <c r="CV572" t="inlineStr"/>
      <c r="CW572" t="inlineStr"/>
      <c r="CX572" t="inlineStr"/>
      <c r="CY572" t="inlineStr"/>
      <c r="CZ572" t="inlineStr"/>
      <c r="DA572" t="inlineStr"/>
      <c r="DB572" t="inlineStr"/>
      <c r="DC572" t="inlineStr"/>
      <c r="DD572" t="inlineStr"/>
      <c r="DE572" t="inlineStr"/>
      <c r="DF572" t="inlineStr"/>
      <c r="DG572" t="inlineStr"/>
    </row>
    <row r="573">
      <c r="A573" t="inlineStr">
        <is>
          <t>III</t>
        </is>
      </c>
      <c r="B573" t="b">
        <v>1</v>
      </c>
      <c r="C573" t="inlineStr">
        <is>
          <t>x</t>
        </is>
      </c>
      <c r="D573" t="inlineStr"/>
      <c r="E573" t="inlineStr"/>
      <c r="F573">
        <f>HYPERLINK("https://portal.dnb.de/opac.htm?method=simpleSearch&amp;cqlMode=true&amp;query=idn%3D1262787432", "Portal")</f>
        <v/>
      </c>
      <c r="G573" t="inlineStr">
        <is>
          <t>Qd</t>
        </is>
      </c>
      <c r="H573" t="inlineStr">
        <is>
          <t>L-1509-785173919</t>
        </is>
      </c>
      <c r="I573" t="inlineStr">
        <is>
          <t>1262787432</t>
        </is>
      </c>
      <c r="J573" t="inlineStr">
        <is>
          <t>III 60, 95</t>
        </is>
      </c>
      <c r="K573" t="inlineStr">
        <is>
          <t>III 60, 95</t>
        </is>
      </c>
      <c r="L573" t="inlineStr">
        <is>
          <t>III 60, 95</t>
        </is>
      </c>
      <c r="M573" t="inlineStr"/>
      <c r="N573" t="inlineStr">
        <is>
          <t xml:space="preserve">Sammelband mit "Füllmaterial" : </t>
        </is>
      </c>
      <c r="O573" t="inlineStr">
        <is>
          <t xml:space="preserve"> : </t>
        </is>
      </c>
      <c r="P573" t="inlineStr"/>
      <c r="Q573" t="inlineStr">
        <is>
          <t>500,00 EUR</t>
        </is>
      </c>
      <c r="R573" t="inlineStr"/>
      <c r="S573" t="inlineStr">
        <is>
          <t>bis 25 cm</t>
        </is>
      </c>
      <c r="T573" t="inlineStr"/>
      <c r="U573" t="inlineStr"/>
      <c r="V573" t="inlineStr"/>
      <c r="W573" t="inlineStr"/>
      <c r="X573" t="inlineStr"/>
      <c r="Y573" t="inlineStr"/>
      <c r="Z573" t="inlineStr"/>
      <c r="AA573" t="inlineStr"/>
      <c r="AB573" t="inlineStr"/>
      <c r="AC573" t="inlineStr"/>
      <c r="AD573" t="inlineStr"/>
      <c r="AE573" t="inlineStr"/>
      <c r="AF573" t="inlineStr"/>
      <c r="AG573" t="inlineStr"/>
      <c r="AH573" t="inlineStr"/>
      <c r="AI573" t="inlineStr">
        <is>
          <t>HL</t>
        </is>
      </c>
      <c r="AJ573" t="inlineStr"/>
      <c r="AK573" t="inlineStr">
        <is>
          <t>x</t>
        </is>
      </c>
      <c r="AL573" t="inlineStr">
        <is>
          <t>x</t>
        </is>
      </c>
      <c r="AM573" t="inlineStr">
        <is>
          <t>h/E</t>
        </is>
      </c>
      <c r="AN573" t="inlineStr"/>
      <c r="AO573" t="inlineStr">
        <is>
          <t>x</t>
        </is>
      </c>
      <c r="AP573" t="inlineStr"/>
      <c r="AQ573" t="inlineStr"/>
      <c r="AR573" t="inlineStr"/>
      <c r="AS573" t="inlineStr">
        <is>
          <t>Pa</t>
        </is>
      </c>
      <c r="AT573" t="inlineStr"/>
      <c r="AU573" t="inlineStr"/>
      <c r="AV573" t="inlineStr"/>
      <c r="AW573" t="inlineStr"/>
      <c r="AX573" t="inlineStr"/>
      <c r="AY573" t="inlineStr"/>
      <c r="AZ573" t="inlineStr"/>
      <c r="BA573" t="inlineStr"/>
      <c r="BB573" t="inlineStr"/>
      <c r="BC573" t="inlineStr"/>
      <c r="BD573" t="inlineStr"/>
      <c r="BE573" t="inlineStr"/>
      <c r="BF573" t="inlineStr"/>
      <c r="BG573" t="n">
        <v>110</v>
      </c>
      <c r="BH573" t="inlineStr"/>
      <c r="BI573" t="inlineStr"/>
      <c r="BJ573" t="inlineStr"/>
      <c r="BK573" t="inlineStr"/>
      <c r="BL573" t="inlineStr"/>
      <c r="BM573" t="inlineStr">
        <is>
          <t>ja vor</t>
        </is>
      </c>
      <c r="BN573" t="n">
        <v>0.5</v>
      </c>
      <c r="BO573" t="inlineStr"/>
      <c r="BP573" t="inlineStr"/>
      <c r="BQ573" t="inlineStr"/>
      <c r="BR573" t="inlineStr">
        <is>
          <t>x</t>
        </is>
      </c>
      <c r="BS573" t="inlineStr"/>
      <c r="BT573" t="inlineStr"/>
      <c r="BU573" t="inlineStr"/>
      <c r="BV573" t="inlineStr">
        <is>
          <t>Schaden ansonsten stabil</t>
        </is>
      </c>
      <c r="BW573" t="inlineStr"/>
      <c r="BX573" t="inlineStr"/>
      <c r="BY573" t="inlineStr">
        <is>
          <t>Umschlag (Leder pudert)</t>
        </is>
      </c>
      <c r="BZ573" t="inlineStr">
        <is>
          <t>x</t>
        </is>
      </c>
      <c r="CA573" t="inlineStr">
        <is>
          <t>x</t>
        </is>
      </c>
      <c r="CB573" t="inlineStr">
        <is>
          <t>x</t>
        </is>
      </c>
      <c r="CC573" t="inlineStr"/>
      <c r="CD573" t="inlineStr">
        <is>
          <t>v/h</t>
        </is>
      </c>
      <c r="CE573" t="inlineStr"/>
      <c r="CF573" t="inlineStr"/>
      <c r="CG573" t="inlineStr"/>
      <c r="CH573" t="inlineStr"/>
      <c r="CI573" t="inlineStr"/>
      <c r="CJ573" t="inlineStr"/>
      <c r="CK573" t="inlineStr"/>
      <c r="CL573" t="inlineStr"/>
      <c r="CM573" t="n">
        <v>0.5</v>
      </c>
      <c r="CN573" t="inlineStr">
        <is>
          <t>nur Leder am Rücken fixieren, Schaden ist stabil</t>
        </is>
      </c>
      <c r="CO573" t="inlineStr"/>
      <c r="CP573" t="inlineStr"/>
      <c r="CQ573" t="inlineStr"/>
      <c r="CR573" t="inlineStr"/>
      <c r="CS573" t="inlineStr"/>
      <c r="CT573" t="inlineStr"/>
      <c r="CU573" t="inlineStr"/>
      <c r="CV573" t="inlineStr"/>
      <c r="CW573" t="inlineStr"/>
      <c r="CX573" t="inlineStr"/>
      <c r="CY573" t="inlineStr"/>
      <c r="CZ573" t="inlineStr"/>
      <c r="DA573" t="inlineStr"/>
      <c r="DB573" t="inlineStr"/>
      <c r="DC573" t="inlineStr"/>
      <c r="DD573" t="inlineStr"/>
      <c r="DE573" t="inlineStr"/>
      <c r="DF573" t="inlineStr"/>
      <c r="DG573" t="inlineStr"/>
    </row>
    <row r="574">
      <c r="A574" t="inlineStr">
        <is>
          <t>III</t>
        </is>
      </c>
      <c r="B574" t="b">
        <v>1</v>
      </c>
      <c r="C574" t="inlineStr"/>
      <c r="D574" t="inlineStr"/>
      <c r="E574" t="n">
        <v>646</v>
      </c>
      <c r="F574">
        <f>HYPERLINK("https://portal.dnb.de/opac.htm?method=simpleSearch&amp;cqlMode=true&amp;query=idn%3D1066686521", "Portal")</f>
        <v/>
      </c>
      <c r="G574" t="inlineStr">
        <is>
          <t>Aaf</t>
        </is>
      </c>
      <c r="H574" t="inlineStr">
        <is>
          <t>L-1509-315074647</t>
        </is>
      </c>
      <c r="I574" t="inlineStr">
        <is>
          <t>1066686521</t>
        </is>
      </c>
      <c r="J574" t="inlineStr">
        <is>
          <t>III 60, 96</t>
        </is>
      </c>
      <c r="K574" t="inlineStr">
        <is>
          <t>III 60, 96</t>
        </is>
      </c>
      <c r="L574" t="inlineStr">
        <is>
          <t>III 60, 96</t>
        </is>
      </c>
      <c r="M574" t="inlineStr"/>
      <c r="N574" t="inlineStr">
        <is>
          <t xml:space="preserve">PAssionis dominice sermo historialis notabilis atque praeclarus. : </t>
        </is>
      </c>
      <c r="O574" t="inlineStr">
        <is>
          <t xml:space="preserve"> : </t>
        </is>
      </c>
      <c r="P574" t="inlineStr"/>
      <c r="Q574" t="inlineStr"/>
      <c r="R574" t="inlineStr"/>
      <c r="S574" t="inlineStr">
        <is>
          <t>bis 25 cm</t>
        </is>
      </c>
      <c r="T574" t="inlineStr"/>
      <c r="U574" t="inlineStr"/>
      <c r="V574" t="inlineStr"/>
      <c r="W574" t="inlineStr"/>
      <c r="X574" t="inlineStr"/>
      <c r="Y574" t="inlineStr"/>
      <c r="Z574" t="inlineStr"/>
      <c r="AA574" t="inlineStr"/>
      <c r="AB574" t="inlineStr"/>
      <c r="AC574" t="inlineStr"/>
      <c r="AD574" t="inlineStr"/>
      <c r="AE574" t="inlineStr"/>
      <c r="AF574" t="inlineStr"/>
      <c r="AG574" t="inlineStr"/>
      <c r="AH574" t="inlineStr"/>
      <c r="AI574" t="inlineStr">
        <is>
          <t>HL</t>
        </is>
      </c>
      <c r="AJ574" t="inlineStr"/>
      <c r="AK574" t="inlineStr">
        <is>
          <t>x</t>
        </is>
      </c>
      <c r="AL574" t="inlineStr"/>
      <c r="AM574" t="inlineStr">
        <is>
          <t>h/E</t>
        </is>
      </c>
      <c r="AN574" t="inlineStr"/>
      <c r="AO574" t="inlineStr"/>
      <c r="AP574" t="inlineStr"/>
      <c r="AQ574" t="inlineStr"/>
      <c r="AR574" t="inlineStr"/>
      <c r="AS574" t="inlineStr">
        <is>
          <t>Pa</t>
        </is>
      </c>
      <c r="AT574" t="inlineStr"/>
      <c r="AU574" t="inlineStr"/>
      <c r="AV574" t="inlineStr"/>
      <c r="AW574" t="inlineStr"/>
      <c r="AX574" t="inlineStr"/>
      <c r="AY574" t="inlineStr"/>
      <c r="AZ574" t="inlineStr"/>
      <c r="BA574" t="inlineStr"/>
      <c r="BB574" t="inlineStr"/>
      <c r="BC574" t="inlineStr"/>
      <c r="BD574" t="inlineStr"/>
      <c r="BE574" t="inlineStr"/>
      <c r="BF574" t="inlineStr"/>
      <c r="BG574" t="n">
        <v>110</v>
      </c>
      <c r="BH574" t="inlineStr"/>
      <c r="BI574" t="inlineStr"/>
      <c r="BJ574" t="inlineStr"/>
      <c r="BK574" t="inlineStr"/>
      <c r="BL574" t="inlineStr"/>
      <c r="BM574" t="inlineStr">
        <is>
          <t>n</t>
        </is>
      </c>
      <c r="BN574" t="n">
        <v>0</v>
      </c>
      <c r="BO574" t="inlineStr"/>
      <c r="BP574" t="inlineStr"/>
      <c r="BQ574" t="inlineStr"/>
      <c r="BR574" t="inlineStr">
        <is>
          <t>x</t>
        </is>
      </c>
      <c r="BS574" t="inlineStr"/>
      <c r="BT574" t="inlineStr"/>
      <c r="BU574" t="inlineStr"/>
      <c r="BV574" t="inlineStr">
        <is>
          <t>Schaden stabil</t>
        </is>
      </c>
      <c r="BW574" t="inlineStr"/>
      <c r="BX574" t="inlineStr"/>
      <c r="BY574" t="inlineStr"/>
      <c r="BZ574" t="inlineStr"/>
      <c r="CA574" t="inlineStr"/>
      <c r="CB574" t="inlineStr"/>
      <c r="CC574" t="inlineStr"/>
      <c r="CD574" t="inlineStr"/>
      <c r="CE574" t="inlineStr"/>
      <c r="CF574" t="inlineStr"/>
      <c r="CG574" t="inlineStr"/>
      <c r="CH574" t="inlineStr"/>
      <c r="CI574" t="inlineStr"/>
      <c r="CJ574" t="inlineStr"/>
      <c r="CK574" t="inlineStr"/>
      <c r="CL574" t="inlineStr"/>
      <c r="CM574" t="inlineStr"/>
      <c r="CN574" t="inlineStr"/>
      <c r="CO574" t="inlineStr"/>
      <c r="CP574" t="inlineStr"/>
      <c r="CQ574" t="inlineStr"/>
      <c r="CR574" t="inlineStr"/>
      <c r="CS574" t="inlineStr"/>
      <c r="CT574" t="inlineStr"/>
      <c r="CU574" t="inlineStr"/>
      <c r="CV574" t="inlineStr"/>
      <c r="CW574" t="inlineStr"/>
      <c r="CX574" t="inlineStr"/>
      <c r="CY574" t="inlineStr"/>
      <c r="CZ574" t="inlineStr"/>
      <c r="DA574" t="inlineStr"/>
      <c r="DB574" t="inlineStr"/>
      <c r="DC574" t="inlineStr"/>
      <c r="DD574" t="inlineStr"/>
      <c r="DE574" t="inlineStr"/>
      <c r="DF574" t="inlineStr"/>
      <c r="DG574" t="inlineStr"/>
    </row>
    <row r="575">
      <c r="A575" t="inlineStr">
        <is>
          <t>III</t>
        </is>
      </c>
      <c r="B575" t="b">
        <v>1</v>
      </c>
      <c r="C575" t="inlineStr"/>
      <c r="D575" t="inlineStr"/>
      <c r="E575" t="n">
        <v>647</v>
      </c>
      <c r="F575">
        <f>HYPERLINK("https://portal.dnb.de/opac.htm?method=simpleSearch&amp;cqlMode=true&amp;query=idn%3D1066870136", "Portal")</f>
        <v/>
      </c>
      <c r="G575" t="inlineStr">
        <is>
          <t>Aaf</t>
        </is>
      </c>
      <c r="H575" t="inlineStr">
        <is>
          <t>L-1509-315328045</t>
        </is>
      </c>
      <c r="I575" t="inlineStr">
        <is>
          <t>1066870136</t>
        </is>
      </c>
      <c r="J575" t="inlineStr">
        <is>
          <t>III 60, 97</t>
        </is>
      </c>
      <c r="K575" t="inlineStr">
        <is>
          <t>III 60, 97</t>
        </is>
      </c>
      <c r="L575" t="inlineStr">
        <is>
          <t>III 60, 97</t>
        </is>
      </c>
      <c r="M575" t="inlineStr"/>
      <c r="N575" t="inlineStr">
        <is>
          <t xml:space="preserve">Directorium Misse de nouo|| perspectum &amp; emendatum.|| [scδm frequentiorem cursum : </t>
        </is>
      </c>
      <c r="O575" t="inlineStr">
        <is>
          <t xml:space="preserve"> : </t>
        </is>
      </c>
      <c r="P575" t="inlineStr"/>
      <c r="Q575" t="inlineStr"/>
      <c r="R575" t="inlineStr"/>
      <c r="S575" t="inlineStr"/>
      <c r="T575" t="inlineStr"/>
      <c r="U575" t="inlineStr"/>
      <c r="V575" t="inlineStr"/>
      <c r="W575" t="inlineStr"/>
      <c r="X575" t="inlineStr"/>
      <c r="Y575" t="inlineStr"/>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c r="BD575" t="inlineStr"/>
      <c r="BE575" t="inlineStr"/>
      <c r="BF575" t="inlineStr"/>
      <c r="BG575" t="inlineStr"/>
      <c r="BH575" t="inlineStr"/>
      <c r="BI575" t="inlineStr"/>
      <c r="BJ575" t="inlineStr"/>
      <c r="BK575" t="inlineStr"/>
      <c r="BL575" t="inlineStr"/>
      <c r="BM575" t="inlineStr"/>
      <c r="BN575" t="n">
        <v>0</v>
      </c>
      <c r="BO575" t="inlineStr"/>
      <c r="BP575" t="inlineStr"/>
      <c r="BQ575" t="inlineStr"/>
      <c r="BR575" t="inlineStr"/>
      <c r="BS575" t="inlineStr"/>
      <c r="BT575" t="inlineStr"/>
      <c r="BU575" t="inlineStr"/>
      <c r="BV575" t="inlineStr"/>
      <c r="BW575" t="inlineStr"/>
      <c r="BX575" t="inlineStr"/>
      <c r="BY575" t="inlineStr"/>
      <c r="BZ575" t="inlineStr"/>
      <c r="CA575" t="inlineStr"/>
      <c r="CB575" t="inlineStr"/>
      <c r="CC575" t="inlineStr"/>
      <c r="CD575" t="inlineStr"/>
      <c r="CE575" t="inlineStr"/>
      <c r="CF575" t="inlineStr"/>
      <c r="CG575" t="inlineStr"/>
      <c r="CH575" t="inlineStr"/>
      <c r="CI575" t="inlineStr"/>
      <c r="CJ575" t="inlineStr"/>
      <c r="CK575" t="inlineStr"/>
      <c r="CL575" t="inlineStr"/>
      <c r="CM575" t="inlineStr"/>
      <c r="CN575" t="inlineStr"/>
      <c r="CO575" t="inlineStr"/>
      <c r="CP575" t="inlineStr"/>
      <c r="CQ575" t="inlineStr"/>
      <c r="CR575" t="inlineStr"/>
      <c r="CS575" t="inlineStr"/>
      <c r="CT575" t="inlineStr"/>
      <c r="CU575" t="inlineStr"/>
      <c r="CV575" t="inlineStr"/>
      <c r="CW575" t="inlineStr"/>
      <c r="CX575" t="inlineStr"/>
      <c r="CY575" t="inlineStr"/>
      <c r="CZ575" t="inlineStr"/>
      <c r="DA575" t="inlineStr"/>
      <c r="DB575" t="inlineStr"/>
      <c r="DC575" t="inlineStr"/>
      <c r="DD575" t="inlineStr"/>
      <c r="DE575" t="inlineStr"/>
      <c r="DF575" t="inlineStr"/>
      <c r="DG575" t="inlineStr"/>
    </row>
    <row r="576">
      <c r="A576" t="inlineStr">
        <is>
          <t>III</t>
        </is>
      </c>
      <c r="B576" t="b">
        <v>1</v>
      </c>
      <c r="C576" t="inlineStr"/>
      <c r="D576" t="inlineStr"/>
      <c r="E576" t="inlineStr"/>
      <c r="F576">
        <f>HYPERLINK("https://portal.dnb.de/opac.htm?method=simpleSearch&amp;cqlMode=true&amp;query=idn%3D1137966572", "Portal")</f>
        <v/>
      </c>
      <c r="G576" t="inlineStr">
        <is>
          <t>Qd</t>
        </is>
      </c>
      <c r="H576" t="inlineStr">
        <is>
          <t>L-9999-414281977</t>
        </is>
      </c>
      <c r="I576" t="inlineStr">
        <is>
          <t>1137966572</t>
        </is>
      </c>
      <c r="J576" t="inlineStr">
        <is>
          <t>III 60, 98</t>
        </is>
      </c>
      <c r="K576" t="inlineStr">
        <is>
          <t>III 60, 98</t>
        </is>
      </c>
      <c r="L576" t="inlineStr">
        <is>
          <t>III 60, 98</t>
        </is>
      </c>
      <c r="M576" t="inlineStr"/>
      <c r="N576" t="inlineStr">
        <is>
          <t xml:space="preserve">Sammelband mit Gesetzen und Verordnungen des Heiligen Römischen Reiches : </t>
        </is>
      </c>
      <c r="O576" t="inlineStr">
        <is>
          <t xml:space="preserve"> : </t>
        </is>
      </c>
      <c r="P576" t="inlineStr"/>
      <c r="Q576" t="inlineStr"/>
      <c r="R576" t="inlineStr"/>
      <c r="S576" t="inlineStr">
        <is>
          <t>bis 35 cm</t>
        </is>
      </c>
      <c r="T576" t="inlineStr"/>
      <c r="U576" t="inlineStr"/>
      <c r="V576" t="inlineStr"/>
      <c r="W576" t="inlineStr"/>
      <c r="X576" t="inlineStr"/>
      <c r="Y576" t="inlineStr"/>
      <c r="Z576" t="inlineStr"/>
      <c r="AA576" t="inlineStr"/>
      <c r="AB576" t="inlineStr"/>
      <c r="AC576" t="inlineStr"/>
      <c r="AD576" t="inlineStr"/>
      <c r="AE576" t="inlineStr"/>
      <c r="AF576" t="inlineStr"/>
      <c r="AG576" t="inlineStr"/>
      <c r="AH576" t="inlineStr"/>
      <c r="AI576" t="inlineStr">
        <is>
          <t>HG</t>
        </is>
      </c>
      <c r="AJ576" t="inlineStr"/>
      <c r="AK576" t="inlineStr"/>
      <c r="AL576" t="inlineStr"/>
      <c r="AM576" t="inlineStr">
        <is>
          <t>h/E</t>
        </is>
      </c>
      <c r="AN576" t="inlineStr"/>
      <c r="AO576" t="inlineStr"/>
      <c r="AP576" t="inlineStr"/>
      <c r="AQ576" t="inlineStr"/>
      <c r="AR576" t="inlineStr"/>
      <c r="AS576" t="inlineStr">
        <is>
          <t>Pa</t>
        </is>
      </c>
      <c r="AT576" t="inlineStr">
        <is>
          <t>x</t>
        </is>
      </c>
      <c r="AU576" t="inlineStr"/>
      <c r="AV576" t="inlineStr"/>
      <c r="AW576" t="inlineStr"/>
      <c r="AX576" t="inlineStr"/>
      <c r="AY576" t="inlineStr"/>
      <c r="AZ576" t="inlineStr"/>
      <c r="BA576" t="inlineStr"/>
      <c r="BB576" t="inlineStr"/>
      <c r="BC576" t="inlineStr"/>
      <c r="BD576" t="inlineStr"/>
      <c r="BE576" t="inlineStr"/>
      <c r="BF576" t="inlineStr"/>
      <c r="BG576" t="n">
        <v>110</v>
      </c>
      <c r="BH576" t="inlineStr"/>
      <c r="BI576" t="inlineStr"/>
      <c r="BJ576" t="inlineStr"/>
      <c r="BK576" t="inlineStr"/>
      <c r="BL576" t="inlineStr"/>
      <c r="BM576" t="inlineStr">
        <is>
          <t>n</t>
        </is>
      </c>
      <c r="BN576" t="n">
        <v>0</v>
      </c>
      <c r="BO576" t="inlineStr"/>
      <c r="BP576" t="inlineStr"/>
      <c r="BQ576" t="inlineStr"/>
      <c r="BR576" t="inlineStr"/>
      <c r="BS576" t="inlineStr"/>
      <c r="BT576" t="inlineStr"/>
      <c r="BU576" t="inlineStr"/>
      <c r="BV576" t="inlineStr">
        <is>
          <t>Schaden stabil</t>
        </is>
      </c>
      <c r="BW576" t="inlineStr">
        <is>
          <t>x 110</t>
        </is>
      </c>
      <c r="BX576" t="inlineStr">
        <is>
          <t xml:space="preserve">
leichter Schaden im Gelenk</t>
        </is>
      </c>
      <c r="BY576" t="inlineStr"/>
      <c r="BZ576" t="inlineStr"/>
      <c r="CA576" t="inlineStr"/>
      <c r="CB576" t="inlineStr"/>
      <c r="CC576" t="inlineStr"/>
      <c r="CD576" t="inlineStr"/>
      <c r="CE576" t="inlineStr"/>
      <c r="CF576" t="inlineStr"/>
      <c r="CG576" t="inlineStr"/>
      <c r="CH576" t="inlineStr"/>
      <c r="CI576" t="inlineStr"/>
      <c r="CJ576" t="inlineStr"/>
      <c r="CK576" t="inlineStr"/>
      <c r="CL576" t="inlineStr"/>
      <c r="CM576" t="inlineStr"/>
      <c r="CN576" t="inlineStr"/>
      <c r="CO576" t="inlineStr"/>
      <c r="CP576" t="inlineStr"/>
      <c r="CQ576" t="inlineStr"/>
      <c r="CR576" t="inlineStr"/>
      <c r="CS576" t="inlineStr"/>
      <c r="CT576" t="inlineStr"/>
      <c r="CU576" t="inlineStr"/>
      <c r="CV576" t="inlineStr"/>
      <c r="CW576" t="inlineStr"/>
      <c r="CX576" t="inlineStr"/>
      <c r="CY576" t="inlineStr"/>
      <c r="CZ576" t="inlineStr"/>
      <c r="DA576" t="inlineStr"/>
      <c r="DB576" t="inlineStr"/>
      <c r="DC576" t="inlineStr"/>
      <c r="DD576" t="inlineStr"/>
      <c r="DE576" t="inlineStr"/>
      <c r="DF576" t="inlineStr"/>
      <c r="DG576" t="inlineStr"/>
    </row>
    <row r="577">
      <c r="A577" t="inlineStr">
        <is>
          <t>III</t>
        </is>
      </c>
      <c r="B577" t="b">
        <v>1</v>
      </c>
      <c r="C577" t="inlineStr"/>
      <c r="D577" t="inlineStr"/>
      <c r="E577" t="n">
        <v>649</v>
      </c>
      <c r="F577">
        <f>HYPERLINK("https://portal.dnb.de/opac.htm?method=simpleSearch&amp;cqlMode=true&amp;query=idn%3D1066963363", "Portal")</f>
        <v/>
      </c>
      <c r="G577" t="inlineStr">
        <is>
          <t>Aaf</t>
        </is>
      </c>
      <c r="H577" t="inlineStr">
        <is>
          <t>L-1531-315493623</t>
        </is>
      </c>
      <c r="I577" t="inlineStr">
        <is>
          <t>1066963363</t>
        </is>
      </c>
      <c r="J577" t="inlineStr">
        <is>
          <t>III 60, 99</t>
        </is>
      </c>
      <c r="K577" t="inlineStr">
        <is>
          <t>III 60, 99</t>
        </is>
      </c>
      <c r="L577" t="inlineStr">
        <is>
          <t>III 60, 99</t>
        </is>
      </c>
      <c r="M577" t="inlineStr"/>
      <c r="N577" t="inlineStr">
        <is>
          <t>Artliche k#[ue]nste man||cherlei weise Dinnten vnd aller hand|| Farben zubereyten. Auch Goldt vnd Silber sampt|| allen Metallen/ auß der Fedder zu sch</t>
        </is>
      </c>
      <c r="O577" t="inlineStr">
        <is>
          <t xml:space="preserve"> : </t>
        </is>
      </c>
      <c r="P577" t="inlineStr"/>
      <c r="Q577" t="inlineStr"/>
      <c r="R577" t="inlineStr"/>
      <c r="S577" t="inlineStr"/>
      <c r="T577" t="inlineStr"/>
      <c r="U577" t="inlineStr"/>
      <c r="V577" t="inlineStr"/>
      <c r="W577" t="inlineStr"/>
      <c r="X577" t="inlineStr"/>
      <c r="Y577" t="inlineStr"/>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c r="BD577" t="inlineStr"/>
      <c r="BE577" t="inlineStr"/>
      <c r="BF577" t="inlineStr"/>
      <c r="BG577" t="inlineStr"/>
      <c r="BH577" t="inlineStr"/>
      <c r="BI577" t="inlineStr"/>
      <c r="BJ577" t="inlineStr"/>
      <c r="BK577" t="inlineStr"/>
      <c r="BL577" t="inlineStr"/>
      <c r="BM577" t="inlineStr"/>
      <c r="BN577" t="n">
        <v>0</v>
      </c>
      <c r="BO577" t="inlineStr"/>
      <c r="BP577" t="inlineStr"/>
      <c r="BQ577" t="inlineStr"/>
      <c r="BR577" t="inlineStr"/>
      <c r="BS577" t="inlineStr"/>
      <c r="BT577" t="inlineStr"/>
      <c r="BU577" t="inlineStr"/>
      <c r="BV577" t="inlineStr"/>
      <c r="BW577" t="inlineStr"/>
      <c r="BX577" t="inlineStr"/>
      <c r="BY577" t="inlineStr"/>
      <c r="BZ577" t="inlineStr"/>
      <c r="CA577" t="inlineStr"/>
      <c r="CB577" t="inlineStr"/>
      <c r="CC577" t="inlineStr"/>
      <c r="CD577" t="inlineStr"/>
      <c r="CE577" t="inlineStr"/>
      <c r="CF577" t="inlineStr"/>
      <c r="CG577" t="inlineStr"/>
      <c r="CH577" t="inlineStr"/>
      <c r="CI577" t="inlineStr"/>
      <c r="CJ577" t="inlineStr"/>
      <c r="CK577" t="inlineStr"/>
      <c r="CL577" t="inlineStr"/>
      <c r="CM577" t="inlineStr"/>
      <c r="CN577" t="inlineStr"/>
      <c r="CO577" t="inlineStr"/>
      <c r="CP577" t="inlineStr"/>
      <c r="CQ577" t="inlineStr"/>
      <c r="CR577" t="inlineStr"/>
      <c r="CS577" t="inlineStr"/>
      <c r="CT577" t="inlineStr"/>
      <c r="CU577" t="inlineStr"/>
      <c r="CV577" t="inlineStr"/>
      <c r="CW577" t="inlineStr"/>
      <c r="CX577" t="inlineStr"/>
      <c r="CY577" t="inlineStr"/>
      <c r="CZ577" t="inlineStr"/>
      <c r="DA577" t="inlineStr"/>
      <c r="DB577" t="inlineStr"/>
      <c r="DC577" t="inlineStr"/>
      <c r="DD577" t="inlineStr"/>
      <c r="DE577" t="inlineStr"/>
      <c r="DF577" t="inlineStr"/>
      <c r="DG577" t="inlineStr"/>
    </row>
    <row r="578">
      <c r="A578" t="inlineStr">
        <is>
          <t>III</t>
        </is>
      </c>
      <c r="B578" t="b">
        <v>1</v>
      </c>
      <c r="C578" t="inlineStr">
        <is>
          <t>x</t>
        </is>
      </c>
      <c r="D578" t="inlineStr"/>
      <c r="E578" t="n">
        <v>650</v>
      </c>
      <c r="F578">
        <f>HYPERLINK("https://portal.dnb.de/opac.htm?method=simpleSearch&amp;cqlMode=true&amp;query=idn%3D1066839743", "Portal")</f>
        <v/>
      </c>
      <c r="G578" t="inlineStr">
        <is>
          <t>Aaf</t>
        </is>
      </c>
      <c r="H578" t="inlineStr">
        <is>
          <t>L-1532-315299770</t>
        </is>
      </c>
      <c r="I578" t="inlineStr">
        <is>
          <t>1066839743</t>
        </is>
      </c>
      <c r="J578" t="inlineStr">
        <is>
          <t>III 60, 100</t>
        </is>
      </c>
      <c r="K578" t="inlineStr">
        <is>
          <t>III 60, 100</t>
        </is>
      </c>
      <c r="L578" t="inlineStr">
        <is>
          <t>III 60, 100</t>
        </is>
      </c>
      <c r="M578" t="inlineStr"/>
      <c r="N578" t="inlineStr">
        <is>
          <t xml:space="preserve">Allerley Mackel vnd : </t>
        </is>
      </c>
      <c r="O578" t="inlineStr">
        <is>
          <t xml:space="preserve"> : </t>
        </is>
      </c>
      <c r="P578" t="inlineStr"/>
      <c r="Q578" t="inlineStr"/>
      <c r="R578" t="inlineStr"/>
      <c r="S578" t="inlineStr">
        <is>
          <t>bis 25 cm</t>
        </is>
      </c>
      <c r="T578" t="inlineStr"/>
      <c r="U578" t="inlineStr"/>
      <c r="V578" t="inlineStr"/>
      <c r="W578" t="inlineStr"/>
      <c r="X578" t="inlineStr"/>
      <c r="Y578" t="inlineStr"/>
      <c r="Z578" t="inlineStr"/>
      <c r="AA578" t="inlineStr"/>
      <c r="AB578" t="inlineStr"/>
      <c r="AC578" t="inlineStr"/>
      <c r="AD578" t="inlineStr"/>
      <c r="AE578" t="inlineStr"/>
      <c r="AF578" t="inlineStr"/>
      <c r="AG578" t="inlineStr"/>
      <c r="AH578" t="inlineStr"/>
      <c r="AI578" t="inlineStr">
        <is>
          <t>HL</t>
        </is>
      </c>
      <c r="AJ578" t="inlineStr"/>
      <c r="AK578" t="inlineStr"/>
      <c r="AL578" t="inlineStr"/>
      <c r="AM578" t="inlineStr">
        <is>
          <t>f/V</t>
        </is>
      </c>
      <c r="AN578" t="inlineStr"/>
      <c r="AO578" t="inlineStr"/>
      <c r="AP578" t="inlineStr"/>
      <c r="AQ578" t="inlineStr"/>
      <c r="AR578" t="inlineStr"/>
      <c r="AS578" t="inlineStr">
        <is>
          <t>Pa</t>
        </is>
      </c>
      <c r="AT578" t="inlineStr"/>
      <c r="AU578" t="inlineStr"/>
      <c r="AV578" t="inlineStr"/>
      <c r="AW578" t="inlineStr"/>
      <c r="AX578" t="inlineStr"/>
      <c r="AY578" t="inlineStr"/>
      <c r="AZ578" t="inlineStr"/>
      <c r="BA578" t="inlineStr"/>
      <c r="BB578" t="inlineStr"/>
      <c r="BC578" t="inlineStr"/>
      <c r="BD578" t="inlineStr"/>
      <c r="BE578" t="inlineStr"/>
      <c r="BF578" t="inlineStr"/>
      <c r="BG578" t="n">
        <v>110</v>
      </c>
      <c r="BH578" t="inlineStr"/>
      <c r="BI578" t="inlineStr"/>
      <c r="BJ578" t="inlineStr"/>
      <c r="BK578" t="inlineStr"/>
      <c r="BL578" t="inlineStr"/>
      <c r="BM578" t="inlineStr">
        <is>
          <t>ja vor</t>
        </is>
      </c>
      <c r="BN578" t="n">
        <v>1.5</v>
      </c>
      <c r="BO578" t="inlineStr"/>
      <c r="BP578" t="inlineStr">
        <is>
          <t>Wellpappe</t>
        </is>
      </c>
      <c r="BQ578" t="inlineStr"/>
      <c r="BR578" t="inlineStr"/>
      <c r="BS578" t="inlineStr"/>
      <c r="BT578" t="inlineStr"/>
      <c r="BU578" t="inlineStr"/>
      <c r="BV578" t="inlineStr"/>
      <c r="BW578" t="inlineStr"/>
      <c r="BX578" t="inlineStr"/>
      <c r="BY578" t="inlineStr"/>
      <c r="BZ578" t="inlineStr">
        <is>
          <t>x</t>
        </is>
      </c>
      <c r="CA578" t="inlineStr">
        <is>
          <t>x</t>
        </is>
      </c>
      <c r="CB578" t="inlineStr">
        <is>
          <t>x</t>
        </is>
      </c>
      <c r="CC578" t="inlineStr"/>
      <c r="CD578" t="inlineStr">
        <is>
          <t>v</t>
        </is>
      </c>
      <c r="CE578" t="inlineStr"/>
      <c r="CF578" t="inlineStr"/>
      <c r="CG578" t="inlineStr"/>
      <c r="CH578" t="inlineStr"/>
      <c r="CI578" t="inlineStr"/>
      <c r="CJ578" t="inlineStr"/>
      <c r="CK578" t="inlineStr">
        <is>
          <t>VD</t>
        </is>
      </c>
      <c r="CL578" t="inlineStr"/>
      <c r="CM578" t="n">
        <v>1.5</v>
      </c>
      <c r="CN578" t="inlineStr">
        <is>
          <t>Gelenk vorn innen mit JP-Streifen stabilisieren, Gelenk außen unterlegen und/oder überfangen mit JP</t>
        </is>
      </c>
      <c r="CO578" t="inlineStr"/>
      <c r="CP578" t="inlineStr"/>
      <c r="CQ578" t="inlineStr"/>
      <c r="CR578" t="inlineStr"/>
      <c r="CS578" t="inlineStr"/>
      <c r="CT578" t="inlineStr"/>
      <c r="CU578" t="inlineStr"/>
      <c r="CV578" t="inlineStr"/>
      <c r="CW578" t="inlineStr"/>
      <c r="CX578" t="inlineStr"/>
      <c r="CY578" t="inlineStr"/>
      <c r="CZ578" t="inlineStr"/>
      <c r="DA578" t="inlineStr"/>
      <c r="DB578" t="inlineStr"/>
      <c r="DC578" t="inlineStr"/>
      <c r="DD578" t="inlineStr"/>
      <c r="DE578" t="inlineStr"/>
      <c r="DF578" t="inlineStr"/>
      <c r="DG578" t="inlineStr"/>
    </row>
    <row r="579">
      <c r="A579" t="inlineStr">
        <is>
          <t>III</t>
        </is>
      </c>
      <c r="B579" t="b">
        <v>1</v>
      </c>
      <c r="C579" t="inlineStr"/>
      <c r="D579" t="inlineStr"/>
      <c r="E579" t="inlineStr"/>
      <c r="F579">
        <f>HYPERLINK("https://portal.dnb.de/opac.htm?method=simpleSearch&amp;cqlMode=true&amp;query=idn%3D1138320277", "Portal")</f>
        <v/>
      </c>
      <c r="G579" t="inlineStr">
        <is>
          <t>Qd</t>
        </is>
      </c>
      <c r="H579" t="inlineStr">
        <is>
          <t>L-9999-414837207</t>
        </is>
      </c>
      <c r="I579" t="inlineStr">
        <is>
          <t>1138320277</t>
        </is>
      </c>
      <c r="J579" t="inlineStr">
        <is>
          <t>III 60, 101</t>
        </is>
      </c>
      <c r="K579" t="inlineStr">
        <is>
          <t>III 60, 101</t>
        </is>
      </c>
      <c r="L579" t="inlineStr">
        <is>
          <t>III 60, 101</t>
        </is>
      </c>
      <c r="M579" t="inlineStr"/>
      <c r="N579" t="inlineStr">
        <is>
          <t xml:space="preserve">Sammelband : </t>
        </is>
      </c>
      <c r="O579" t="inlineStr">
        <is>
          <t xml:space="preserve"> : </t>
        </is>
      </c>
      <c r="P579" t="inlineStr"/>
      <c r="Q579" t="inlineStr"/>
      <c r="R579" t="inlineStr"/>
      <c r="S579" t="inlineStr"/>
      <c r="T579" t="inlineStr"/>
      <c r="U579" t="inlineStr"/>
      <c r="V579" t="inlineStr"/>
      <c r="W579" t="inlineStr"/>
      <c r="X579" t="inlineStr"/>
      <c r="Y579" t="inlineStr"/>
      <c r="Z579" t="inlineStr"/>
      <c r="AA579" t="inlineStr"/>
      <c r="AB579" t="inlineStr"/>
      <c r="AC579" t="inlineStr"/>
      <c r="AD579" t="inlineStr"/>
      <c r="AE579" t="inlineStr"/>
      <c r="AF579" t="inlineStr"/>
      <c r="AG579" t="inlineStr"/>
      <c r="AH579" t="inlineStr"/>
      <c r="AI579" t="inlineStr"/>
      <c r="AJ579" t="inlineStr"/>
      <c r="AK579" t="inlineStr"/>
      <c r="AL579" t="inlineStr"/>
      <c r="AM579" t="inlineStr"/>
      <c r="AN579" t="inlineStr"/>
      <c r="AO579" t="inlineStr"/>
      <c r="AP579" t="inlineStr"/>
      <c r="AQ579" t="inlineStr"/>
      <c r="AR579" t="inlineStr"/>
      <c r="AS579" t="inlineStr"/>
      <c r="AT579" t="inlineStr"/>
      <c r="AU579" t="inlineStr"/>
      <c r="AV579" t="inlineStr"/>
      <c r="AW579" t="inlineStr"/>
      <c r="AX579" t="inlineStr"/>
      <c r="AY579" t="inlineStr"/>
      <c r="AZ579" t="inlineStr"/>
      <c r="BA579" t="inlineStr"/>
      <c r="BB579" t="inlineStr"/>
      <c r="BC579" t="inlineStr"/>
      <c r="BD579" t="inlineStr"/>
      <c r="BE579" t="inlineStr"/>
      <c r="BF579" t="inlineStr"/>
      <c r="BG579" t="inlineStr"/>
      <c r="BH579" t="inlineStr"/>
      <c r="BI579" t="inlineStr"/>
      <c r="BJ579" t="inlineStr"/>
      <c r="BK579" t="inlineStr"/>
      <c r="BL579" t="inlineStr"/>
      <c r="BM579" t="inlineStr"/>
      <c r="BN579" t="n">
        <v>0</v>
      </c>
      <c r="BO579" t="inlineStr"/>
      <c r="BP579" t="inlineStr"/>
      <c r="BQ579" t="inlineStr"/>
      <c r="BR579" t="inlineStr"/>
      <c r="BS579" t="inlineStr"/>
      <c r="BT579" t="inlineStr"/>
      <c r="BU579" t="inlineStr"/>
      <c r="BV579" t="inlineStr"/>
      <c r="BW579" t="inlineStr"/>
      <c r="BX579" t="inlineStr"/>
      <c r="BY579" t="inlineStr"/>
      <c r="BZ579" t="inlineStr"/>
      <c r="CA579" t="inlineStr"/>
      <c r="CB579" t="inlineStr"/>
      <c r="CC579" t="inlineStr"/>
      <c r="CD579" t="inlineStr"/>
      <c r="CE579" t="inlineStr"/>
      <c r="CF579" t="inlineStr"/>
      <c r="CG579" t="inlineStr"/>
      <c r="CH579" t="inlineStr"/>
      <c r="CI579" t="inlineStr"/>
      <c r="CJ579" t="inlineStr"/>
      <c r="CK579" t="inlineStr"/>
      <c r="CL579" t="inlineStr"/>
      <c r="CM579" t="inlineStr"/>
      <c r="CN579" t="inlineStr"/>
      <c r="CO579" t="inlineStr"/>
      <c r="CP579" t="inlineStr"/>
      <c r="CQ579" t="inlineStr"/>
      <c r="CR579" t="inlineStr"/>
      <c r="CS579" t="inlineStr"/>
      <c r="CT579" t="inlineStr"/>
      <c r="CU579" t="inlineStr"/>
      <c r="CV579" t="inlineStr"/>
      <c r="CW579" t="inlineStr"/>
      <c r="CX579" t="inlineStr"/>
      <c r="CY579" t="inlineStr"/>
      <c r="CZ579" t="inlineStr"/>
      <c r="DA579" t="inlineStr"/>
      <c r="DB579" t="inlineStr"/>
      <c r="DC579" t="inlineStr"/>
      <c r="DD579" t="inlineStr"/>
      <c r="DE579" t="inlineStr"/>
      <c r="DF579" t="inlineStr"/>
      <c r="DG579" t="inlineStr"/>
    </row>
    <row r="580">
      <c r="A580" t="inlineStr">
        <is>
          <t>III</t>
        </is>
      </c>
      <c r="B580" t="b">
        <v>1</v>
      </c>
      <c r="C580" t="inlineStr">
        <is>
          <t>x</t>
        </is>
      </c>
      <c r="D580" t="inlineStr"/>
      <c r="E580" t="n">
        <v>652</v>
      </c>
      <c r="F580">
        <f>HYPERLINK("https://portal.dnb.de/opac.htm?method=simpleSearch&amp;cqlMode=true&amp;query=idn%3D1066769036", "Portal")</f>
        <v/>
      </c>
      <c r="G580" t="inlineStr">
        <is>
          <t>Aaf</t>
        </is>
      </c>
      <c r="H580" t="inlineStr">
        <is>
          <t>L-1534-315191538</t>
        </is>
      </c>
      <c r="I580" t="inlineStr">
        <is>
          <t>1066769036</t>
        </is>
      </c>
      <c r="J580" t="inlineStr">
        <is>
          <t>III 60, 102</t>
        </is>
      </c>
      <c r="K580" t="inlineStr">
        <is>
          <t>III 60, 102</t>
        </is>
      </c>
      <c r="L580" t="inlineStr">
        <is>
          <t>III 60, 102</t>
        </is>
      </c>
      <c r="M580" t="inlineStr"/>
      <c r="N580" t="inlineStr">
        <is>
          <t xml:space="preserve">Biblia, beider Allt vnnd Newen Testamenten, fleissig, treülich vnd Christlich, nach alter, inn Christlicher kirchen gehabter Translation... : </t>
        </is>
      </c>
      <c r="O580" t="inlineStr">
        <is>
          <t xml:space="preserve"> : </t>
        </is>
      </c>
      <c r="P580" t="inlineStr"/>
      <c r="Q580" t="inlineStr"/>
      <c r="R580" t="inlineStr"/>
      <c r="S580" t="inlineStr">
        <is>
          <t>bis 35 cm</t>
        </is>
      </c>
      <c r="T580" t="inlineStr"/>
      <c r="U580" t="inlineStr"/>
      <c r="V580" t="inlineStr"/>
      <c r="W580" t="inlineStr"/>
      <c r="X580" t="inlineStr"/>
      <c r="Y580" t="inlineStr"/>
      <c r="Z580" t="inlineStr"/>
      <c r="AA580" t="inlineStr"/>
      <c r="AB580" t="inlineStr"/>
      <c r="AC580" t="inlineStr"/>
      <c r="AD580" t="inlineStr"/>
      <c r="AE580" t="inlineStr"/>
      <c r="AF580" t="inlineStr"/>
      <c r="AG580" t="inlineStr"/>
      <c r="AH580" t="inlineStr"/>
      <c r="AI580" t="inlineStr">
        <is>
          <t>HD</t>
        </is>
      </c>
      <c r="AJ580" t="inlineStr"/>
      <c r="AK580" t="inlineStr">
        <is>
          <t>x</t>
        </is>
      </c>
      <c r="AL580" t="inlineStr"/>
      <c r="AM580" t="inlineStr">
        <is>
          <t>f/V</t>
        </is>
      </c>
      <c r="AN580" t="inlineStr"/>
      <c r="AO580" t="inlineStr"/>
      <c r="AP580" t="inlineStr"/>
      <c r="AQ580" t="inlineStr"/>
      <c r="AR580" t="inlineStr"/>
      <c r="AS580" t="inlineStr">
        <is>
          <t>Pa</t>
        </is>
      </c>
      <c r="AT580" t="inlineStr"/>
      <c r="AU580" t="inlineStr"/>
      <c r="AV580" t="inlineStr"/>
      <c r="AW580" t="inlineStr"/>
      <c r="AX580" t="inlineStr"/>
      <c r="AY580" t="inlineStr"/>
      <c r="AZ580" t="inlineStr"/>
      <c r="BA580" t="inlineStr"/>
      <c r="BB580" t="inlineStr"/>
      <c r="BC580" t="inlineStr"/>
      <c r="BD580" t="inlineStr"/>
      <c r="BE580" t="inlineStr"/>
      <c r="BF580" t="inlineStr"/>
      <c r="BG580" t="n">
        <v>60</v>
      </c>
      <c r="BH580" t="inlineStr"/>
      <c r="BI580" t="inlineStr"/>
      <c r="BJ580" t="inlineStr"/>
      <c r="BK580" t="inlineStr"/>
      <c r="BL580" t="inlineStr"/>
      <c r="BM580" t="inlineStr">
        <is>
          <t>ja vor</t>
        </is>
      </c>
      <c r="BN580" t="n">
        <v>1.5</v>
      </c>
      <c r="BO580" t="inlineStr"/>
      <c r="BP580" t="inlineStr"/>
      <c r="BQ580" t="inlineStr"/>
      <c r="BR580" t="inlineStr"/>
      <c r="BS580" t="inlineStr"/>
      <c r="BT580" t="inlineStr"/>
      <c r="BU580" t="inlineStr">
        <is>
          <t>x</t>
        </is>
      </c>
      <c r="BV580" t="inlineStr">
        <is>
          <t>unbedingt Box! (Schließen schließen nicht)</t>
        </is>
      </c>
      <c r="BW580" t="inlineStr">
        <is>
          <t>x 45</t>
        </is>
      </c>
      <c r="BX580" t="inlineStr">
        <is>
          <t xml:space="preserve">
ÖW ist eigentlich 60, dicker überformter Holzdeckelband</t>
        </is>
      </c>
      <c r="BY580" t="inlineStr">
        <is>
          <t>Box! (Schließen schließen nicht)</t>
        </is>
      </c>
      <c r="BZ580" t="inlineStr">
        <is>
          <t>x</t>
        </is>
      </c>
      <c r="CA580" t="inlineStr">
        <is>
          <t>x</t>
        </is>
      </c>
      <c r="CB580" t="inlineStr">
        <is>
          <t>x</t>
        </is>
      </c>
      <c r="CC580" t="inlineStr"/>
      <c r="CD580" t="inlineStr"/>
      <c r="CE580" t="inlineStr"/>
      <c r="CF580" t="inlineStr"/>
      <c r="CG580" t="inlineStr"/>
      <c r="CH580" t="inlineStr"/>
      <c r="CI580" t="inlineStr"/>
      <c r="CJ580" t="inlineStr"/>
      <c r="CK580" t="inlineStr"/>
      <c r="CL580" t="inlineStr"/>
      <c r="CM580" t="n">
        <v>1</v>
      </c>
      <c r="CN580" t="inlineStr"/>
      <c r="CO580" t="inlineStr"/>
      <c r="CP580" t="inlineStr"/>
      <c r="CQ580" t="inlineStr"/>
      <c r="CR580" t="inlineStr"/>
      <c r="CS580" t="inlineStr"/>
      <c r="CT580" t="inlineStr"/>
      <c r="CU580" t="inlineStr"/>
      <c r="CV580" t="inlineStr">
        <is>
          <t>x</t>
        </is>
      </c>
      <c r="CW580" t="inlineStr"/>
      <c r="CX580" t="inlineStr"/>
      <c r="CY580" t="inlineStr"/>
      <c r="CZ580" t="inlineStr"/>
      <c r="DA580" t="inlineStr"/>
      <c r="DB580" t="inlineStr"/>
      <c r="DC580" t="inlineStr"/>
      <c r="DD580" t="inlineStr"/>
      <c r="DE580" t="inlineStr"/>
      <c r="DF580" t="n">
        <v>0.5</v>
      </c>
      <c r="DG580" t="inlineStr"/>
    </row>
    <row r="581">
      <c r="A581" t="inlineStr">
        <is>
          <t>III</t>
        </is>
      </c>
      <c r="B581" t="b">
        <v>1</v>
      </c>
      <c r="C581" t="inlineStr"/>
      <c r="D581" t="inlineStr"/>
      <c r="E581" t="n">
        <v>653</v>
      </c>
      <c r="F581">
        <f>HYPERLINK("https://portal.dnb.de/opac.htm?method=simpleSearch&amp;cqlMode=true&amp;query=idn%3D1066962456", "Portal")</f>
        <v/>
      </c>
      <c r="G581" t="inlineStr">
        <is>
          <t>Aaf</t>
        </is>
      </c>
      <c r="H581" t="inlineStr">
        <is>
          <t>L-1535-315492813</t>
        </is>
      </c>
      <c r="I581" t="inlineStr">
        <is>
          <t>1066962456</t>
        </is>
      </c>
      <c r="J581" t="inlineStr">
        <is>
          <t>III 60, 103</t>
        </is>
      </c>
      <c r="K581" t="inlineStr">
        <is>
          <t>III 60, 103</t>
        </is>
      </c>
      <c r="L581" t="inlineStr">
        <is>
          <t>III 60, 103</t>
        </is>
      </c>
      <c r="M581" t="inlineStr"/>
      <c r="N581" t="inlineStr">
        <is>
          <t>Petrus Iordan Lectori S.D.|| EN TIBI NYNC ITERVM CANDIDE LECTOR,|| COELESTIVM RERVM|| DISCIPLINAE, ATQVE TOTIVS SPHAERICAE|| peritissimi, Iohannis Sto</t>
        </is>
      </c>
      <c r="O581" t="inlineStr">
        <is>
          <t xml:space="preserve"> : </t>
        </is>
      </c>
      <c r="P581" t="inlineStr"/>
      <c r="Q581" t="inlineStr"/>
      <c r="R581" t="inlineStr"/>
      <c r="S581" t="inlineStr"/>
      <c r="T581" t="inlineStr"/>
      <c r="U581" t="inlineStr"/>
      <c r="V581" t="inlineStr"/>
      <c r="W581" t="inlineStr"/>
      <c r="X581" t="inlineStr"/>
      <c r="Y581" t="inlineStr"/>
      <c r="Z581" t="inlineStr"/>
      <c r="AA581" t="inlineStr"/>
      <c r="AB581" t="inlineStr"/>
      <c r="AC581" t="inlineStr"/>
      <c r="AD581" t="inlineStr"/>
      <c r="AE581" t="inlineStr"/>
      <c r="AF581" t="inlineStr"/>
      <c r="AG581" t="inlineStr"/>
      <c r="AH581" t="inlineStr"/>
      <c r="AI581" t="inlineStr"/>
      <c r="AJ581" t="inlineStr"/>
      <c r="AK581" t="inlineStr"/>
      <c r="AL581" t="inlineStr"/>
      <c r="AM581" t="inlineStr"/>
      <c r="AN581" t="inlineStr"/>
      <c r="AO581" t="inlineStr"/>
      <c r="AP581" t="inlineStr"/>
      <c r="AQ581" t="inlineStr"/>
      <c r="AR581" t="inlineStr"/>
      <c r="AS581" t="inlineStr"/>
      <c r="AT581" t="inlineStr"/>
      <c r="AU581" t="inlineStr"/>
      <c r="AV581" t="inlineStr"/>
      <c r="AW581" t="inlineStr"/>
      <c r="AX581" t="inlineStr"/>
      <c r="AY581" t="inlineStr"/>
      <c r="AZ581" t="inlineStr"/>
      <c r="BA581" t="inlineStr"/>
      <c r="BB581" t="inlineStr"/>
      <c r="BC581" t="inlineStr"/>
      <c r="BD581" t="inlineStr"/>
      <c r="BE581" t="inlineStr"/>
      <c r="BF581" t="inlineStr"/>
      <c r="BG581" t="inlineStr"/>
      <c r="BH581" t="inlineStr"/>
      <c r="BI581" t="inlineStr"/>
      <c r="BJ581" t="inlineStr"/>
      <c r="BK581" t="inlineStr"/>
      <c r="BL581" t="inlineStr"/>
      <c r="BM581" t="inlineStr"/>
      <c r="BN581" t="n">
        <v>0</v>
      </c>
      <c r="BO581" t="inlineStr"/>
      <c r="BP581" t="inlineStr"/>
      <c r="BQ581" t="inlineStr"/>
      <c r="BR581" t="inlineStr"/>
      <c r="BS581" t="inlineStr"/>
      <c r="BT581" t="inlineStr"/>
      <c r="BU581" t="inlineStr"/>
      <c r="BV581" t="inlineStr"/>
      <c r="BW581" t="inlineStr"/>
      <c r="BX581" t="inlineStr"/>
      <c r="BY581" t="inlineStr"/>
      <c r="BZ581" t="inlineStr"/>
      <c r="CA581" t="inlineStr"/>
      <c r="CB581" t="inlineStr"/>
      <c r="CC581" t="inlineStr"/>
      <c r="CD581" t="inlineStr"/>
      <c r="CE581" t="inlineStr"/>
      <c r="CF581" t="inlineStr"/>
      <c r="CG581" t="inlineStr"/>
      <c r="CH581" t="inlineStr"/>
      <c r="CI581" t="inlineStr"/>
      <c r="CJ581" t="inlineStr"/>
      <c r="CK581" t="inlineStr"/>
      <c r="CL581" t="inlineStr"/>
      <c r="CM581" t="inlineStr"/>
      <c r="CN581" t="inlineStr"/>
      <c r="CO581" t="inlineStr"/>
      <c r="CP581" t="inlineStr"/>
      <c r="CQ581" t="inlineStr"/>
      <c r="CR581" t="inlineStr"/>
      <c r="CS581" t="inlineStr"/>
      <c r="CT581" t="inlineStr"/>
      <c r="CU581" t="inlineStr"/>
      <c r="CV581" t="inlineStr"/>
      <c r="CW581" t="inlineStr"/>
      <c r="CX581" t="inlineStr"/>
      <c r="CY581" t="inlineStr"/>
      <c r="CZ581" t="inlineStr"/>
      <c r="DA581" t="inlineStr"/>
      <c r="DB581" t="inlineStr"/>
      <c r="DC581" t="inlineStr"/>
      <c r="DD581" t="inlineStr"/>
      <c r="DE581" t="inlineStr"/>
      <c r="DF581" t="inlineStr"/>
      <c r="DG581" t="inlineStr"/>
    </row>
    <row r="582">
      <c r="A582" t="inlineStr">
        <is>
          <t>III</t>
        </is>
      </c>
      <c r="B582" t="b">
        <v>1</v>
      </c>
      <c r="C582" t="inlineStr"/>
      <c r="D582" t="inlineStr"/>
      <c r="E582" t="n">
        <v>654</v>
      </c>
      <c r="F582">
        <f>HYPERLINK("https://portal.dnb.de/opac.htm?method=simpleSearch&amp;cqlMode=true&amp;query=idn%3D993968074", "Portal")</f>
        <v/>
      </c>
      <c r="G582" t="inlineStr">
        <is>
          <t>Aal</t>
        </is>
      </c>
      <c r="H582" t="inlineStr">
        <is>
          <t>L-1541-154091103</t>
        </is>
      </c>
      <c r="I582" t="inlineStr">
        <is>
          <t>993968074</t>
        </is>
      </c>
      <c r="J582" t="inlineStr">
        <is>
          <t>III 60, 104</t>
        </is>
      </c>
      <c r="K582" t="inlineStr">
        <is>
          <t>III 60, 104</t>
        </is>
      </c>
      <c r="L582" t="inlineStr">
        <is>
          <t>III 60, 104</t>
        </is>
      </c>
      <c r="M582" t="inlineStr"/>
      <c r="N582" t="inlineStr">
        <is>
          <t xml:space="preserve">DE CHALCO-||GRAPHIAE INVENTIO-||NE POEMA ENCOMIA-||STICVM,|| : </t>
        </is>
      </c>
      <c r="O582" t="inlineStr">
        <is>
          <t xml:space="preserve"> : </t>
        </is>
      </c>
      <c r="P582" t="inlineStr"/>
      <c r="Q582" t="inlineStr"/>
      <c r="R582" t="inlineStr"/>
      <c r="S582" t="inlineStr">
        <is>
          <t>bis 25 cm</t>
        </is>
      </c>
      <c r="T582" t="inlineStr"/>
      <c r="U582" t="inlineStr"/>
      <c r="V582" t="inlineStr"/>
      <c r="W582" t="inlineStr"/>
      <c r="X582" t="inlineStr"/>
      <c r="Y582" t="inlineStr"/>
      <c r="Z582" t="inlineStr"/>
      <c r="AA582" t="inlineStr"/>
      <c r="AB582" t="inlineStr"/>
      <c r="AC582" t="inlineStr"/>
      <c r="AD582" t="inlineStr"/>
      <c r="AE582" t="inlineStr"/>
      <c r="AF582" t="inlineStr"/>
      <c r="AG582" t="inlineStr"/>
      <c r="AH582" t="inlineStr"/>
      <c r="AI582" t="inlineStr">
        <is>
          <t>L</t>
        </is>
      </c>
      <c r="AJ582" t="inlineStr"/>
      <c r="AK582" t="inlineStr">
        <is>
          <t>x</t>
        </is>
      </c>
      <c r="AL582" t="inlineStr"/>
      <c r="AM582" t="inlineStr">
        <is>
          <t>h/E</t>
        </is>
      </c>
      <c r="AN582" t="inlineStr"/>
      <c r="AO582" t="inlineStr"/>
      <c r="AP582" t="inlineStr"/>
      <c r="AQ582" t="inlineStr"/>
      <c r="AR582" t="inlineStr"/>
      <c r="AS582" t="inlineStr">
        <is>
          <t>Pa</t>
        </is>
      </c>
      <c r="AT582" t="inlineStr">
        <is>
          <t>x</t>
        </is>
      </c>
      <c r="AU582" t="inlineStr"/>
      <c r="AV582" t="inlineStr"/>
      <c r="AW582" t="inlineStr"/>
      <c r="AX582" t="inlineStr"/>
      <c r="AY582" t="inlineStr"/>
      <c r="AZ582" t="inlineStr"/>
      <c r="BA582" t="inlineStr"/>
      <c r="BB582" t="inlineStr"/>
      <c r="BC582" t="inlineStr"/>
      <c r="BD582" t="inlineStr"/>
      <c r="BE582" t="inlineStr"/>
      <c r="BF582" t="inlineStr"/>
      <c r="BG582" t="n">
        <v>110</v>
      </c>
      <c r="BH582" t="inlineStr"/>
      <c r="BI582" t="inlineStr"/>
      <c r="BJ582" t="inlineStr"/>
      <c r="BK582" t="inlineStr"/>
      <c r="BL582" t="inlineStr"/>
      <c r="BM582" t="inlineStr">
        <is>
          <t>n</t>
        </is>
      </c>
      <c r="BN582" t="n">
        <v>0</v>
      </c>
      <c r="BO582" t="inlineStr"/>
      <c r="BP582" t="inlineStr"/>
      <c r="BQ582" t="inlineStr"/>
      <c r="BR582" t="inlineStr">
        <is>
          <t>x</t>
        </is>
      </c>
      <c r="BS582" t="inlineStr"/>
      <c r="BT582" t="inlineStr"/>
      <c r="BU582" t="inlineStr"/>
      <c r="BV582" t="inlineStr">
        <is>
          <t>Schaden stabil</t>
        </is>
      </c>
      <c r="BW582" t="inlineStr">
        <is>
          <t>x 110</t>
        </is>
      </c>
      <c r="BX582" t="inlineStr">
        <is>
          <t xml:space="preserve">
unkompliziert, saures Füllmaterial</t>
        </is>
      </c>
      <c r="BY582" t="inlineStr"/>
      <c r="BZ582" t="inlineStr"/>
      <c r="CA582" t="inlineStr"/>
      <c r="CB582" t="inlineStr"/>
      <c r="CC582" t="inlineStr"/>
      <c r="CD582" t="inlineStr"/>
      <c r="CE582" t="inlineStr"/>
      <c r="CF582" t="inlineStr"/>
      <c r="CG582" t="inlineStr"/>
      <c r="CH582" t="inlineStr"/>
      <c r="CI582" t="inlineStr"/>
      <c r="CJ582" t="inlineStr"/>
      <c r="CK582" t="inlineStr"/>
      <c r="CL582" t="inlineStr"/>
      <c r="CM582" t="inlineStr"/>
      <c r="CN582" t="inlineStr"/>
      <c r="CO582" t="inlineStr"/>
      <c r="CP582" t="inlineStr"/>
      <c r="CQ582" t="inlineStr"/>
      <c r="CR582" t="inlineStr"/>
      <c r="CS582" t="inlineStr"/>
      <c r="CT582" t="inlineStr"/>
      <c r="CU582" t="inlineStr"/>
      <c r="CV582" t="inlineStr"/>
      <c r="CW582" t="inlineStr"/>
      <c r="CX582" t="inlineStr"/>
      <c r="CY582" t="inlineStr"/>
      <c r="CZ582" t="inlineStr"/>
      <c r="DA582" t="inlineStr"/>
      <c r="DB582" t="inlineStr"/>
      <c r="DC582" t="inlineStr"/>
      <c r="DD582" t="inlineStr"/>
      <c r="DE582" t="inlineStr"/>
      <c r="DF582" t="inlineStr"/>
      <c r="DG582" t="inlineStr"/>
    </row>
    <row r="583">
      <c r="A583" t="inlineStr">
        <is>
          <t>III</t>
        </is>
      </c>
      <c r="B583" t="b">
        <v>1</v>
      </c>
      <c r="C583" t="inlineStr"/>
      <c r="D583" t="inlineStr"/>
      <c r="E583" t="n">
        <v>656</v>
      </c>
      <c r="F583">
        <f>HYPERLINK("https://portal.dnb.de/opac.htm?method=simpleSearch&amp;cqlMode=true&amp;query=idn%3D106695867X", "Portal")</f>
        <v/>
      </c>
      <c r="G583" t="inlineStr">
        <is>
          <t>Aaf</t>
        </is>
      </c>
      <c r="H583" t="inlineStr">
        <is>
          <t>L-1541-315489286</t>
        </is>
      </c>
      <c r="I583" t="inlineStr">
        <is>
          <t>106695867X</t>
        </is>
      </c>
      <c r="J583" t="inlineStr">
        <is>
          <t>III 60, 105</t>
        </is>
      </c>
      <c r="K583" t="inlineStr">
        <is>
          <t>III 60, 105</t>
        </is>
      </c>
      <c r="L583" t="inlineStr">
        <is>
          <t>III 60, 105</t>
        </is>
      </c>
      <c r="M583" t="inlineStr"/>
      <c r="N583" t="inlineStr">
        <is>
          <t xml:space="preserve">Ein @Christliche lere/|| zu gr#[ue]ndtlichem vnd bestendigem vn=||derricht des rechten Glaubens/|| vnd eines Gotseligen : </t>
        </is>
      </c>
      <c r="O583" t="inlineStr">
        <is>
          <t xml:space="preserve"> : </t>
        </is>
      </c>
      <c r="P583" t="inlineStr"/>
      <c r="Q583" t="inlineStr"/>
      <c r="R583" t="inlineStr"/>
      <c r="S583" t="inlineStr">
        <is>
          <t>bis 25 cm</t>
        </is>
      </c>
      <c r="T583" t="inlineStr"/>
      <c r="U583" t="inlineStr"/>
      <c r="V583" t="inlineStr"/>
      <c r="W583" t="inlineStr"/>
      <c r="X583" t="inlineStr"/>
      <c r="Y583" t="inlineStr"/>
      <c r="Z583" t="inlineStr"/>
      <c r="AA583" t="inlineStr"/>
      <c r="AB583" t="inlineStr"/>
      <c r="AC583" t="inlineStr"/>
      <c r="AD583" t="inlineStr"/>
      <c r="AE583" t="inlineStr"/>
      <c r="AF583" t="inlineStr"/>
      <c r="AG583" t="inlineStr"/>
      <c r="AH583" t="inlineStr"/>
      <c r="AI583" t="inlineStr">
        <is>
          <t>HL</t>
        </is>
      </c>
      <c r="AJ583" t="inlineStr"/>
      <c r="AK583" t="inlineStr">
        <is>
          <t>x</t>
        </is>
      </c>
      <c r="AL583" t="inlineStr"/>
      <c r="AM583" t="inlineStr">
        <is>
          <t>h/E</t>
        </is>
      </c>
      <c r="AN583" t="inlineStr"/>
      <c r="AO583" t="inlineStr"/>
      <c r="AP583" t="inlineStr"/>
      <c r="AQ583" t="inlineStr"/>
      <c r="AR583" t="inlineStr"/>
      <c r="AS583" t="inlineStr">
        <is>
          <t>Pa</t>
        </is>
      </c>
      <c r="AT583" t="inlineStr"/>
      <c r="AU583" t="inlineStr"/>
      <c r="AV583" t="inlineStr"/>
      <c r="AW583" t="inlineStr"/>
      <c r="AX583" t="inlineStr"/>
      <c r="AY583" t="inlineStr"/>
      <c r="AZ583" t="inlineStr"/>
      <c r="BA583" t="inlineStr"/>
      <c r="BB583" t="inlineStr"/>
      <c r="BC583" t="inlineStr"/>
      <c r="BD583" t="inlineStr"/>
      <c r="BE583" t="inlineStr"/>
      <c r="BF583" t="inlineStr"/>
      <c r="BG583" t="n">
        <v>110</v>
      </c>
      <c r="BH583" t="inlineStr"/>
      <c r="BI583" t="inlineStr"/>
      <c r="BJ583" t="inlineStr"/>
      <c r="BK583" t="inlineStr"/>
      <c r="BL583" t="inlineStr"/>
      <c r="BM583" t="inlineStr">
        <is>
          <t>n</t>
        </is>
      </c>
      <c r="BN583" t="n">
        <v>0</v>
      </c>
      <c r="BO583" t="inlineStr"/>
      <c r="BP583" t="inlineStr"/>
      <c r="BQ583" t="inlineStr"/>
      <c r="BR583" t="inlineStr">
        <is>
          <t>x</t>
        </is>
      </c>
      <c r="BS583" t="inlineStr"/>
      <c r="BT583" t="inlineStr"/>
      <c r="BU583" t="inlineStr"/>
      <c r="BV583" t="inlineStr">
        <is>
          <t>Schaden stabil</t>
        </is>
      </c>
      <c r="BW583" t="inlineStr"/>
      <c r="BX583" t="inlineStr"/>
      <c r="BY583" t="inlineStr"/>
      <c r="BZ583" t="inlineStr"/>
      <c r="CA583" t="inlineStr"/>
      <c r="CB583" t="inlineStr"/>
      <c r="CC583" t="inlineStr"/>
      <c r="CD583" t="inlineStr"/>
      <c r="CE583" t="inlineStr"/>
      <c r="CF583" t="inlineStr"/>
      <c r="CG583" t="inlineStr"/>
      <c r="CH583" t="inlineStr"/>
      <c r="CI583" t="inlineStr"/>
      <c r="CJ583" t="inlineStr"/>
      <c r="CK583" t="inlineStr"/>
      <c r="CL583" t="inlineStr"/>
      <c r="CM583" t="inlineStr"/>
      <c r="CN583" t="inlineStr"/>
      <c r="CO583" t="inlineStr"/>
      <c r="CP583" t="inlineStr"/>
      <c r="CQ583" t="inlineStr"/>
      <c r="CR583" t="inlineStr"/>
      <c r="CS583" t="inlineStr"/>
      <c r="CT583" t="inlineStr"/>
      <c r="CU583" t="inlineStr"/>
      <c r="CV583" t="inlineStr"/>
      <c r="CW583" t="inlineStr"/>
      <c r="CX583" t="inlineStr"/>
      <c r="CY583" t="inlineStr"/>
      <c r="CZ583" t="inlineStr"/>
      <c r="DA583" t="inlineStr"/>
      <c r="DB583" t="inlineStr"/>
      <c r="DC583" t="inlineStr"/>
      <c r="DD583" t="inlineStr"/>
      <c r="DE583" t="inlineStr"/>
      <c r="DF583" t="inlineStr"/>
      <c r="DG583" t="inlineStr"/>
    </row>
    <row r="584">
      <c r="A584" t="inlineStr">
        <is>
          <t>III</t>
        </is>
      </c>
      <c r="B584" t="b">
        <v>1</v>
      </c>
      <c r="C584" t="inlineStr"/>
      <c r="D584" t="inlineStr"/>
      <c r="E584" t="n">
        <v>657</v>
      </c>
      <c r="F584">
        <f>HYPERLINK("https://portal.dnb.de/opac.htm?method=simpleSearch&amp;cqlMode=true&amp;query=idn%3D1066942919", "Portal")</f>
        <v/>
      </c>
      <c r="G584" t="inlineStr">
        <is>
          <t>Aaf</t>
        </is>
      </c>
      <c r="H584" t="inlineStr">
        <is>
          <t>L-1548-315470542</t>
        </is>
      </c>
      <c r="I584" t="inlineStr">
        <is>
          <t>1066942919</t>
        </is>
      </c>
      <c r="J584" t="inlineStr">
        <is>
          <t>III 60, 106</t>
        </is>
      </c>
      <c r="K584" t="inlineStr">
        <is>
          <t>III 60, 106</t>
        </is>
      </c>
      <c r="L584" t="inlineStr">
        <is>
          <t>III 60, 106</t>
        </is>
      </c>
      <c r="M584" t="inlineStr"/>
      <c r="N584" t="inlineStr">
        <is>
          <t xml:space="preserve">D. CONRADI BRVNI|| IVRECONSVLTI OPERA TRIA,|| NVNC PRIMVM AEDITA.|| DE LEGATIONIBVS : </t>
        </is>
      </c>
      <c r="O584" t="inlineStr">
        <is>
          <t xml:space="preserve"> : </t>
        </is>
      </c>
      <c r="P584" t="inlineStr"/>
      <c r="Q584" t="inlineStr"/>
      <c r="R584" t="inlineStr"/>
      <c r="S584" t="inlineStr"/>
      <c r="T584" t="inlineStr"/>
      <c r="U584" t="inlineStr"/>
      <c r="V584" t="inlineStr"/>
      <c r="W584" t="inlineStr"/>
      <c r="X584" t="inlineStr"/>
      <c r="Y584" t="inlineStr"/>
      <c r="Z584" t="inlineStr"/>
      <c r="AA584" t="inlineStr"/>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c r="BH584" t="inlineStr"/>
      <c r="BI584" t="inlineStr"/>
      <c r="BJ584" t="inlineStr"/>
      <c r="BK584" t="inlineStr"/>
      <c r="BL584" t="inlineStr"/>
      <c r="BM584" t="inlineStr"/>
      <c r="BN584" t="n">
        <v>0</v>
      </c>
      <c r="BO584" t="inlineStr"/>
      <c r="BP584" t="inlineStr"/>
      <c r="BQ584" t="inlineStr"/>
      <c r="BR584" t="inlineStr"/>
      <c r="BS584" t="inlineStr"/>
      <c r="BT584" t="inlineStr"/>
      <c r="BU584" t="inlineStr"/>
      <c r="BV584" t="inlineStr"/>
      <c r="BW584" t="inlineStr"/>
      <c r="BX584" t="inlineStr"/>
      <c r="BY584" t="inlineStr"/>
      <c r="BZ584" t="inlineStr"/>
      <c r="CA584" t="inlineStr"/>
      <c r="CB584" t="inlineStr"/>
      <c r="CC584" t="inlineStr"/>
      <c r="CD584" t="inlineStr"/>
      <c r="CE584" t="inlineStr"/>
      <c r="CF584" t="inlineStr"/>
      <c r="CG584" t="inlineStr"/>
      <c r="CH584" t="inlineStr"/>
      <c r="CI584" t="inlineStr"/>
      <c r="CJ584" t="inlineStr"/>
      <c r="CK584" t="inlineStr"/>
      <c r="CL584" t="inlineStr"/>
      <c r="CM584" t="inlineStr"/>
      <c r="CN584" t="inlineStr"/>
      <c r="CO584" t="inlineStr"/>
      <c r="CP584" t="inlineStr"/>
      <c r="CQ584" t="inlineStr"/>
      <c r="CR584" t="inlineStr"/>
      <c r="CS584" t="inlineStr"/>
      <c r="CT584" t="inlineStr"/>
      <c r="CU584" t="inlineStr"/>
      <c r="CV584" t="inlineStr"/>
      <c r="CW584" t="inlineStr"/>
      <c r="CX584" t="inlineStr"/>
      <c r="CY584" t="inlineStr"/>
      <c r="CZ584" t="inlineStr"/>
      <c r="DA584" t="inlineStr"/>
      <c r="DB584" t="inlineStr"/>
      <c r="DC584" t="inlineStr"/>
      <c r="DD584" t="inlineStr"/>
      <c r="DE584" t="inlineStr"/>
      <c r="DF584" t="inlineStr"/>
      <c r="DG584" t="inlineStr"/>
    </row>
    <row r="585">
      <c r="A585" t="inlineStr">
        <is>
          <t>III</t>
        </is>
      </c>
      <c r="B585" t="b">
        <v>1</v>
      </c>
      <c r="C585" t="inlineStr"/>
      <c r="D585" t="inlineStr"/>
      <c r="E585" t="n">
        <v>658</v>
      </c>
      <c r="F585">
        <f>HYPERLINK("https://portal.dnb.de/opac.htm?method=simpleSearch&amp;cqlMode=true&amp;query=idn%3D1066457662", "Portal")</f>
        <v/>
      </c>
      <c r="G585" t="inlineStr">
        <is>
          <t>Aaf</t>
        </is>
      </c>
      <c r="H585" t="inlineStr">
        <is>
          <t>L-1549-314709657</t>
        </is>
      </c>
      <c r="I585" t="inlineStr">
        <is>
          <t>1066457662</t>
        </is>
      </c>
      <c r="J585" t="inlineStr">
        <is>
          <t>III 60, 107</t>
        </is>
      </c>
      <c r="K585" t="inlineStr">
        <is>
          <t>III 60, 107</t>
        </is>
      </c>
      <c r="L585" t="inlineStr">
        <is>
          <t>III 60, 107</t>
        </is>
      </c>
      <c r="M585" t="inlineStr"/>
      <c r="N585" t="inlineStr">
        <is>
          <t>HISTORIAE HVSSITARVM|| LIBRI DVODECIM|| PER IOANNEM COCHLAEVM, ARTIVM|| AC SACRAE THEOLOGIAE MAGISTRVM, CANONICVM|| Vratislauiensem ... collecti ex ua</t>
        </is>
      </c>
      <c r="O585" t="inlineStr">
        <is>
          <t xml:space="preserve"> : </t>
        </is>
      </c>
      <c r="P585" t="inlineStr"/>
      <c r="Q585" t="inlineStr"/>
      <c r="R585" t="inlineStr"/>
      <c r="S585" t="inlineStr"/>
      <c r="T585" t="inlineStr"/>
      <c r="U585" t="inlineStr"/>
      <c r="V585" t="inlineStr"/>
      <c r="W585" t="inlineStr"/>
      <c r="X585" t="inlineStr"/>
      <c r="Y585" t="inlineStr"/>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c r="BH585" t="inlineStr"/>
      <c r="BI585" t="inlineStr"/>
      <c r="BJ585" t="inlineStr"/>
      <c r="BK585" t="inlineStr"/>
      <c r="BL585" t="inlineStr"/>
      <c r="BM585" t="inlineStr"/>
      <c r="BN585" t="n">
        <v>0</v>
      </c>
      <c r="BO585" t="inlineStr"/>
      <c r="BP585" t="inlineStr"/>
      <c r="BQ585" t="inlineStr"/>
      <c r="BR585" t="inlineStr"/>
      <c r="BS585" t="inlineStr"/>
      <c r="BT585" t="inlineStr"/>
      <c r="BU585" t="inlineStr"/>
      <c r="BV585" t="inlineStr"/>
      <c r="BW585" t="inlineStr"/>
      <c r="BX585" t="inlineStr"/>
      <c r="BY585" t="inlineStr"/>
      <c r="BZ585" t="inlineStr"/>
      <c r="CA585" t="inlineStr"/>
      <c r="CB585" t="inlineStr"/>
      <c r="CC585" t="inlineStr"/>
      <c r="CD585" t="inlineStr"/>
      <c r="CE585" t="inlineStr"/>
      <c r="CF585" t="inlineStr"/>
      <c r="CG585" t="inlineStr"/>
      <c r="CH585" t="inlineStr"/>
      <c r="CI585" t="inlineStr"/>
      <c r="CJ585" t="inlineStr"/>
      <c r="CK585" t="inlineStr"/>
      <c r="CL585" t="inlineStr"/>
      <c r="CM585" t="inlineStr"/>
      <c r="CN585" t="inlineStr"/>
      <c r="CO585" t="inlineStr"/>
      <c r="CP585" t="inlineStr"/>
      <c r="CQ585" t="inlineStr"/>
      <c r="CR585" t="inlineStr"/>
      <c r="CS585" t="inlineStr"/>
      <c r="CT585" t="inlineStr"/>
      <c r="CU585" t="inlineStr"/>
      <c r="CV585" t="inlineStr"/>
      <c r="CW585" t="inlineStr"/>
      <c r="CX585" t="inlineStr"/>
      <c r="CY585" t="inlineStr"/>
      <c r="CZ585" t="inlineStr"/>
      <c r="DA585" t="inlineStr"/>
      <c r="DB585" t="inlineStr"/>
      <c r="DC585" t="inlineStr"/>
      <c r="DD585" t="inlineStr"/>
      <c r="DE585" t="inlineStr"/>
      <c r="DF585" t="inlineStr"/>
      <c r="DG585" t="inlineStr"/>
    </row>
    <row r="586">
      <c r="A586" t="inlineStr">
        <is>
          <t>III</t>
        </is>
      </c>
      <c r="B586" t="b">
        <v>1</v>
      </c>
      <c r="C586" t="inlineStr"/>
      <c r="D586" t="inlineStr"/>
      <c r="E586" t="n">
        <v>659</v>
      </c>
      <c r="F586">
        <f>HYPERLINK("https://portal.dnb.de/opac.htm?method=simpleSearch&amp;cqlMode=true&amp;query=idn%3D1066963096", "Portal")</f>
        <v/>
      </c>
      <c r="G586" t="inlineStr">
        <is>
          <t>Aaf</t>
        </is>
      </c>
      <c r="H586" t="inlineStr">
        <is>
          <t>L-1550-315493372</t>
        </is>
      </c>
      <c r="I586" t="inlineStr">
        <is>
          <t>1066963096</t>
        </is>
      </c>
      <c r="J586" t="inlineStr">
        <is>
          <t>III 60, 108</t>
        </is>
      </c>
      <c r="K586" t="inlineStr">
        <is>
          <t>III 60, 108</t>
        </is>
      </c>
      <c r="L586" t="inlineStr">
        <is>
          <t>III 60, 108</t>
        </is>
      </c>
      <c r="M586" t="inlineStr"/>
      <c r="N586" t="inlineStr">
        <is>
          <t xml:space="preserve"> IN ECCLESIA||STEN SALOMONIS ANNO-||TATIONES, PIAE ET ERVDITAE, EX VARIIS : </t>
        </is>
      </c>
      <c r="O586" t="inlineStr">
        <is>
          <t xml:space="preserve"> : </t>
        </is>
      </c>
      <c r="P586" t="inlineStr"/>
      <c r="Q586" t="inlineStr"/>
      <c r="R586" t="inlineStr"/>
      <c r="S586" t="inlineStr"/>
      <c r="T586" t="inlineStr"/>
      <c r="U586" t="inlineStr"/>
      <c r="V586" t="inlineStr"/>
      <c r="W586" t="inlineStr"/>
      <c r="X586" t="inlineStr"/>
      <c r="Y586" t="inlineStr"/>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inlineStr"/>
      <c r="BI586" t="inlineStr"/>
      <c r="BJ586" t="inlineStr"/>
      <c r="BK586" t="inlineStr"/>
      <c r="BL586" t="inlineStr"/>
      <c r="BM586" t="inlineStr"/>
      <c r="BN586" t="n">
        <v>0</v>
      </c>
      <c r="BO586" t="inlineStr"/>
      <c r="BP586" t="inlineStr"/>
      <c r="BQ586" t="inlineStr"/>
      <c r="BR586" t="inlineStr"/>
      <c r="BS586" t="inlineStr"/>
      <c r="BT586" t="inlineStr"/>
      <c r="BU586" t="inlineStr"/>
      <c r="BV586" t="inlineStr"/>
      <c r="BW586" t="inlineStr"/>
      <c r="BX586" t="inlineStr"/>
      <c r="BY586" t="inlineStr"/>
      <c r="BZ586" t="inlineStr"/>
      <c r="CA586" t="inlineStr"/>
      <c r="CB586" t="inlineStr"/>
      <c r="CC586" t="inlineStr"/>
      <c r="CD586" t="inlineStr"/>
      <c r="CE586" t="inlineStr"/>
      <c r="CF586" t="inlineStr"/>
      <c r="CG586" t="inlineStr"/>
      <c r="CH586" t="inlineStr"/>
      <c r="CI586" t="inlineStr"/>
      <c r="CJ586" t="inlineStr"/>
      <c r="CK586" t="inlineStr"/>
      <c r="CL586" t="inlineStr"/>
      <c r="CM586" t="inlineStr"/>
      <c r="CN586" t="inlineStr"/>
      <c r="CO586" t="inlineStr"/>
      <c r="CP586" t="inlineStr"/>
      <c r="CQ586" t="inlineStr"/>
      <c r="CR586" t="inlineStr"/>
      <c r="CS586" t="inlineStr"/>
      <c r="CT586" t="inlineStr"/>
      <c r="CU586" t="inlineStr"/>
      <c r="CV586" t="inlineStr"/>
      <c r="CW586" t="inlineStr"/>
      <c r="CX586" t="inlineStr"/>
      <c r="CY586" t="inlineStr"/>
      <c r="CZ586" t="inlineStr"/>
      <c r="DA586" t="inlineStr"/>
      <c r="DB586" t="inlineStr"/>
      <c r="DC586" t="inlineStr"/>
      <c r="DD586" t="inlineStr"/>
      <c r="DE586" t="inlineStr"/>
      <c r="DF586" t="inlineStr"/>
      <c r="DG586" t="inlineStr"/>
    </row>
    <row r="587">
      <c r="A587" t="inlineStr">
        <is>
          <t>III</t>
        </is>
      </c>
      <c r="B587" t="b">
        <v>1</v>
      </c>
      <c r="C587" t="inlineStr"/>
      <c r="D587" t="inlineStr"/>
      <c r="E587" t="n">
        <v>1204</v>
      </c>
      <c r="F587">
        <f>HYPERLINK("https://portal.dnb.de/opac.htm?method=simpleSearch&amp;cqlMode=true&amp;query=idn%3D1066964394", "Portal")</f>
        <v/>
      </c>
      <c r="G587" t="inlineStr">
        <is>
          <t>Aaf</t>
        </is>
      </c>
      <c r="H587" t="inlineStr">
        <is>
          <t>L-1520-31549462X</t>
        </is>
      </c>
      <c r="I587" t="inlineStr">
        <is>
          <t>1066964394</t>
        </is>
      </c>
      <c r="J587" t="inlineStr">
        <is>
          <t>III 61 A, 1</t>
        </is>
      </c>
      <c r="K587" t="inlineStr">
        <is>
          <t>III 61 A, 1</t>
        </is>
      </c>
      <c r="L587" t="inlineStr">
        <is>
          <t>III 61 A, 1</t>
        </is>
      </c>
      <c r="M587" t="inlineStr">
        <is>
          <t>Signaturschild ist mit kleinem "a" beschriftet</t>
        </is>
      </c>
      <c r="N587" t="inlineStr">
        <is>
          <t>(Breuiarius denuo reuisus et|| emendatus Ceremonias: Ritum canendi: legendi ...|| cńsuetudines in choro insignis et ingenue|| Misneñ. Ecclesie obserud</t>
        </is>
      </c>
      <c r="O587" t="inlineStr">
        <is>
          <t xml:space="preserve"> : </t>
        </is>
      </c>
      <c r="P587" t="inlineStr"/>
      <c r="Q587" t="inlineStr"/>
      <c r="R587" t="inlineStr"/>
      <c r="S587" t="inlineStr">
        <is>
          <t>bis 25 cm</t>
        </is>
      </c>
      <c r="T587" t="inlineStr"/>
      <c r="U587" t="inlineStr"/>
      <c r="V587" t="inlineStr"/>
      <c r="W587" t="inlineStr"/>
      <c r="X587" t="inlineStr"/>
      <c r="Y587" t="inlineStr"/>
      <c r="Z587" t="inlineStr"/>
      <c r="AA587" t="inlineStr"/>
      <c r="AB587" t="inlineStr"/>
      <c r="AC587" t="inlineStr"/>
      <c r="AD587" t="inlineStr"/>
      <c r="AE587" t="inlineStr"/>
      <c r="AF587" t="inlineStr"/>
      <c r="AG587" t="inlineStr"/>
      <c r="AH587" t="inlineStr"/>
      <c r="AI587" t="inlineStr">
        <is>
          <t>L</t>
        </is>
      </c>
      <c r="AJ587" t="inlineStr"/>
      <c r="AK587" t="inlineStr"/>
      <c r="AL587" t="inlineStr">
        <is>
          <t>x</t>
        </is>
      </c>
      <c r="AM587" t="inlineStr">
        <is>
          <t>f</t>
        </is>
      </c>
      <c r="AN587" t="inlineStr"/>
      <c r="AO587" t="inlineStr"/>
      <c r="AP587" t="inlineStr"/>
      <c r="AQ587" t="inlineStr"/>
      <c r="AR587" t="inlineStr"/>
      <c r="AS587" t="inlineStr">
        <is>
          <t>Pa</t>
        </is>
      </c>
      <c r="AT587" t="inlineStr"/>
      <c r="AU587" t="inlineStr"/>
      <c r="AV587" t="inlineStr"/>
      <c r="AW587" t="inlineStr"/>
      <c r="AX587" t="inlineStr"/>
      <c r="AY587" t="inlineStr"/>
      <c r="AZ587" t="inlineStr"/>
      <c r="BA587" t="inlineStr"/>
      <c r="BB587" t="inlineStr"/>
      <c r="BC587" t="inlineStr"/>
      <c r="BD587" t="inlineStr"/>
      <c r="BE587" t="inlineStr"/>
      <c r="BF587" t="inlineStr"/>
      <c r="BG587" t="n">
        <v>110</v>
      </c>
      <c r="BH587" t="inlineStr"/>
      <c r="BI587" t="inlineStr"/>
      <c r="BJ587" t="inlineStr"/>
      <c r="BK587" t="inlineStr"/>
      <c r="BL587" t="inlineStr"/>
      <c r="BM587" t="inlineStr">
        <is>
          <t>n</t>
        </is>
      </c>
      <c r="BN587" t="n">
        <v>0</v>
      </c>
      <c r="BO587" t="inlineStr"/>
      <c r="BP587" t="inlineStr">
        <is>
          <t>Gewebe</t>
        </is>
      </c>
      <c r="BQ587" t="inlineStr"/>
      <c r="BR587" t="inlineStr"/>
      <c r="BS587" t="inlineStr"/>
      <c r="BT587" t="inlineStr"/>
      <c r="BU587" t="inlineStr"/>
      <c r="BV587" t="inlineStr"/>
      <c r="BW587" t="inlineStr">
        <is>
          <t>x 110</t>
        </is>
      </c>
      <c r="BX587" t="inlineStr">
        <is>
          <t xml:space="preserve">
durch Rest. leichter! Bauch, sonst unkompliziert</t>
        </is>
      </c>
      <c r="BY587" t="inlineStr"/>
      <c r="BZ587" t="inlineStr"/>
      <c r="CA587" t="inlineStr"/>
      <c r="CB587" t="inlineStr"/>
      <c r="CC587" t="inlineStr"/>
      <c r="CD587" t="inlineStr"/>
      <c r="CE587" t="inlineStr"/>
      <c r="CF587" t="inlineStr"/>
      <c r="CG587" t="inlineStr"/>
      <c r="CH587" t="inlineStr"/>
      <c r="CI587" t="inlineStr"/>
      <c r="CJ587" t="inlineStr"/>
      <c r="CK587" t="inlineStr"/>
      <c r="CL587" t="inlineStr"/>
      <c r="CM587" t="inlineStr"/>
      <c r="CN587" t="inlineStr"/>
      <c r="CO587" t="inlineStr"/>
      <c r="CP587" t="inlineStr"/>
      <c r="CQ587" t="inlineStr"/>
      <c r="CR587" t="inlineStr"/>
      <c r="CS587" t="inlineStr"/>
      <c r="CT587" t="inlineStr"/>
      <c r="CU587" t="inlineStr"/>
      <c r="CV587" t="inlineStr"/>
      <c r="CW587" t="inlineStr"/>
      <c r="CX587" t="inlineStr"/>
      <c r="CY587" t="inlineStr"/>
      <c r="CZ587" t="inlineStr"/>
      <c r="DA587" t="inlineStr"/>
      <c r="DB587" t="inlineStr"/>
      <c r="DC587" t="inlineStr"/>
      <c r="DD587" t="inlineStr"/>
      <c r="DE587" t="inlineStr"/>
      <c r="DF587" t="inlineStr"/>
      <c r="DG587" t="inlineStr"/>
    </row>
    <row r="588">
      <c r="A588" t="inlineStr">
        <is>
          <t>III</t>
        </is>
      </c>
      <c r="B588" t="b">
        <v>1</v>
      </c>
      <c r="C588" t="inlineStr"/>
      <c r="D588" t="inlineStr"/>
      <c r="E588" t="n">
        <v>668</v>
      </c>
      <c r="F588">
        <f>HYPERLINK("https://portal.dnb.de/opac.htm?method=simpleSearch&amp;cqlMode=true&amp;query=idn%3D1066958645", "Portal")</f>
        <v/>
      </c>
      <c r="G588" t="inlineStr">
        <is>
          <t>Aaf</t>
        </is>
      </c>
      <c r="H588" t="inlineStr">
        <is>
          <t>L-1541-315489251</t>
        </is>
      </c>
      <c r="I588" t="inlineStr">
        <is>
          <t>1066958645</t>
        </is>
      </c>
      <c r="J588" t="inlineStr">
        <is>
          <t>III 61, 1</t>
        </is>
      </c>
      <c r="K588" t="inlineStr">
        <is>
          <t>III 61, 1</t>
        </is>
      </c>
      <c r="L588" t="inlineStr">
        <is>
          <t>III 61, 1</t>
        </is>
      </c>
      <c r="M588" t="inlineStr"/>
      <c r="N588" t="inlineStr">
        <is>
          <t xml:space="preserve">Wider Hans|| Worst.|| D. Martinus|| Luther.|| : </t>
        </is>
      </c>
      <c r="O588" t="inlineStr">
        <is>
          <t xml:space="preserve"> : </t>
        </is>
      </c>
      <c r="P588" t="inlineStr">
        <is>
          <t>X</t>
        </is>
      </c>
      <c r="Q588" t="inlineStr"/>
      <c r="R588" t="inlineStr">
        <is>
          <t>Papier- oder Pappeinband</t>
        </is>
      </c>
      <c r="S588" t="inlineStr">
        <is>
          <t>bis 25 cm</t>
        </is>
      </c>
      <c r="T588" t="inlineStr">
        <is>
          <t>180°</t>
        </is>
      </c>
      <c r="U588" t="inlineStr"/>
      <c r="V588" t="inlineStr"/>
      <c r="W588" t="inlineStr"/>
      <c r="X588" t="inlineStr"/>
      <c r="Y588" t="n">
        <v>0</v>
      </c>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inlineStr"/>
      <c r="BI588" t="inlineStr"/>
      <c r="BJ588" t="inlineStr"/>
      <c r="BK588" t="inlineStr"/>
      <c r="BL588" t="inlineStr"/>
      <c r="BM588" t="inlineStr"/>
      <c r="BN588" t="n">
        <v>0</v>
      </c>
      <c r="BO588" t="inlineStr"/>
      <c r="BP588" t="inlineStr"/>
      <c r="BQ588" t="inlineStr"/>
      <c r="BR588" t="inlineStr"/>
      <c r="BS588" t="inlineStr"/>
      <c r="BT588" t="inlineStr"/>
      <c r="BU588" t="inlineStr"/>
      <c r="BV588" t="inlineStr"/>
      <c r="BW588" t="inlineStr"/>
      <c r="BX588" t="inlineStr"/>
      <c r="BY588" t="inlineStr"/>
      <c r="BZ588" t="inlineStr"/>
      <c r="CA588" t="inlineStr"/>
      <c r="CB588" t="inlineStr"/>
      <c r="CC588" t="inlineStr"/>
      <c r="CD588" t="inlineStr"/>
      <c r="CE588" t="inlineStr"/>
      <c r="CF588" t="inlineStr"/>
      <c r="CG588" t="inlineStr"/>
      <c r="CH588" t="inlineStr"/>
      <c r="CI588" t="inlineStr"/>
      <c r="CJ588" t="inlineStr"/>
      <c r="CK588" t="inlineStr"/>
      <c r="CL588" t="inlineStr"/>
      <c r="CM588" t="inlineStr"/>
      <c r="CN588" t="inlineStr"/>
      <c r="CO588" t="inlineStr"/>
      <c r="CP588" t="inlineStr"/>
      <c r="CQ588" t="inlineStr"/>
      <c r="CR588" t="inlineStr"/>
      <c r="CS588" t="inlineStr"/>
      <c r="CT588" t="inlineStr"/>
      <c r="CU588" t="inlineStr"/>
      <c r="CV588" t="inlineStr"/>
      <c r="CW588" t="inlineStr"/>
      <c r="CX588" t="inlineStr"/>
      <c r="CY588" t="inlineStr"/>
      <c r="CZ588" t="inlineStr"/>
      <c r="DA588" t="inlineStr"/>
      <c r="DB588" t="inlineStr"/>
      <c r="DC588" t="inlineStr"/>
      <c r="DD588" t="inlineStr"/>
      <c r="DE588" t="inlineStr"/>
      <c r="DF588" t="inlineStr"/>
      <c r="DG588" t="inlineStr"/>
    </row>
    <row r="589">
      <c r="A589" t="inlineStr">
        <is>
          <t>III</t>
        </is>
      </c>
      <c r="B589" t="b">
        <v>1</v>
      </c>
      <c r="C589" t="inlineStr"/>
      <c r="D589" t="inlineStr"/>
      <c r="E589" t="n">
        <v>669</v>
      </c>
      <c r="F589">
        <f>HYPERLINK("https://portal.dnb.de/opac.htm?method=simpleSearch&amp;cqlMode=true&amp;query=idn%3D994152264", "Portal")</f>
        <v/>
      </c>
      <c r="G589" t="inlineStr">
        <is>
          <t>Aal</t>
        </is>
      </c>
      <c r="H589" t="inlineStr">
        <is>
          <t>L-1504-154630012</t>
        </is>
      </c>
      <c r="I589" t="inlineStr">
        <is>
          <t>994152264</t>
        </is>
      </c>
      <c r="J589" t="inlineStr">
        <is>
          <t>III 62, 1</t>
        </is>
      </c>
      <c r="K589" t="inlineStr">
        <is>
          <t>III 62, 1</t>
        </is>
      </c>
      <c r="L589" t="inlineStr">
        <is>
          <t>III 62, 1</t>
        </is>
      </c>
      <c r="M589" t="inlineStr"/>
      <c r="N589" t="inlineStr">
        <is>
          <t xml:space="preserve">Incipit Epistola beati Bern=||ardi ad Raimundum nepotē||suum De cura et modo rei fami||liaris vtilius gubernando : </t>
        </is>
      </c>
      <c r="O589" t="inlineStr">
        <is>
          <t xml:space="preserve"> : </t>
        </is>
      </c>
      <c r="P589" t="inlineStr"/>
      <c r="Q589" t="inlineStr"/>
      <c r="R589" t="inlineStr"/>
      <c r="S589" t="inlineStr"/>
      <c r="T589" t="inlineStr"/>
      <c r="U589" t="inlineStr"/>
      <c r="V589" t="inlineStr"/>
      <c r="W589" t="inlineStr"/>
      <c r="X589" t="inlineStr"/>
      <c r="Y589" t="inlineStr"/>
      <c r="Z589" t="inlineStr"/>
      <c r="AA589" t="inlineStr"/>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inlineStr"/>
      <c r="BI589" t="inlineStr"/>
      <c r="BJ589" t="inlineStr"/>
      <c r="BK589" t="inlineStr"/>
      <c r="BL589" t="inlineStr"/>
      <c r="BM589" t="inlineStr"/>
      <c r="BN589" t="n">
        <v>0</v>
      </c>
      <c r="BO589" t="inlineStr"/>
      <c r="BP589" t="inlineStr"/>
      <c r="BQ589" t="inlineStr"/>
      <c r="BR589" t="inlineStr"/>
      <c r="BS589" t="inlineStr"/>
      <c r="BT589" t="inlineStr"/>
      <c r="BU589" t="inlineStr"/>
      <c r="BV589" t="inlineStr"/>
      <c r="BW589" t="inlineStr"/>
      <c r="BX589" t="inlineStr"/>
      <c r="BY589" t="inlineStr"/>
      <c r="BZ589" t="inlineStr"/>
      <c r="CA589" t="inlineStr"/>
      <c r="CB589" t="inlineStr"/>
      <c r="CC589" t="inlineStr"/>
      <c r="CD589" t="inlineStr"/>
      <c r="CE589" t="inlineStr"/>
      <c r="CF589" t="inlineStr"/>
      <c r="CG589" t="inlineStr"/>
      <c r="CH589" t="inlineStr"/>
      <c r="CI589" t="inlineStr"/>
      <c r="CJ589" t="inlineStr"/>
      <c r="CK589" t="inlineStr"/>
      <c r="CL589" t="inlineStr"/>
      <c r="CM589" t="inlineStr"/>
      <c r="CN589" t="inlineStr"/>
      <c r="CO589" t="inlineStr"/>
      <c r="CP589" t="inlineStr"/>
      <c r="CQ589" t="inlineStr"/>
      <c r="CR589" t="inlineStr"/>
      <c r="CS589" t="inlineStr"/>
      <c r="CT589" t="inlineStr"/>
      <c r="CU589" t="inlineStr"/>
      <c r="CV589" t="inlineStr"/>
      <c r="CW589" t="inlineStr"/>
      <c r="CX589" t="inlineStr"/>
      <c r="CY589" t="inlineStr"/>
      <c r="CZ589" t="inlineStr"/>
      <c r="DA589" t="inlineStr"/>
      <c r="DB589" t="inlineStr"/>
      <c r="DC589" t="inlineStr"/>
      <c r="DD589" t="inlineStr"/>
      <c r="DE589" t="inlineStr"/>
      <c r="DF589" t="inlineStr"/>
      <c r="DG589" t="inlineStr"/>
    </row>
    <row r="590">
      <c r="A590" t="inlineStr">
        <is>
          <t>III</t>
        </is>
      </c>
      <c r="B590" t="b">
        <v>1</v>
      </c>
      <c r="C590" t="inlineStr">
        <is>
          <t>x</t>
        </is>
      </c>
      <c r="D590" t="inlineStr"/>
      <c r="E590" t="n">
        <v>670</v>
      </c>
      <c r="F590">
        <f>HYPERLINK("https://portal.dnb.de/opac.htm?method=simpleSearch&amp;cqlMode=true&amp;query=idn%3D1066834997", "Portal")</f>
        <v/>
      </c>
      <c r="G590" t="inlineStr">
        <is>
          <t>Aaf</t>
        </is>
      </c>
      <c r="H590" t="inlineStr">
        <is>
          <t>L-1520-315294949</t>
        </is>
      </c>
      <c r="I590" t="inlineStr">
        <is>
          <t>1066834997</t>
        </is>
      </c>
      <c r="J590" t="inlineStr">
        <is>
          <t>III 62, 2</t>
        </is>
      </c>
      <c r="K590" t="inlineStr">
        <is>
          <t>III 62, 2</t>
        </is>
      </c>
      <c r="L590" t="inlineStr">
        <is>
          <t>III 62, 2</t>
        </is>
      </c>
      <c r="M590" t="inlineStr"/>
      <c r="N590" t="inlineStr">
        <is>
          <t xml:space="preserve">Das @büech der gemeinen land=||pot. Landsordnüng. Satzüng.|| vnd Gebreüch. des fürstenn=||thumbs in Obern vnd Nidern|| Bairn. Jm funftzehnhundert vnd </t>
        </is>
      </c>
      <c r="O590" t="inlineStr">
        <is>
          <t xml:space="preserve"> : </t>
        </is>
      </c>
      <c r="P590" t="inlineStr"/>
      <c r="Q590" t="inlineStr"/>
      <c r="R590" t="inlineStr"/>
      <c r="S590" t="inlineStr">
        <is>
          <t>bis 35 cm</t>
        </is>
      </c>
      <c r="T590" t="inlineStr"/>
      <c r="U590" t="inlineStr"/>
      <c r="V590" t="inlineStr"/>
      <c r="W590" t="inlineStr"/>
      <c r="X590" t="inlineStr"/>
      <c r="Y590" t="inlineStr"/>
      <c r="Z590" t="inlineStr"/>
      <c r="AA590" t="inlineStr"/>
      <c r="AB590" t="inlineStr"/>
      <c r="AC590" t="inlineStr"/>
      <c r="AD590" t="inlineStr"/>
      <c r="AE590" t="inlineStr"/>
      <c r="AF590" t="inlineStr"/>
      <c r="AG590" t="inlineStr"/>
      <c r="AH590" t="inlineStr"/>
      <c r="AI590" t="inlineStr">
        <is>
          <t>HL</t>
        </is>
      </c>
      <c r="AJ590" t="inlineStr"/>
      <c r="AK590" t="inlineStr">
        <is>
          <t>x</t>
        </is>
      </c>
      <c r="AL590" t="inlineStr"/>
      <c r="AM590" t="inlineStr">
        <is>
          <t>f/V</t>
        </is>
      </c>
      <c r="AN590" t="inlineStr"/>
      <c r="AO590" t="inlineStr"/>
      <c r="AP590" t="inlineStr"/>
      <c r="AQ590" t="inlineStr"/>
      <c r="AR590" t="inlineStr"/>
      <c r="AS590" t="inlineStr">
        <is>
          <t>Pa</t>
        </is>
      </c>
      <c r="AT590" t="inlineStr"/>
      <c r="AU590" t="inlineStr"/>
      <c r="AV590" t="inlineStr"/>
      <c r="AW590" t="inlineStr"/>
      <c r="AX590" t="inlineStr"/>
      <c r="AY590" t="inlineStr"/>
      <c r="AZ590" t="inlineStr"/>
      <c r="BA590" t="inlineStr"/>
      <c r="BB590" t="inlineStr"/>
      <c r="BC590" t="inlineStr"/>
      <c r="BD590" t="inlineStr"/>
      <c r="BE590" t="inlineStr"/>
      <c r="BF590" t="inlineStr"/>
      <c r="BG590" t="n">
        <v>110</v>
      </c>
      <c r="BH590" t="inlineStr"/>
      <c r="BI590" t="inlineStr"/>
      <c r="BJ590" t="inlineStr"/>
      <c r="BK590" t="inlineStr"/>
      <c r="BL590" t="inlineStr"/>
      <c r="BM590" t="inlineStr">
        <is>
          <t>ja vor</t>
        </is>
      </c>
      <c r="BN590" t="n">
        <v>0.5</v>
      </c>
      <c r="BO590" t="inlineStr"/>
      <c r="BP590" t="inlineStr"/>
      <c r="BQ590" t="inlineStr"/>
      <c r="BR590" t="inlineStr">
        <is>
          <t>x</t>
        </is>
      </c>
      <c r="BS590" t="inlineStr"/>
      <c r="BT590" t="inlineStr"/>
      <c r="BU590" t="inlineStr"/>
      <c r="BV590" t="inlineStr"/>
      <c r="BW590" t="inlineStr"/>
      <c r="BX590" t="inlineStr"/>
      <c r="BY590" t="inlineStr"/>
      <c r="BZ590" t="inlineStr">
        <is>
          <t>x</t>
        </is>
      </c>
      <c r="CA590" t="inlineStr">
        <is>
          <t>x</t>
        </is>
      </c>
      <c r="CB590" t="inlineStr">
        <is>
          <t>x</t>
        </is>
      </c>
      <c r="CC590" t="inlineStr"/>
      <c r="CD590" t="inlineStr"/>
      <c r="CE590" t="inlineStr"/>
      <c r="CF590" t="inlineStr"/>
      <c r="CG590" t="inlineStr"/>
      <c r="CH590" t="inlineStr"/>
      <c r="CI590" t="inlineStr"/>
      <c r="CJ590" t="inlineStr"/>
      <c r="CK590" t="inlineStr"/>
      <c r="CL590" t="inlineStr"/>
      <c r="CM590" t="n">
        <v>0.5</v>
      </c>
      <c r="CN590" t="inlineStr"/>
      <c r="CO590" t="inlineStr"/>
      <c r="CP590" t="inlineStr"/>
      <c r="CQ590" t="inlineStr"/>
      <c r="CR590" t="inlineStr"/>
      <c r="CS590" t="inlineStr"/>
      <c r="CT590" t="inlineStr"/>
      <c r="CU590" t="inlineStr"/>
      <c r="CV590" t="inlineStr"/>
      <c r="CW590" t="inlineStr"/>
      <c r="CX590" t="inlineStr"/>
      <c r="CY590" t="inlineStr"/>
      <c r="CZ590" t="inlineStr"/>
      <c r="DA590" t="inlineStr"/>
      <c r="DB590" t="inlineStr"/>
      <c r="DC590" t="inlineStr"/>
      <c r="DD590" t="inlineStr"/>
      <c r="DE590" t="inlineStr"/>
      <c r="DF590" t="inlineStr"/>
      <c r="DG590" t="inlineStr"/>
    </row>
    <row r="591">
      <c r="A591" t="inlineStr">
        <is>
          <t>III</t>
        </is>
      </c>
      <c r="B591" t="b">
        <v>1</v>
      </c>
      <c r="C591" t="inlineStr"/>
      <c r="D591" t="inlineStr"/>
      <c r="E591" t="n">
        <v>671</v>
      </c>
      <c r="F591">
        <f>HYPERLINK("https://portal.dnb.de/opac.htm?method=simpleSearch&amp;cqlMode=true&amp;query=idn%3D1066961344", "Portal")</f>
        <v/>
      </c>
      <c r="G591" t="inlineStr">
        <is>
          <t>Aaf</t>
        </is>
      </c>
      <c r="H591" t="inlineStr">
        <is>
          <t>L-1528-315491752</t>
        </is>
      </c>
      <c r="I591" t="inlineStr">
        <is>
          <t>1066961344</t>
        </is>
      </c>
      <c r="J591" t="inlineStr">
        <is>
          <t>III 62, 3</t>
        </is>
      </c>
      <c r="K591" t="inlineStr">
        <is>
          <t>III 62, 3</t>
        </is>
      </c>
      <c r="L591" t="inlineStr">
        <is>
          <t>III 62, 3</t>
        </is>
      </c>
      <c r="M591" t="inlineStr"/>
      <c r="N591" t="inlineStr">
        <is>
          <t xml:space="preserve">Tewtsche : </t>
        </is>
      </c>
      <c r="O591" t="inlineStr">
        <is>
          <t xml:space="preserve"> : </t>
        </is>
      </c>
      <c r="P591" t="inlineStr"/>
      <c r="Q591" t="inlineStr"/>
      <c r="R591" t="inlineStr">
        <is>
          <t>Pergamentband</t>
        </is>
      </c>
      <c r="S591" t="inlineStr">
        <is>
          <t>bis 35 cm</t>
        </is>
      </c>
      <c r="T591" t="inlineStr">
        <is>
          <t>180°</t>
        </is>
      </c>
      <c r="U591" t="inlineStr">
        <is>
          <t>Einband mit Schutz- oder Stoßkanten</t>
        </is>
      </c>
      <c r="V591" t="inlineStr"/>
      <c r="W591" t="inlineStr">
        <is>
          <t>Kassette</t>
        </is>
      </c>
      <c r="X591" t="inlineStr">
        <is>
          <t>Nein</t>
        </is>
      </c>
      <c r="Y591" t="n">
        <v>0</v>
      </c>
      <c r="Z591" t="inlineStr"/>
      <c r="AA591" t="inlineStr"/>
      <c r="AB591" t="inlineStr"/>
      <c r="AC591" t="inlineStr"/>
      <c r="AD591" t="inlineStr"/>
      <c r="AE591" t="inlineStr"/>
      <c r="AF591" t="inlineStr"/>
      <c r="AG591" t="inlineStr"/>
      <c r="AH591" t="inlineStr"/>
      <c r="AI591" t="inlineStr"/>
      <c r="AJ591" t="inlineStr"/>
      <c r="AK591" t="inlineStr"/>
      <c r="AL591" t="inlineStr"/>
      <c r="AM591" t="inlineStr"/>
      <c r="AN591" t="inlineStr"/>
      <c r="AO591" t="inlineStr"/>
      <c r="AP591" t="inlineStr"/>
      <c r="AQ591" t="inlineStr"/>
      <c r="AR591" t="inlineStr"/>
      <c r="AS591" t="inlineStr"/>
      <c r="AT591" t="inlineStr"/>
      <c r="AU591" t="inlineStr"/>
      <c r="AV591" t="inlineStr"/>
      <c r="AW591" t="inlineStr"/>
      <c r="AX591" t="inlineStr"/>
      <c r="AY591" t="inlineStr"/>
      <c r="AZ591" t="inlineStr"/>
      <c r="BA591" t="inlineStr"/>
      <c r="BB591" t="inlineStr"/>
      <c r="BC591" t="inlineStr"/>
      <c r="BD591" t="inlineStr"/>
      <c r="BE591" t="inlineStr"/>
      <c r="BF591" t="inlineStr"/>
      <c r="BG591" t="inlineStr"/>
      <c r="BH591" t="inlineStr"/>
      <c r="BI591" t="inlineStr"/>
      <c r="BJ591" t="inlineStr"/>
      <c r="BK591" t="inlineStr"/>
      <c r="BL591" t="inlineStr"/>
      <c r="BM591" t="inlineStr"/>
      <c r="BN591" t="n">
        <v>0</v>
      </c>
      <c r="BO591" t="inlineStr"/>
      <c r="BP591" t="inlineStr"/>
      <c r="BQ591" t="inlineStr"/>
      <c r="BR591" t="inlineStr"/>
      <c r="BS591" t="inlineStr"/>
      <c r="BT591" t="inlineStr"/>
      <c r="BU591" t="inlineStr"/>
      <c r="BV591" t="inlineStr"/>
      <c r="BW591" t="inlineStr"/>
      <c r="BX591" t="inlineStr"/>
      <c r="BY591" t="inlineStr"/>
      <c r="BZ591" t="inlineStr"/>
      <c r="CA591" t="inlineStr"/>
      <c r="CB591" t="inlineStr"/>
      <c r="CC591" t="inlineStr"/>
      <c r="CD591" t="inlineStr"/>
      <c r="CE591" t="inlineStr"/>
      <c r="CF591" t="inlineStr"/>
      <c r="CG591" t="inlineStr"/>
      <c r="CH591" t="inlineStr"/>
      <c r="CI591" t="inlineStr"/>
      <c r="CJ591" t="inlineStr"/>
      <c r="CK591" t="inlineStr"/>
      <c r="CL591" t="inlineStr"/>
      <c r="CM591" t="inlineStr"/>
      <c r="CN591" t="inlineStr"/>
      <c r="CO591" t="inlineStr"/>
      <c r="CP591" t="inlineStr"/>
      <c r="CQ591" t="inlineStr"/>
      <c r="CR591" t="inlineStr"/>
      <c r="CS591" t="inlineStr"/>
      <c r="CT591" t="inlineStr"/>
      <c r="CU591" t="inlineStr"/>
      <c r="CV591" t="inlineStr"/>
      <c r="CW591" t="inlineStr"/>
      <c r="CX591" t="inlineStr"/>
      <c r="CY591" t="inlineStr"/>
      <c r="CZ591" t="inlineStr"/>
      <c r="DA591" t="inlineStr"/>
      <c r="DB591" t="inlineStr"/>
      <c r="DC591" t="inlineStr"/>
      <c r="DD591" t="inlineStr"/>
      <c r="DE591" t="inlineStr"/>
      <c r="DF591" t="inlineStr"/>
      <c r="DG591" t="inlineStr"/>
    </row>
    <row r="592">
      <c r="A592" t="inlineStr">
        <is>
          <t>III</t>
        </is>
      </c>
      <c r="B592" t="b">
        <v>1</v>
      </c>
      <c r="C592" t="inlineStr"/>
      <c r="D592" t="inlineStr"/>
      <c r="E592" t="inlineStr"/>
      <c r="F592">
        <f>HYPERLINK("https://portal.dnb.de/opac.htm?method=simpleSearch&amp;cqlMode=true&amp;query=idn%3D1138311316", "Portal")</f>
        <v/>
      </c>
      <c r="G592" t="inlineStr">
        <is>
          <t>Qd</t>
        </is>
      </c>
      <c r="H592" t="inlineStr">
        <is>
          <t>L-9999-414827848</t>
        </is>
      </c>
      <c r="I592" t="inlineStr">
        <is>
          <t>1138311316</t>
        </is>
      </c>
      <c r="J592" t="inlineStr">
        <is>
          <t>III 63, 1</t>
        </is>
      </c>
      <c r="K592" t="inlineStr">
        <is>
          <t>III 63, 1</t>
        </is>
      </c>
      <c r="L592" t="inlineStr">
        <is>
          <t>III 63, 1</t>
        </is>
      </c>
      <c r="M592" t="inlineStr"/>
      <c r="N592" t="inlineStr">
        <is>
          <t xml:space="preserve">Sammelband mit zwei Werken von Angelo Poliziano und "Füllmaterial" : </t>
        </is>
      </c>
      <c r="O592" t="inlineStr">
        <is>
          <t xml:space="preserve"> : </t>
        </is>
      </c>
      <c r="P592" t="inlineStr"/>
      <c r="Q592" t="inlineStr"/>
      <c r="R592" t="inlineStr"/>
      <c r="S592" t="inlineStr"/>
      <c r="T592" t="inlineStr"/>
      <c r="U592" t="inlineStr"/>
      <c r="V592" t="inlineStr"/>
      <c r="W592" t="inlineStr"/>
      <c r="X592" t="inlineStr"/>
      <c r="Y592" t="inlineStr"/>
      <c r="Z592" t="inlineStr"/>
      <c r="AA592" t="inlineStr"/>
      <c r="AB592" t="inlineStr"/>
      <c r="AC592" t="inlineStr"/>
      <c r="AD592" t="inlineStr"/>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c r="BA592" t="inlineStr"/>
      <c r="BB592" t="inlineStr"/>
      <c r="BC592" t="inlineStr"/>
      <c r="BD592" t="inlineStr"/>
      <c r="BE592" t="inlineStr"/>
      <c r="BF592" t="inlineStr"/>
      <c r="BG592" t="inlineStr"/>
      <c r="BH592" t="inlineStr"/>
      <c r="BI592" t="inlineStr"/>
      <c r="BJ592" t="inlineStr"/>
      <c r="BK592" t="inlineStr"/>
      <c r="BL592" t="inlineStr"/>
      <c r="BM592" t="inlineStr"/>
      <c r="BN592" t="n">
        <v>0</v>
      </c>
      <c r="BO592" t="inlineStr"/>
      <c r="BP592" t="inlineStr"/>
      <c r="BQ592" t="inlineStr"/>
      <c r="BR592" t="inlineStr"/>
      <c r="BS592" t="inlineStr"/>
      <c r="BT592" t="inlineStr"/>
      <c r="BU592" t="inlineStr"/>
      <c r="BV592" t="inlineStr"/>
      <c r="BW592" t="inlineStr"/>
      <c r="BX592" t="inlineStr"/>
      <c r="BY592" t="inlineStr"/>
      <c r="BZ592" t="inlineStr"/>
      <c r="CA592" t="inlineStr"/>
      <c r="CB592" t="inlineStr"/>
      <c r="CC592" t="inlineStr"/>
      <c r="CD592" t="inlineStr"/>
      <c r="CE592" t="inlineStr"/>
      <c r="CF592" t="inlineStr"/>
      <c r="CG592" t="inlineStr"/>
      <c r="CH592" t="inlineStr"/>
      <c r="CI592" t="inlineStr"/>
      <c r="CJ592" t="inlineStr"/>
      <c r="CK592" t="inlineStr"/>
      <c r="CL592" t="inlineStr"/>
      <c r="CM592" t="inlineStr"/>
      <c r="CN592" t="inlineStr"/>
      <c r="CO592" t="inlineStr"/>
      <c r="CP592" t="inlineStr"/>
      <c r="CQ592" t="inlineStr"/>
      <c r="CR592" t="inlineStr"/>
      <c r="CS592" t="inlineStr"/>
      <c r="CT592" t="inlineStr"/>
      <c r="CU592" t="inlineStr"/>
      <c r="CV592" t="inlineStr"/>
      <c r="CW592" t="inlineStr"/>
      <c r="CX592" t="inlineStr"/>
      <c r="CY592" t="inlineStr"/>
      <c r="CZ592" t="inlineStr"/>
      <c r="DA592" t="inlineStr"/>
      <c r="DB592" t="inlineStr"/>
      <c r="DC592" t="inlineStr"/>
      <c r="DD592" t="inlineStr"/>
      <c r="DE592" t="inlineStr"/>
      <c r="DF592" t="inlineStr"/>
      <c r="DG592" t="inlineStr"/>
    </row>
    <row r="593">
      <c r="A593" t="inlineStr">
        <is>
          <t>III</t>
        </is>
      </c>
      <c r="B593" t="b">
        <v>1</v>
      </c>
      <c r="C593" t="inlineStr"/>
      <c r="D593" t="inlineStr"/>
      <c r="E593" t="n">
        <v>675</v>
      </c>
      <c r="F593">
        <f>HYPERLINK("https://portal.dnb.de/opac.htm?method=simpleSearch&amp;cqlMode=true&amp;query=idn%3D1066936676", "Portal")</f>
        <v/>
      </c>
      <c r="G593" t="inlineStr">
        <is>
          <t>Aaf</t>
        </is>
      </c>
      <c r="H593" t="inlineStr">
        <is>
          <t>L-1534-31546450X</t>
        </is>
      </c>
      <c r="I593" t="inlineStr">
        <is>
          <t>1066936676</t>
        </is>
      </c>
      <c r="J593" t="inlineStr">
        <is>
          <t>III 64, 1</t>
        </is>
      </c>
      <c r="K593" t="inlineStr">
        <is>
          <t>III 64, 1</t>
        </is>
      </c>
      <c r="L593" t="inlineStr">
        <is>
          <t>III 64, 1</t>
        </is>
      </c>
      <c r="M593" t="inlineStr"/>
      <c r="N593" t="inlineStr">
        <is>
          <t>Constitutiones monachorum sancti benedicti congregationis coelestinorum nunquam hactenus impraessae et multis in locis a labeculis quibusdam emaculata</t>
        </is>
      </c>
      <c r="O593" t="inlineStr">
        <is>
          <t xml:space="preserve"> : </t>
        </is>
      </c>
      <c r="P593" t="inlineStr"/>
      <c r="Q593" t="inlineStr"/>
      <c r="R593" t="inlineStr"/>
      <c r="S593" t="inlineStr"/>
      <c r="T593" t="inlineStr"/>
      <c r="U593" t="inlineStr"/>
      <c r="V593" t="inlineStr"/>
      <c r="W593" t="inlineStr"/>
      <c r="X593" t="inlineStr"/>
      <c r="Y593" t="inlineStr"/>
      <c r="Z593" t="inlineStr"/>
      <c r="AA593" t="inlineStr"/>
      <c r="AB593" t="inlineStr"/>
      <c r="AC593" t="inlineStr"/>
      <c r="AD593" t="inlineStr"/>
      <c r="AE593" t="inlineStr"/>
      <c r="AF593" t="inlineStr"/>
      <c r="AG593" t="inlineStr"/>
      <c r="AH593" t="inlineStr"/>
      <c r="AI593" t="inlineStr"/>
      <c r="AJ593" t="inlineStr"/>
      <c r="AK593" t="inlineStr"/>
      <c r="AL593" t="inlineStr"/>
      <c r="AM593" t="inlineStr"/>
      <c r="AN593" t="inlineStr"/>
      <c r="AO593" t="inlineStr"/>
      <c r="AP593" t="inlineStr"/>
      <c r="AQ593" t="inlineStr"/>
      <c r="AR593" t="inlineStr"/>
      <c r="AS593" t="inlineStr"/>
      <c r="AT593" t="inlineStr"/>
      <c r="AU593" t="inlineStr"/>
      <c r="AV593" t="inlineStr"/>
      <c r="AW593" t="inlineStr"/>
      <c r="AX593" t="inlineStr"/>
      <c r="AY593" t="inlineStr"/>
      <c r="AZ593" t="inlineStr"/>
      <c r="BA593" t="inlineStr"/>
      <c r="BB593" t="inlineStr"/>
      <c r="BC593" t="inlineStr"/>
      <c r="BD593" t="inlineStr"/>
      <c r="BE593" t="inlineStr"/>
      <c r="BF593" t="inlineStr"/>
      <c r="BG593" t="inlineStr"/>
      <c r="BH593" t="inlineStr"/>
      <c r="BI593" t="inlineStr"/>
      <c r="BJ593" t="inlineStr"/>
      <c r="BK593" t="inlineStr"/>
      <c r="BL593" t="inlineStr"/>
      <c r="BM593" t="inlineStr"/>
      <c r="BN593" t="n">
        <v>0</v>
      </c>
      <c r="BO593" t="inlineStr"/>
      <c r="BP593" t="inlineStr"/>
      <c r="BQ593" t="inlineStr"/>
      <c r="BR593" t="inlineStr"/>
      <c r="BS593" t="inlineStr"/>
      <c r="BT593" t="inlineStr"/>
      <c r="BU593" t="inlineStr"/>
      <c r="BV593" t="inlineStr"/>
      <c r="BW593" t="inlineStr"/>
      <c r="BX593" t="inlineStr"/>
      <c r="BY593" t="inlineStr"/>
      <c r="BZ593" t="inlineStr"/>
      <c r="CA593" t="inlineStr"/>
      <c r="CB593" t="inlineStr"/>
      <c r="CC593" t="inlineStr"/>
      <c r="CD593" t="inlineStr"/>
      <c r="CE593" t="inlineStr"/>
      <c r="CF593" t="inlineStr"/>
      <c r="CG593" t="inlineStr"/>
      <c r="CH593" t="inlineStr"/>
      <c r="CI593" t="inlineStr"/>
      <c r="CJ593" t="inlineStr"/>
      <c r="CK593" t="inlineStr"/>
      <c r="CL593" t="inlineStr"/>
      <c r="CM593" t="inlineStr"/>
      <c r="CN593" t="inlineStr"/>
      <c r="CO593" t="inlineStr"/>
      <c r="CP593" t="inlineStr"/>
      <c r="CQ593" t="inlineStr"/>
      <c r="CR593" t="inlineStr"/>
      <c r="CS593" t="inlineStr"/>
      <c r="CT593" t="inlineStr"/>
      <c r="CU593" t="inlineStr"/>
      <c r="CV593" t="inlineStr"/>
      <c r="CW593" t="inlineStr"/>
      <c r="CX593" t="inlineStr"/>
      <c r="CY593" t="inlineStr"/>
      <c r="CZ593" t="inlineStr"/>
      <c r="DA593" t="inlineStr"/>
      <c r="DB593" t="inlineStr"/>
      <c r="DC593" t="inlineStr"/>
      <c r="DD593" t="inlineStr"/>
      <c r="DE593" t="inlineStr"/>
      <c r="DF593" t="inlineStr"/>
      <c r="DG593" t="inlineStr"/>
    </row>
    <row r="594">
      <c r="A594" t="inlineStr">
        <is>
          <t>III</t>
        </is>
      </c>
      <c r="B594" t="b">
        <v>1</v>
      </c>
      <c r="C594" t="inlineStr"/>
      <c r="D594" t="inlineStr"/>
      <c r="E594" t="n">
        <v>676</v>
      </c>
      <c r="F594">
        <f>HYPERLINK("https://portal.dnb.de/opac.htm?method=simpleSearch&amp;cqlMode=true&amp;query=idn%3D1066957347", "Portal")</f>
        <v/>
      </c>
      <c r="G594" t="inlineStr">
        <is>
          <t>Aaf</t>
        </is>
      </c>
      <c r="H594" t="inlineStr">
        <is>
          <t>L-1545-315487992</t>
        </is>
      </c>
      <c r="I594" t="inlineStr">
        <is>
          <t>1066957347</t>
        </is>
      </c>
      <c r="J594" t="inlineStr">
        <is>
          <t>III 65, 1</t>
        </is>
      </c>
      <c r="K594" t="inlineStr">
        <is>
          <t>III 65, 1</t>
        </is>
      </c>
      <c r="L594" t="inlineStr">
        <is>
          <t>III 65, 1</t>
        </is>
      </c>
      <c r="M594" t="inlineStr"/>
      <c r="N594" t="inlineStr">
        <is>
          <t xml:space="preserve">Ain @Kurtzer Auszug des treffen=||lichen Wercks vnd Fridschirmbuchs/|| Marsilij von Padua.|| Dariñ der Kayser vnd B#[ae]pste gewalt : </t>
        </is>
      </c>
      <c r="O594" t="inlineStr">
        <is>
          <t xml:space="preserve"> : </t>
        </is>
      </c>
      <c r="P594" t="inlineStr"/>
      <c r="Q594" t="inlineStr"/>
      <c r="R594" t="inlineStr"/>
      <c r="S594" t="inlineStr"/>
      <c r="T594" t="inlineStr"/>
      <c r="U594" t="inlineStr"/>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c r="BH594" t="inlineStr"/>
      <c r="BI594" t="inlineStr"/>
      <c r="BJ594" t="inlineStr"/>
      <c r="BK594" t="inlineStr"/>
      <c r="BL594" t="inlineStr"/>
      <c r="BM594" t="inlineStr"/>
      <c r="BN594" t="n">
        <v>0</v>
      </c>
      <c r="BO594" t="inlineStr"/>
      <c r="BP594" t="inlineStr"/>
      <c r="BQ594" t="inlineStr"/>
      <c r="BR594" t="inlineStr"/>
      <c r="BS594" t="inlineStr"/>
      <c r="BT594" t="inlineStr"/>
      <c r="BU594" t="inlineStr"/>
      <c r="BV594" t="inlineStr"/>
      <c r="BW594" t="inlineStr"/>
      <c r="BX594" t="inlineStr"/>
      <c r="BY594" t="inlineStr"/>
      <c r="BZ594" t="inlineStr"/>
      <c r="CA594" t="inlineStr"/>
      <c r="CB594" t="inlineStr"/>
      <c r="CC594" t="inlineStr"/>
      <c r="CD594" t="inlineStr"/>
      <c r="CE594" t="inlineStr"/>
      <c r="CF594" t="inlineStr"/>
      <c r="CG594" t="inlineStr"/>
      <c r="CH594" t="inlineStr"/>
      <c r="CI594" t="inlineStr"/>
      <c r="CJ594" t="inlineStr"/>
      <c r="CK594" t="inlineStr"/>
      <c r="CL594" t="inlineStr"/>
      <c r="CM594" t="inlineStr"/>
      <c r="CN594" t="inlineStr"/>
      <c r="CO594" t="inlineStr"/>
      <c r="CP594" t="inlineStr"/>
      <c r="CQ594" t="inlineStr"/>
      <c r="CR594" t="inlineStr"/>
      <c r="CS594" t="inlineStr"/>
      <c r="CT594" t="inlineStr"/>
      <c r="CU594" t="inlineStr"/>
      <c r="CV594" t="inlineStr"/>
      <c r="CW594" t="inlineStr"/>
      <c r="CX594" t="inlineStr"/>
      <c r="CY594" t="inlineStr"/>
      <c r="CZ594" t="inlineStr"/>
      <c r="DA594" t="inlineStr"/>
      <c r="DB594" t="inlineStr"/>
      <c r="DC594" t="inlineStr"/>
      <c r="DD594" t="inlineStr"/>
      <c r="DE594" t="inlineStr"/>
      <c r="DF594" t="inlineStr"/>
      <c r="DG594" t="inlineStr"/>
    </row>
    <row r="595">
      <c r="A595" t="inlineStr">
        <is>
          <t>III</t>
        </is>
      </c>
      <c r="B595" t="b">
        <v>1</v>
      </c>
      <c r="C595" t="inlineStr"/>
      <c r="D595" t="inlineStr"/>
      <c r="E595" t="n">
        <v>677</v>
      </c>
      <c r="F595">
        <f>HYPERLINK("https://portal.dnb.de/opac.htm?method=simpleSearch&amp;cqlMode=true&amp;query=idn%3D1066963916", "Portal")</f>
        <v/>
      </c>
      <c r="G595" t="inlineStr">
        <is>
          <t>Aaf</t>
        </is>
      </c>
      <c r="H595" t="inlineStr">
        <is>
          <t>L-1556-315494115</t>
        </is>
      </c>
      <c r="I595" t="inlineStr">
        <is>
          <t>1066963916</t>
        </is>
      </c>
      <c r="J595" t="inlineStr">
        <is>
          <t>III 65, 2</t>
        </is>
      </c>
      <c r="K595" t="inlineStr">
        <is>
          <t>III 65, 2</t>
        </is>
      </c>
      <c r="L595" t="inlineStr">
        <is>
          <t>III 65, 2</t>
        </is>
      </c>
      <c r="M595" t="inlineStr"/>
      <c r="N595" t="inlineStr">
        <is>
          <t>Kirchen|| Ordnung.|| Wie es mit der Christenlichen Leere/|| heiligen Sacramenten/ vnd Ceremoni=||en/ inn des Durchleuchtigsten ...|| Ottheinrichs/|| P</t>
        </is>
      </c>
      <c r="O595" t="inlineStr">
        <is>
          <t xml:space="preserve"> : </t>
        </is>
      </c>
      <c r="P595" t="inlineStr"/>
      <c r="Q595" t="inlineStr"/>
      <c r="R595" t="inlineStr"/>
      <c r="S595" t="inlineStr">
        <is>
          <t>bis 25 cm</t>
        </is>
      </c>
      <c r="T595" t="inlineStr"/>
      <c r="U595" t="inlineStr"/>
      <c r="V595" t="inlineStr"/>
      <c r="W595" t="inlineStr"/>
      <c r="X595" t="inlineStr"/>
      <c r="Y595" t="inlineStr"/>
      <c r="Z595" t="inlineStr"/>
      <c r="AA595" t="inlineStr"/>
      <c r="AB595" t="inlineStr"/>
      <c r="AC595" t="inlineStr"/>
      <c r="AD595" t="inlineStr"/>
      <c r="AE595" t="inlineStr"/>
      <c r="AF595" t="inlineStr"/>
      <c r="AG595" t="inlineStr"/>
      <c r="AH595" t="inlineStr"/>
      <c r="AI595" t="inlineStr">
        <is>
          <t>G</t>
        </is>
      </c>
      <c r="AJ595" t="inlineStr"/>
      <c r="AK595" t="inlineStr"/>
      <c r="AL595" t="inlineStr"/>
      <c r="AM595" t="inlineStr">
        <is>
          <t>h/E</t>
        </is>
      </c>
      <c r="AN595" t="inlineStr"/>
      <c r="AO595" t="inlineStr"/>
      <c r="AP595" t="inlineStr"/>
      <c r="AQ595" t="inlineStr"/>
      <c r="AR595" t="inlineStr"/>
      <c r="AS595" t="inlineStr">
        <is>
          <t>Pa</t>
        </is>
      </c>
      <c r="AT595" t="inlineStr"/>
      <c r="AU595" t="inlineStr"/>
      <c r="AV595" t="inlineStr"/>
      <c r="AW595" t="inlineStr"/>
      <c r="AX595" t="inlineStr"/>
      <c r="AY595" t="inlineStr"/>
      <c r="AZ595" t="inlineStr"/>
      <c r="BA595" t="inlineStr"/>
      <c r="BB595" t="inlineStr"/>
      <c r="BC595" t="inlineStr"/>
      <c r="BD595" t="inlineStr"/>
      <c r="BE595" t="inlineStr"/>
      <c r="BF595" t="inlineStr"/>
      <c r="BG595" t="n">
        <v>110</v>
      </c>
      <c r="BH595" t="inlineStr"/>
      <c r="BI595" t="inlineStr"/>
      <c r="BJ595" t="inlineStr"/>
      <c r="BK595" t="inlineStr"/>
      <c r="BL595" t="inlineStr"/>
      <c r="BM595" t="inlineStr">
        <is>
          <t>n</t>
        </is>
      </c>
      <c r="BN595" t="n">
        <v>0</v>
      </c>
      <c r="BO595" t="inlineStr"/>
      <c r="BP595" t="inlineStr"/>
      <c r="BQ595" t="inlineStr"/>
      <c r="BR595" t="inlineStr">
        <is>
          <t>x</t>
        </is>
      </c>
      <c r="BS595" t="inlineStr"/>
      <c r="BT595" t="inlineStr"/>
      <c r="BU595" t="inlineStr"/>
      <c r="BV595" t="inlineStr">
        <is>
          <t>Schaden stabil</t>
        </is>
      </c>
      <c r="BW595" t="inlineStr">
        <is>
          <t>x 110</t>
        </is>
      </c>
      <c r="BX595" t="inlineStr">
        <is>
          <t xml:space="preserve">
beschädigt</t>
        </is>
      </c>
      <c r="BY595" t="inlineStr"/>
      <c r="BZ595" t="inlineStr"/>
      <c r="CA595" t="inlineStr"/>
      <c r="CB595" t="inlineStr"/>
      <c r="CC595" t="inlineStr"/>
      <c r="CD595" t="inlineStr"/>
      <c r="CE595" t="inlineStr"/>
      <c r="CF595" t="inlineStr"/>
      <c r="CG595" t="inlineStr"/>
      <c r="CH595" t="inlineStr"/>
      <c r="CI595" t="inlineStr"/>
      <c r="CJ595" t="inlineStr"/>
      <c r="CK595" t="inlineStr"/>
      <c r="CL595" t="inlineStr"/>
      <c r="CM595" t="inlineStr"/>
      <c r="CN595" t="inlineStr"/>
      <c r="CO595" t="inlineStr"/>
      <c r="CP595" t="inlineStr"/>
      <c r="CQ595" t="inlineStr"/>
      <c r="CR595" t="inlineStr"/>
      <c r="CS595" t="inlineStr"/>
      <c r="CT595" t="inlineStr"/>
      <c r="CU595" t="inlineStr"/>
      <c r="CV595" t="inlineStr"/>
      <c r="CW595" t="inlineStr"/>
      <c r="CX595" t="inlineStr"/>
      <c r="CY595" t="inlineStr"/>
      <c r="CZ595" t="inlineStr"/>
      <c r="DA595" t="inlineStr"/>
      <c r="DB595" t="inlineStr"/>
      <c r="DC595" t="inlineStr"/>
      <c r="DD595" t="inlineStr"/>
      <c r="DE595" t="inlineStr"/>
      <c r="DF595" t="inlineStr"/>
      <c r="DG595" t="inlineStr"/>
    </row>
    <row r="596">
      <c r="A596" t="inlineStr">
        <is>
          <t>III</t>
        </is>
      </c>
      <c r="B596" t="b">
        <v>1</v>
      </c>
      <c r="C596" t="inlineStr"/>
      <c r="D596" t="inlineStr"/>
      <c r="E596" t="n">
        <v>678</v>
      </c>
      <c r="F596">
        <f>HYPERLINK("https://portal.dnb.de/opac.htm?method=simpleSearch&amp;cqlMode=true&amp;query=idn%3D1066940363", "Portal")</f>
        <v/>
      </c>
      <c r="G596" t="inlineStr">
        <is>
          <t>Aaf</t>
        </is>
      </c>
      <c r="H596" t="inlineStr">
        <is>
          <t>L-1557-315468149</t>
        </is>
      </c>
      <c r="I596" t="inlineStr">
        <is>
          <t>1066940363</t>
        </is>
      </c>
      <c r="J596" t="inlineStr">
        <is>
          <t>III 65, 3</t>
        </is>
      </c>
      <c r="K596" t="inlineStr">
        <is>
          <t>III 65, 3</t>
        </is>
      </c>
      <c r="L596" t="inlineStr">
        <is>
          <t>III 65, 3</t>
        </is>
      </c>
      <c r="M596" t="inlineStr"/>
      <c r="N596" t="inlineStr">
        <is>
          <t>RES PVBLICA VENETVM.|| Der grossen Commun/ der|| Statt Venedig/ vrsprung/|| erbawung vnd aufnemung. Jrer Herrschafft/|| erweitung/ Regiment/ Ordnung v</t>
        </is>
      </c>
      <c r="O596" t="inlineStr">
        <is>
          <t xml:space="preserve"> : </t>
        </is>
      </c>
      <c r="P596" t="inlineStr">
        <is>
          <t>X</t>
        </is>
      </c>
      <c r="Q596" t="inlineStr"/>
      <c r="R596" t="inlineStr">
        <is>
          <t>Pergamentband</t>
        </is>
      </c>
      <c r="S596" t="inlineStr">
        <is>
          <t>bis 35 cm</t>
        </is>
      </c>
      <c r="T596" t="inlineStr">
        <is>
          <t>180°</t>
        </is>
      </c>
      <c r="U596" t="inlineStr">
        <is>
          <t>hohler Rücken</t>
        </is>
      </c>
      <c r="V596" t="inlineStr"/>
      <c r="W596" t="inlineStr">
        <is>
          <t>Kassette</t>
        </is>
      </c>
      <c r="X596" t="inlineStr">
        <is>
          <t>Nein</t>
        </is>
      </c>
      <c r="Y596" t="n">
        <v>0</v>
      </c>
      <c r="Z596" t="inlineStr"/>
      <c r="AA596" t="inlineStr"/>
      <c r="AB596" t="inlineStr"/>
      <c r="AC596" t="inlineStr"/>
      <c r="AD596" t="inlineStr"/>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c r="BD596" t="inlineStr"/>
      <c r="BE596" t="inlineStr"/>
      <c r="BF596" t="inlineStr"/>
      <c r="BG596" t="inlineStr"/>
      <c r="BH596" t="inlineStr"/>
      <c r="BI596" t="inlineStr"/>
      <c r="BJ596" t="inlineStr"/>
      <c r="BK596" t="inlineStr"/>
      <c r="BL596" t="inlineStr"/>
      <c r="BM596" t="inlineStr"/>
      <c r="BN596" t="n">
        <v>0</v>
      </c>
      <c r="BO596" t="inlineStr"/>
      <c r="BP596" t="inlineStr"/>
      <c r="BQ596" t="inlineStr"/>
      <c r="BR596" t="inlineStr"/>
      <c r="BS596" t="inlineStr"/>
      <c r="BT596" t="inlineStr"/>
      <c r="BU596" t="inlineStr"/>
      <c r="BV596" t="inlineStr"/>
      <c r="BW596" t="inlineStr"/>
      <c r="BX596" t="inlineStr"/>
      <c r="BY596" t="inlineStr"/>
      <c r="BZ596" t="inlineStr"/>
      <c r="CA596" t="inlineStr"/>
      <c r="CB596" t="inlineStr"/>
      <c r="CC596" t="inlineStr"/>
      <c r="CD596" t="inlineStr"/>
      <c r="CE596" t="inlineStr"/>
      <c r="CF596" t="inlineStr"/>
      <c r="CG596" t="inlineStr"/>
      <c r="CH596" t="inlineStr"/>
      <c r="CI596" t="inlineStr"/>
      <c r="CJ596" t="inlineStr"/>
      <c r="CK596" t="inlineStr"/>
      <c r="CL596" t="inlineStr"/>
      <c r="CM596" t="inlineStr"/>
      <c r="CN596" t="inlineStr"/>
      <c r="CO596" t="inlineStr"/>
      <c r="CP596" t="inlineStr"/>
      <c r="CQ596" t="inlineStr"/>
      <c r="CR596" t="inlineStr"/>
      <c r="CS596" t="inlineStr"/>
      <c r="CT596" t="inlineStr"/>
      <c r="CU596" t="inlineStr"/>
      <c r="CV596" t="inlineStr"/>
      <c r="CW596" t="inlineStr"/>
      <c r="CX596" t="inlineStr"/>
      <c r="CY596" t="inlineStr"/>
      <c r="CZ596" t="inlineStr"/>
      <c r="DA596" t="inlineStr"/>
      <c r="DB596" t="inlineStr"/>
      <c r="DC596" t="inlineStr"/>
      <c r="DD596" t="inlineStr"/>
      <c r="DE596" t="inlineStr"/>
      <c r="DF596" t="inlineStr"/>
      <c r="DG596" t="inlineStr"/>
    </row>
    <row r="597">
      <c r="A597" t="inlineStr">
        <is>
          <t>III</t>
        </is>
      </c>
      <c r="B597" t="b">
        <v>1</v>
      </c>
      <c r="C597" t="inlineStr"/>
      <c r="D597" t="inlineStr"/>
      <c r="E597" t="n">
        <v>679</v>
      </c>
      <c r="F597">
        <f>HYPERLINK("https://portal.dnb.de/opac.htm?method=simpleSearch&amp;cqlMode=true&amp;query=idn%3D1066790078", "Portal")</f>
        <v/>
      </c>
      <c r="G597" t="inlineStr">
        <is>
          <t>Aaf</t>
        </is>
      </c>
      <c r="H597" t="inlineStr">
        <is>
          <t>L-1535-315211164</t>
        </is>
      </c>
      <c r="I597" t="inlineStr">
        <is>
          <t>1066790078</t>
        </is>
      </c>
      <c r="J597" t="inlineStr">
        <is>
          <t>III 66, 1</t>
        </is>
      </c>
      <c r="K597" t="inlineStr">
        <is>
          <t>III 66, 1</t>
        </is>
      </c>
      <c r="L597" t="inlineStr">
        <is>
          <t>III 66, 1</t>
        </is>
      </c>
      <c r="M597" t="inlineStr"/>
      <c r="N597" t="inlineStr">
        <is>
          <t>La @Bible Lui est toute la Saincte escripture : En laquelle sont contenus, le Vieil Testament &amp; le Nouueau, translatez en Francoys, Le Vieil de Lebrie</t>
        </is>
      </c>
      <c r="O597" t="inlineStr">
        <is>
          <t xml:space="preserve"> : </t>
        </is>
      </c>
      <c r="P597" t="inlineStr"/>
      <c r="Q597" t="inlineStr"/>
      <c r="R597" t="inlineStr"/>
      <c r="S597" t="inlineStr">
        <is>
          <t>bis 42 cm</t>
        </is>
      </c>
      <c r="T597" t="inlineStr"/>
      <c r="U597" t="inlineStr"/>
      <c r="V597" t="inlineStr"/>
      <c r="W597" t="inlineStr"/>
      <c r="X597" t="inlineStr"/>
      <c r="Y597" t="inlineStr"/>
      <c r="Z597" t="inlineStr"/>
      <c r="AA597" t="inlineStr"/>
      <c r="AB597" t="inlineStr"/>
      <c r="AC597" t="inlineStr"/>
      <c r="AD597" t="inlineStr"/>
      <c r="AE597" t="inlineStr"/>
      <c r="AF597" t="inlineStr"/>
      <c r="AG597" t="inlineStr"/>
      <c r="AH597" t="inlineStr"/>
      <c r="AI597" t="inlineStr">
        <is>
          <t>HD</t>
        </is>
      </c>
      <c r="AJ597" t="inlineStr"/>
      <c r="AK597" t="inlineStr"/>
      <c r="AL597" t="inlineStr">
        <is>
          <t>x</t>
        </is>
      </c>
      <c r="AM597" t="inlineStr">
        <is>
          <t>f</t>
        </is>
      </c>
      <c r="AN597" t="inlineStr"/>
      <c r="AO597" t="inlineStr"/>
      <c r="AP597" t="inlineStr"/>
      <c r="AQ597" t="inlineStr"/>
      <c r="AR597" t="inlineStr"/>
      <c r="AS597" t="inlineStr">
        <is>
          <t>Pa</t>
        </is>
      </c>
      <c r="AT597" t="inlineStr"/>
      <c r="AU597" t="inlineStr"/>
      <c r="AV597" t="inlineStr"/>
      <c r="AW597" t="inlineStr"/>
      <c r="AX597" t="inlineStr"/>
      <c r="AY597" t="inlineStr"/>
      <c r="AZ597" t="inlineStr"/>
      <c r="BA597" t="inlineStr"/>
      <c r="BB597" t="inlineStr"/>
      <c r="BC597" t="inlineStr"/>
      <c r="BD597" t="inlineStr"/>
      <c r="BE597" t="inlineStr"/>
      <c r="BF597" t="inlineStr"/>
      <c r="BG597" t="n">
        <v>110</v>
      </c>
      <c r="BH597" t="inlineStr"/>
      <c r="BI597" t="inlineStr"/>
      <c r="BJ597" t="inlineStr"/>
      <c r="BK597" t="inlineStr"/>
      <c r="BL597" t="inlineStr"/>
      <c r="BM597" t="inlineStr">
        <is>
          <t>n</t>
        </is>
      </c>
      <c r="BN597" t="n">
        <v>0</v>
      </c>
      <c r="BO597" t="inlineStr"/>
      <c r="BP597" t="inlineStr">
        <is>
          <t>Gewebe</t>
        </is>
      </c>
      <c r="BQ597" t="inlineStr"/>
      <c r="BR597" t="inlineStr"/>
      <c r="BS597" t="inlineStr"/>
      <c r="BT597" t="inlineStr"/>
      <c r="BU597" t="inlineStr"/>
      <c r="BV597" t="inlineStr"/>
      <c r="BW597" t="inlineStr"/>
      <c r="BX597" t="inlineStr"/>
      <c r="BY597" t="inlineStr"/>
      <c r="BZ597" t="inlineStr"/>
      <c r="CA597" t="inlineStr"/>
      <c r="CB597" t="inlineStr"/>
      <c r="CC597" t="inlineStr"/>
      <c r="CD597" t="inlineStr"/>
      <c r="CE597" t="inlineStr"/>
      <c r="CF597" t="inlineStr"/>
      <c r="CG597" t="inlineStr"/>
      <c r="CH597" t="inlineStr"/>
      <c r="CI597" t="inlineStr"/>
      <c r="CJ597" t="inlineStr"/>
      <c r="CK597" t="inlineStr"/>
      <c r="CL597" t="inlineStr"/>
      <c r="CM597" t="inlineStr"/>
      <c r="CN597" t="inlineStr"/>
      <c r="CO597" t="inlineStr"/>
      <c r="CP597" t="inlineStr"/>
      <c r="CQ597" t="inlineStr"/>
      <c r="CR597" t="inlineStr"/>
      <c r="CS597" t="inlineStr"/>
      <c r="CT597" t="inlineStr"/>
      <c r="CU597" t="inlineStr"/>
      <c r="CV597" t="inlineStr"/>
      <c r="CW597" t="inlineStr"/>
      <c r="CX597" t="inlineStr"/>
      <c r="CY597" t="inlineStr"/>
      <c r="CZ597" t="inlineStr"/>
      <c r="DA597" t="inlineStr"/>
      <c r="DB597" t="inlineStr"/>
      <c r="DC597" t="inlineStr"/>
      <c r="DD597" t="inlineStr"/>
      <c r="DE597" t="inlineStr"/>
      <c r="DF597" t="inlineStr"/>
      <c r="DG597" t="inlineStr"/>
    </row>
    <row r="598">
      <c r="A598" t="inlineStr">
        <is>
          <t>III</t>
        </is>
      </c>
      <c r="B598" t="b">
        <v>1</v>
      </c>
      <c r="C598" t="inlineStr"/>
      <c r="D598" t="inlineStr"/>
      <c r="E598" t="n">
        <v>680</v>
      </c>
      <c r="F598">
        <f>HYPERLINK("https://portal.dnb.de/opac.htm?method=simpleSearch&amp;cqlMode=true&amp;query=idn%3D1066962553", "Portal")</f>
        <v/>
      </c>
      <c r="G598" t="inlineStr">
        <is>
          <t>Aaf</t>
        </is>
      </c>
      <c r="H598" t="inlineStr">
        <is>
          <t>L-1552-315492902</t>
        </is>
      </c>
      <c r="I598" t="inlineStr">
        <is>
          <t>1066962553</t>
        </is>
      </c>
      <c r="J598" t="inlineStr">
        <is>
          <t>III 67, 1</t>
        </is>
      </c>
      <c r="K598" t="inlineStr">
        <is>
          <t>III 67, 1</t>
        </is>
      </c>
      <c r="L598" t="inlineStr">
        <is>
          <t>III 67, 1</t>
        </is>
      </c>
      <c r="M598" t="inlineStr"/>
      <c r="N598" t="inlineStr">
        <is>
          <t xml:space="preserve">Der @thewre schoene Spruch Mosi. Gene. XV. Abraham gleubete dem HERRN vnd das rechent er yhm zur Gerechtigkeit. Aussgelegt Durch D. Marti. Luth. vber </t>
        </is>
      </c>
      <c r="O598" t="inlineStr">
        <is>
          <t xml:space="preserve"> : </t>
        </is>
      </c>
      <c r="P598" t="inlineStr"/>
      <c r="Q598" t="inlineStr"/>
      <c r="R598" t="inlineStr"/>
      <c r="S598" t="inlineStr"/>
      <c r="T598" t="inlineStr"/>
      <c r="U598" t="inlineStr"/>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inlineStr"/>
      <c r="BI598" t="inlineStr"/>
      <c r="BJ598" t="inlineStr"/>
      <c r="BK598" t="inlineStr"/>
      <c r="BL598" t="inlineStr"/>
      <c r="BM598" t="inlineStr"/>
      <c r="BN598" t="n">
        <v>0</v>
      </c>
      <c r="BO598" t="inlineStr"/>
      <c r="BP598" t="inlineStr"/>
      <c r="BQ598" t="inlineStr"/>
      <c r="BR598" t="inlineStr"/>
      <c r="BS598" t="inlineStr"/>
      <c r="BT598" t="inlineStr"/>
      <c r="BU598" t="inlineStr"/>
      <c r="BV598" t="inlineStr"/>
      <c r="BW598" t="inlineStr"/>
      <c r="BX598" t="inlineStr"/>
      <c r="BY598" t="inlineStr"/>
      <c r="BZ598" t="inlineStr"/>
      <c r="CA598" t="inlineStr"/>
      <c r="CB598" t="inlineStr"/>
      <c r="CC598" t="inlineStr"/>
      <c r="CD598" t="inlineStr"/>
      <c r="CE598" t="inlineStr"/>
      <c r="CF598" t="inlineStr"/>
      <c r="CG598" t="inlineStr"/>
      <c r="CH598" t="inlineStr"/>
      <c r="CI598" t="inlineStr"/>
      <c r="CJ598" t="inlineStr"/>
      <c r="CK598" t="inlineStr"/>
      <c r="CL598" t="inlineStr"/>
      <c r="CM598" t="inlineStr"/>
      <c r="CN598" t="inlineStr"/>
      <c r="CO598" t="inlineStr"/>
      <c r="CP598" t="inlineStr"/>
      <c r="CQ598" t="inlineStr"/>
      <c r="CR598" t="inlineStr"/>
      <c r="CS598" t="inlineStr"/>
      <c r="CT598" t="inlineStr"/>
      <c r="CU598" t="inlineStr"/>
      <c r="CV598" t="inlineStr"/>
      <c r="CW598" t="inlineStr"/>
      <c r="CX598" t="inlineStr"/>
      <c r="CY598" t="inlineStr"/>
      <c r="CZ598" t="inlineStr"/>
      <c r="DA598" t="inlineStr"/>
      <c r="DB598" t="inlineStr"/>
      <c r="DC598" t="inlineStr"/>
      <c r="DD598" t="inlineStr"/>
      <c r="DE598" t="inlineStr"/>
      <c r="DF598" t="inlineStr"/>
      <c r="DG598" t="inlineStr"/>
    </row>
    <row r="599">
      <c r="A599" t="inlineStr">
        <is>
          <t>III</t>
        </is>
      </c>
      <c r="B599" t="b">
        <v>1</v>
      </c>
      <c r="C599" t="inlineStr"/>
      <c r="D599" t="inlineStr"/>
      <c r="E599" t="n">
        <v>681</v>
      </c>
      <c r="F599">
        <f>HYPERLINK("https://portal.dnb.de/opac.htm?method=simpleSearch&amp;cqlMode=true&amp;query=idn%3D1066880700", "Portal")</f>
        <v/>
      </c>
      <c r="G599" t="inlineStr">
        <is>
          <t>Aaf</t>
        </is>
      </c>
      <c r="H599" t="inlineStr">
        <is>
          <t>L-1508-315338229</t>
        </is>
      </c>
      <c r="I599" t="inlineStr">
        <is>
          <t>1066880700</t>
        </is>
      </c>
      <c r="J599" t="inlineStr">
        <is>
          <t>III 68, 1</t>
        </is>
      </c>
      <c r="K599" t="inlineStr">
        <is>
          <t>III 68, 1</t>
        </is>
      </c>
      <c r="L599" t="inlineStr">
        <is>
          <t>III 68, 1</t>
        </is>
      </c>
      <c r="M599" t="inlineStr"/>
      <c r="N599" t="inlineStr">
        <is>
          <t xml:space="preserve">Ioannis Francisci Pici Mirandvlae domini Concordiaeqve comitis, Liber de providentia Dei contra philosophastros : </t>
        </is>
      </c>
      <c r="O599" t="inlineStr">
        <is>
          <t xml:space="preserve"> : </t>
        </is>
      </c>
      <c r="P599" t="inlineStr"/>
      <c r="Q599" t="inlineStr"/>
      <c r="R599" t="inlineStr"/>
      <c r="S599" t="inlineStr"/>
      <c r="T599" t="inlineStr"/>
      <c r="U599" t="inlineStr"/>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c r="BD599" t="inlineStr"/>
      <c r="BE599" t="inlineStr"/>
      <c r="BF599" t="inlineStr"/>
      <c r="BG599" t="inlineStr"/>
      <c r="BH599" t="inlineStr"/>
      <c r="BI599" t="inlineStr"/>
      <c r="BJ599" t="inlineStr"/>
      <c r="BK599" t="inlineStr"/>
      <c r="BL599" t="inlineStr"/>
      <c r="BM599" t="inlineStr"/>
      <c r="BN599" t="n">
        <v>0</v>
      </c>
      <c r="BO599" t="inlineStr"/>
      <c r="BP599" t="inlineStr"/>
      <c r="BQ599" t="inlineStr"/>
      <c r="BR599" t="inlineStr"/>
      <c r="BS599" t="inlineStr"/>
      <c r="BT599" t="inlineStr"/>
      <c r="BU599" t="inlineStr"/>
      <c r="BV599" t="inlineStr"/>
      <c r="BW599" t="inlineStr"/>
      <c r="BX599" t="inlineStr"/>
      <c r="BY599" t="inlineStr"/>
      <c r="BZ599" t="inlineStr"/>
      <c r="CA599" t="inlineStr"/>
      <c r="CB599" t="inlineStr"/>
      <c r="CC599" t="inlineStr"/>
      <c r="CD599" t="inlineStr"/>
      <c r="CE599" t="inlineStr"/>
      <c r="CF599" t="inlineStr"/>
      <c r="CG599" t="inlineStr"/>
      <c r="CH599" t="inlineStr"/>
      <c r="CI599" t="inlineStr"/>
      <c r="CJ599" t="inlineStr"/>
      <c r="CK599" t="inlineStr"/>
      <c r="CL599" t="inlineStr"/>
      <c r="CM599" t="inlineStr"/>
      <c r="CN599" t="inlineStr"/>
      <c r="CO599" t="inlineStr"/>
      <c r="CP599" t="inlineStr"/>
      <c r="CQ599" t="inlineStr"/>
      <c r="CR599" t="inlineStr"/>
      <c r="CS599" t="inlineStr"/>
      <c r="CT599" t="inlineStr"/>
      <c r="CU599" t="inlineStr"/>
      <c r="CV599" t="inlineStr"/>
      <c r="CW599" t="inlineStr"/>
      <c r="CX599" t="inlineStr"/>
      <c r="CY599" t="inlineStr"/>
      <c r="CZ599" t="inlineStr"/>
      <c r="DA599" t="inlineStr"/>
      <c r="DB599" t="inlineStr"/>
      <c r="DC599" t="inlineStr"/>
      <c r="DD599" t="inlineStr"/>
      <c r="DE599" t="inlineStr"/>
      <c r="DF599" t="inlineStr"/>
      <c r="DG599" t="inlineStr"/>
    </row>
    <row r="600">
      <c r="A600" t="inlineStr">
        <is>
          <t>III</t>
        </is>
      </c>
      <c r="B600" t="b">
        <v>1</v>
      </c>
      <c r="C600" t="inlineStr">
        <is>
          <t>x</t>
        </is>
      </c>
      <c r="D600" t="inlineStr"/>
      <c r="E600" t="n">
        <v>682</v>
      </c>
      <c r="F600">
        <f>HYPERLINK("https://portal.dnb.de/opac.htm?method=simpleSearch&amp;cqlMode=true&amp;query=idn%3D1066963169", "Portal")</f>
        <v/>
      </c>
      <c r="G600" t="inlineStr">
        <is>
          <t>Aaf</t>
        </is>
      </c>
      <c r="H600" t="inlineStr">
        <is>
          <t>L-1502-315493445</t>
        </is>
      </c>
      <c r="I600" t="inlineStr">
        <is>
          <t>1066963169</t>
        </is>
      </c>
      <c r="J600" t="inlineStr">
        <is>
          <t>III 69, 1</t>
        </is>
      </c>
      <c r="K600" t="inlineStr">
        <is>
          <t>III 69, 1</t>
        </is>
      </c>
      <c r="L600" t="inlineStr">
        <is>
          <t>III 69, 1</t>
        </is>
      </c>
      <c r="M600" t="inlineStr"/>
      <c r="N600" t="inlineStr">
        <is>
          <t xml:space="preserve">Kunst desz Notariat vnd wie sich der|| Notarius in seinem Ampt halten vnd regieren soll. Jst ver-||deütscht. Durch den ... herren Andres-||sen nawer. </t>
        </is>
      </c>
      <c r="O600" t="inlineStr">
        <is>
          <t xml:space="preserve"> : </t>
        </is>
      </c>
      <c r="P600" t="inlineStr">
        <is>
          <t>X</t>
        </is>
      </c>
      <c r="Q600" t="inlineStr"/>
      <c r="R600" t="inlineStr">
        <is>
          <t>Halbledereinband</t>
        </is>
      </c>
      <c r="S600" t="inlineStr">
        <is>
          <t>bis 25 cm</t>
        </is>
      </c>
      <c r="T600" t="inlineStr">
        <is>
          <t>80° bis 110°, einseitig digitalisierbar?</t>
        </is>
      </c>
      <c r="U600" t="inlineStr">
        <is>
          <t>hohler Rücken</t>
        </is>
      </c>
      <c r="V600" t="inlineStr"/>
      <c r="W600" t="inlineStr"/>
      <c r="X600" t="inlineStr">
        <is>
          <t>Signaturfahne austauschen</t>
        </is>
      </c>
      <c r="Y600" t="n">
        <v>1</v>
      </c>
      <c r="Z600" t="inlineStr"/>
      <c r="AA600" t="inlineStr"/>
      <c r="AB600" t="inlineStr"/>
      <c r="AC600" t="inlineStr"/>
      <c r="AD600" t="inlineStr"/>
      <c r="AE600" t="inlineStr"/>
      <c r="AF600" t="inlineStr"/>
      <c r="AG600" t="inlineStr"/>
      <c r="AH600" t="inlineStr"/>
      <c r="AI600" t="inlineStr">
        <is>
          <t>HL</t>
        </is>
      </c>
      <c r="AJ600" t="inlineStr"/>
      <c r="AK600" t="inlineStr"/>
      <c r="AL600" t="inlineStr"/>
      <c r="AM600" t="inlineStr">
        <is>
          <t>f/V</t>
        </is>
      </c>
      <c r="AN600" t="inlineStr"/>
      <c r="AO600" t="inlineStr"/>
      <c r="AP600" t="inlineStr"/>
      <c r="AQ600" t="inlineStr"/>
      <c r="AR600" t="inlineStr"/>
      <c r="AS600" t="inlineStr">
        <is>
          <t>Pa</t>
        </is>
      </c>
      <c r="AT600" t="inlineStr"/>
      <c r="AU600" t="inlineStr"/>
      <c r="AV600" t="inlineStr"/>
      <c r="AW600" t="inlineStr"/>
      <c r="AX600" t="inlineStr"/>
      <c r="AY600" t="inlineStr"/>
      <c r="AZ600" t="inlineStr"/>
      <c r="BA600" t="inlineStr"/>
      <c r="BB600" t="inlineStr"/>
      <c r="BC600" t="inlineStr"/>
      <c r="BD600" t="inlineStr"/>
      <c r="BE600" t="inlineStr"/>
      <c r="BF600" t="inlineStr"/>
      <c r="BG600" t="n">
        <v>80</v>
      </c>
      <c r="BH600" t="inlineStr"/>
      <c r="BI600" t="inlineStr"/>
      <c r="BJ600" t="inlineStr"/>
      <c r="BK600" t="inlineStr"/>
      <c r="BL600" t="inlineStr"/>
      <c r="BM600" t="inlineStr">
        <is>
          <t>ja vor</t>
        </is>
      </c>
      <c r="BN600" t="n">
        <v>1</v>
      </c>
      <c r="BO600" t="inlineStr"/>
      <c r="BP600" t="inlineStr"/>
      <c r="BQ600" t="inlineStr"/>
      <c r="BR600" t="inlineStr"/>
      <c r="BS600" t="inlineStr"/>
      <c r="BT600" t="inlineStr"/>
      <c r="BU600" t="inlineStr"/>
      <c r="BV600" t="inlineStr"/>
      <c r="BW600" t="inlineStr"/>
      <c r="BX600" t="inlineStr"/>
      <c r="BY600" t="inlineStr"/>
      <c r="BZ600" t="inlineStr">
        <is>
          <t>x</t>
        </is>
      </c>
      <c r="CA600" t="inlineStr"/>
      <c r="CB600" t="inlineStr">
        <is>
          <t>x</t>
        </is>
      </c>
      <c r="CC600" t="inlineStr"/>
      <c r="CD600" t="inlineStr">
        <is>
          <t>v</t>
        </is>
      </c>
      <c r="CE600" t="inlineStr"/>
      <c r="CF600" t="inlineStr"/>
      <c r="CG600" t="inlineStr"/>
      <c r="CH600" t="inlineStr"/>
      <c r="CI600" t="inlineStr"/>
      <c r="CJ600" t="inlineStr"/>
      <c r="CK600" t="inlineStr"/>
      <c r="CL600" t="inlineStr"/>
      <c r="CM600" t="n">
        <v>1</v>
      </c>
      <c r="CN600" t="inlineStr">
        <is>
          <t>evtl. sehr schmale Hülse</t>
        </is>
      </c>
      <c r="CO600" t="inlineStr"/>
      <c r="CP600" t="inlineStr"/>
      <c r="CQ600" t="inlineStr"/>
      <c r="CR600" t="inlineStr"/>
      <c r="CS600" t="inlineStr"/>
      <c r="CT600" t="inlineStr"/>
      <c r="CU600" t="inlineStr"/>
      <c r="CV600" t="inlineStr"/>
      <c r="CW600" t="inlineStr"/>
      <c r="CX600" t="inlineStr"/>
      <c r="CY600" t="inlineStr"/>
      <c r="CZ600" t="inlineStr"/>
      <c r="DA600" t="inlineStr"/>
      <c r="DB600" t="inlineStr"/>
      <c r="DC600" t="inlineStr"/>
      <c r="DD600" t="inlineStr"/>
      <c r="DE600" t="inlineStr"/>
      <c r="DF600" t="inlineStr"/>
      <c r="DG600" t="inlineStr"/>
    </row>
    <row r="601">
      <c r="A601" t="inlineStr">
        <is>
          <t>III</t>
        </is>
      </c>
      <c r="B601" t="b">
        <v>1</v>
      </c>
      <c r="C601" t="inlineStr">
        <is>
          <t>x</t>
        </is>
      </c>
      <c r="D601" t="inlineStr"/>
      <c r="E601" t="n">
        <v>683</v>
      </c>
      <c r="F601">
        <f>HYPERLINK("https://portal.dnb.de/opac.htm?method=simpleSearch&amp;cqlMode=true&amp;query=idn%3D1066956189", "Portal")</f>
        <v/>
      </c>
      <c r="G601" t="inlineStr">
        <is>
          <t>Aaf</t>
        </is>
      </c>
      <c r="H601" t="inlineStr">
        <is>
          <t>L-1502-315486910</t>
        </is>
      </c>
      <c r="I601" t="inlineStr">
        <is>
          <t>1066956189</t>
        </is>
      </c>
      <c r="J601" t="inlineStr">
        <is>
          <t>III 69, 2</t>
        </is>
      </c>
      <c r="K601" t="inlineStr">
        <is>
          <t>III 69, 2</t>
        </is>
      </c>
      <c r="L601" t="inlineStr">
        <is>
          <t>III 69, 2</t>
        </is>
      </c>
      <c r="M601" t="inlineStr"/>
      <c r="N601" t="inlineStr">
        <is>
          <t>Confessionale cõtinens|| tractatum decem preceptoru. Et septem vicioru ca||pitaliu.Cum quibusdã introductorijs: #[et] attin?ti=||bus.Collectis per Eng</t>
        </is>
      </c>
      <c r="O601" t="inlineStr">
        <is>
          <t xml:space="preserve"> : </t>
        </is>
      </c>
      <c r="P601" t="inlineStr"/>
      <c r="Q601" t="inlineStr"/>
      <c r="R601" t="inlineStr"/>
      <c r="S601" t="inlineStr">
        <is>
          <t>bis 25 cm</t>
        </is>
      </c>
      <c r="T601" t="inlineStr"/>
      <c r="U601" t="inlineStr"/>
      <c r="V601" t="inlineStr"/>
      <c r="W601" t="inlineStr"/>
      <c r="X601" t="inlineStr"/>
      <c r="Y601" t="inlineStr"/>
      <c r="Z601" t="inlineStr"/>
      <c r="AA601" t="inlineStr"/>
      <c r="AB601" t="inlineStr"/>
      <c r="AC601" t="inlineStr"/>
      <c r="AD601" t="inlineStr"/>
      <c r="AE601" t="inlineStr"/>
      <c r="AF601" t="inlineStr"/>
      <c r="AG601" t="inlineStr"/>
      <c r="AH601" t="inlineStr"/>
      <c r="AI601" t="inlineStr">
        <is>
          <t>G</t>
        </is>
      </c>
      <c r="AJ601" t="inlineStr"/>
      <c r="AK601" t="inlineStr"/>
      <c r="AL601" t="inlineStr"/>
      <c r="AM601" t="inlineStr">
        <is>
          <t>h/E</t>
        </is>
      </c>
      <c r="AN601" t="inlineStr"/>
      <c r="AO601" t="inlineStr"/>
      <c r="AP601" t="inlineStr"/>
      <c r="AQ601" t="inlineStr"/>
      <c r="AR601" t="inlineStr"/>
      <c r="AS601" t="inlineStr">
        <is>
          <t>Pa</t>
        </is>
      </c>
      <c r="AT601" t="inlineStr">
        <is>
          <t>x</t>
        </is>
      </c>
      <c r="AU601" t="inlineStr"/>
      <c r="AV601" t="inlineStr"/>
      <c r="AW601" t="inlineStr"/>
      <c r="AX601" t="inlineStr"/>
      <c r="AY601" t="inlineStr"/>
      <c r="AZ601" t="inlineStr"/>
      <c r="BA601" t="inlineStr"/>
      <c r="BB601" t="inlineStr"/>
      <c r="BC601" t="inlineStr"/>
      <c r="BD601" t="inlineStr"/>
      <c r="BE601" t="inlineStr"/>
      <c r="BF601" t="inlineStr"/>
      <c r="BG601" t="n">
        <v>110</v>
      </c>
      <c r="BH601" t="inlineStr"/>
      <c r="BI601" t="inlineStr"/>
      <c r="BJ601" t="inlineStr"/>
      <c r="BK601" t="inlineStr"/>
      <c r="BL601" t="inlineStr"/>
      <c r="BM601" t="inlineStr">
        <is>
          <t>ja vor</t>
        </is>
      </c>
      <c r="BN601" t="n">
        <v>0.5</v>
      </c>
      <c r="BO601" t="inlineStr"/>
      <c r="BP601" t="inlineStr"/>
      <c r="BQ601" t="inlineStr"/>
      <c r="BR601" t="inlineStr">
        <is>
          <t>x</t>
        </is>
      </c>
      <c r="BS601" t="inlineStr"/>
      <c r="BT601" t="inlineStr"/>
      <c r="BU601" t="inlineStr"/>
      <c r="BV601" t="inlineStr"/>
      <c r="BW601" t="inlineStr"/>
      <c r="BX601" t="inlineStr"/>
      <c r="BY601" t="inlineStr"/>
      <c r="BZ601" t="inlineStr">
        <is>
          <t>x</t>
        </is>
      </c>
      <c r="CA601" t="inlineStr"/>
      <c r="CB601" t="inlineStr">
        <is>
          <t>x</t>
        </is>
      </c>
      <c r="CC601" t="inlineStr"/>
      <c r="CD601" t="inlineStr"/>
      <c r="CE601" t="inlineStr"/>
      <c r="CF601" t="inlineStr"/>
      <c r="CG601" t="inlineStr"/>
      <c r="CH601" t="inlineStr"/>
      <c r="CI601" t="inlineStr"/>
      <c r="CJ601" t="inlineStr"/>
      <c r="CK601" t="inlineStr"/>
      <c r="CL601" t="inlineStr"/>
      <c r="CM601" t="n">
        <v>0.5</v>
      </c>
      <c r="CN601" t="inlineStr"/>
      <c r="CO601" t="inlineStr"/>
      <c r="CP601" t="inlineStr"/>
      <c r="CQ601" t="inlineStr"/>
      <c r="CR601" t="inlineStr"/>
      <c r="CS601" t="inlineStr"/>
      <c r="CT601" t="inlineStr"/>
      <c r="CU601" t="inlineStr"/>
      <c r="CV601" t="inlineStr"/>
      <c r="CW601" t="inlineStr"/>
      <c r="CX601" t="inlineStr"/>
      <c r="CY601" t="inlineStr"/>
      <c r="CZ601" t="inlineStr"/>
      <c r="DA601" t="inlineStr"/>
      <c r="DB601" t="inlineStr"/>
      <c r="DC601" t="inlineStr"/>
      <c r="DD601" t="inlineStr"/>
      <c r="DE601" t="inlineStr"/>
      <c r="DF601" t="inlineStr"/>
      <c r="DG601" t="inlineStr"/>
    </row>
    <row r="602">
      <c r="A602" t="inlineStr">
        <is>
          <t>III</t>
        </is>
      </c>
      <c r="B602" t="b">
        <v>1</v>
      </c>
      <c r="C602" t="inlineStr"/>
      <c r="D602" t="inlineStr"/>
      <c r="E602" t="n">
        <v>684</v>
      </c>
      <c r="F602">
        <f>HYPERLINK("https://portal.dnb.de/opac.htm?method=simpleSearch&amp;cqlMode=true&amp;query=idn%3D1066956227", "Portal")</f>
        <v/>
      </c>
      <c r="G602" t="inlineStr">
        <is>
          <t>Aaf</t>
        </is>
      </c>
      <c r="H602" t="inlineStr">
        <is>
          <t>L-1512-315486945</t>
        </is>
      </c>
      <c r="I602" t="inlineStr">
        <is>
          <t>1066956227</t>
        </is>
      </c>
      <c r="J602" t="inlineStr">
        <is>
          <t>III 69, 3</t>
        </is>
      </c>
      <c r="K602" t="inlineStr">
        <is>
          <t>III 69, 3</t>
        </is>
      </c>
      <c r="L602" t="inlineStr">
        <is>
          <t>III 69, 3</t>
        </is>
      </c>
      <c r="M602" t="inlineStr"/>
      <c r="N602" t="inlineStr">
        <is>
          <t xml:space="preserve">Elucidarius Dya||logicus theologie tripertitus: infi-||nitarum questionum resolutiuus.|| Vade mecum.|| : </t>
        </is>
      </c>
      <c r="O602" t="inlineStr">
        <is>
          <t xml:space="preserve"> : </t>
        </is>
      </c>
      <c r="P602" t="inlineStr"/>
      <c r="Q602" t="inlineStr"/>
      <c r="R602" t="inlineStr"/>
      <c r="S602" t="inlineStr">
        <is>
          <t>bis 25 cm</t>
        </is>
      </c>
      <c r="T602" t="inlineStr"/>
      <c r="U602" t="inlineStr"/>
      <c r="V602" t="inlineStr"/>
      <c r="W602" t="inlineStr"/>
      <c r="X602" t="inlineStr"/>
      <c r="Y602" t="inlineStr"/>
      <c r="Z602" t="inlineStr"/>
      <c r="AA602" t="inlineStr"/>
      <c r="AB602" t="inlineStr"/>
      <c r="AC602" t="inlineStr"/>
      <c r="AD602" t="inlineStr"/>
      <c r="AE602" t="inlineStr"/>
      <c r="AF602" t="inlineStr"/>
      <c r="AG602" t="inlineStr"/>
      <c r="AH602" t="inlineStr"/>
      <c r="AI602" t="inlineStr">
        <is>
          <t>HL</t>
        </is>
      </c>
      <c r="AJ602" t="inlineStr"/>
      <c r="AK602" t="inlineStr">
        <is>
          <t>x</t>
        </is>
      </c>
      <c r="AL602" t="inlineStr"/>
      <c r="AM602" t="inlineStr">
        <is>
          <t>h/E</t>
        </is>
      </c>
      <c r="AN602" t="inlineStr"/>
      <c r="AO602" t="inlineStr">
        <is>
          <t>x</t>
        </is>
      </c>
      <c r="AP602" t="inlineStr"/>
      <c r="AQ602" t="inlineStr"/>
      <c r="AR602" t="inlineStr"/>
      <c r="AS602" t="inlineStr">
        <is>
          <t>Pa</t>
        </is>
      </c>
      <c r="AT602" t="inlineStr">
        <is>
          <t>x</t>
        </is>
      </c>
      <c r="AU602" t="inlineStr"/>
      <c r="AV602" t="inlineStr"/>
      <c r="AW602" t="inlineStr"/>
      <c r="AX602" t="inlineStr"/>
      <c r="AY602" t="inlineStr"/>
      <c r="AZ602" t="inlineStr"/>
      <c r="BA602" t="inlineStr"/>
      <c r="BB602" t="inlineStr"/>
      <c r="BC602" t="inlineStr"/>
      <c r="BD602" t="inlineStr"/>
      <c r="BE602" t="inlineStr"/>
      <c r="BF602" t="inlineStr"/>
      <c r="BG602" t="n">
        <v>80</v>
      </c>
      <c r="BH602" t="inlineStr"/>
      <c r="BI602" t="inlineStr"/>
      <c r="BJ602" t="inlineStr"/>
      <c r="BK602" t="inlineStr"/>
      <c r="BL602" t="inlineStr"/>
      <c r="BM602" t="inlineStr">
        <is>
          <t>n</t>
        </is>
      </c>
      <c r="BN602" t="n">
        <v>0</v>
      </c>
      <c r="BO602" t="inlineStr"/>
      <c r="BP602" t="inlineStr"/>
      <c r="BQ602" t="inlineStr"/>
      <c r="BR602" t="inlineStr"/>
      <c r="BS602" t="inlineStr"/>
      <c r="BT602" t="inlineStr"/>
      <c r="BU602" t="inlineStr"/>
      <c r="BV602" t="inlineStr">
        <is>
          <t>Schaden stabil</t>
        </is>
      </c>
      <c r="BW602" t="inlineStr"/>
      <c r="BX602" t="inlineStr"/>
      <c r="BY602" t="inlineStr">
        <is>
          <t>Umschlag (Leder pudert)</t>
        </is>
      </c>
      <c r="BZ602" t="inlineStr"/>
      <c r="CA602" t="inlineStr"/>
      <c r="CB602" t="inlineStr"/>
      <c r="CC602" t="inlineStr"/>
      <c r="CD602" t="inlineStr"/>
      <c r="CE602" t="inlineStr"/>
      <c r="CF602" t="inlineStr"/>
      <c r="CG602" t="inlineStr"/>
      <c r="CH602" t="inlineStr"/>
      <c r="CI602" t="inlineStr"/>
      <c r="CJ602" t="inlineStr"/>
      <c r="CK602" t="inlineStr"/>
      <c r="CL602" t="inlineStr"/>
      <c r="CM602" t="inlineStr"/>
      <c r="CN602" t="inlineStr"/>
      <c r="CO602" t="inlineStr"/>
      <c r="CP602" t="inlineStr"/>
      <c r="CQ602" t="inlineStr"/>
      <c r="CR602" t="inlineStr"/>
      <c r="CS602" t="inlineStr"/>
      <c r="CT602" t="inlineStr"/>
      <c r="CU602" t="inlineStr"/>
      <c r="CV602" t="inlineStr"/>
      <c r="CW602" t="inlineStr"/>
      <c r="CX602" t="inlineStr"/>
      <c r="CY602" t="inlineStr"/>
      <c r="CZ602" t="inlineStr"/>
      <c r="DA602" t="inlineStr"/>
      <c r="DB602" t="inlineStr"/>
      <c r="DC602" t="inlineStr"/>
      <c r="DD602" t="inlineStr"/>
      <c r="DE602" t="inlineStr"/>
      <c r="DF602" t="inlineStr"/>
      <c r="DG602" t="inlineStr"/>
    </row>
    <row r="603">
      <c r="A603" t="inlineStr">
        <is>
          <t>III</t>
        </is>
      </c>
      <c r="B603" t="b">
        <v>1</v>
      </c>
      <c r="C603" t="inlineStr"/>
      <c r="D603" t="inlineStr"/>
      <c r="E603" t="n">
        <v>685</v>
      </c>
      <c r="F603">
        <f>HYPERLINK("https://portal.dnb.de/opac.htm?method=simpleSearch&amp;cqlMode=true&amp;query=idn%3D1066963266", "Portal")</f>
        <v/>
      </c>
      <c r="G603" t="inlineStr">
        <is>
          <t>Aaf</t>
        </is>
      </c>
      <c r="H603" t="inlineStr">
        <is>
          <t>L-1503-315493534</t>
        </is>
      </c>
      <c r="I603" t="inlineStr">
        <is>
          <t>1066963266</t>
        </is>
      </c>
      <c r="J603" t="inlineStr">
        <is>
          <t>III 69, 4</t>
        </is>
      </c>
      <c r="K603" t="inlineStr">
        <is>
          <t>III 69, 4</t>
        </is>
      </c>
      <c r="L603" t="inlineStr">
        <is>
          <t>III 69, 4</t>
        </is>
      </c>
      <c r="M603" t="inlineStr"/>
      <c r="N603" t="inlineStr">
        <is>
          <t>De Gloriosissime im#[pro]atricis nostre virginis|| Marie altissimi genitricis cesarei Con||ceptione sermonem varijs et do=||gmatibus preclarissimo#[ru</t>
        </is>
      </c>
      <c r="O603" t="inlineStr">
        <is>
          <t xml:space="preserve"> : </t>
        </is>
      </c>
      <c r="P603" t="inlineStr">
        <is>
          <t>X</t>
        </is>
      </c>
      <c r="Q603" t="inlineStr"/>
      <c r="R603" t="inlineStr">
        <is>
          <t>Pergamentband</t>
        </is>
      </c>
      <c r="S603" t="inlineStr">
        <is>
          <t>bis 25 cm</t>
        </is>
      </c>
      <c r="T603" t="inlineStr">
        <is>
          <t>180°</t>
        </is>
      </c>
      <c r="U603" t="inlineStr">
        <is>
          <t>hohler Rücken</t>
        </is>
      </c>
      <c r="V603" t="inlineStr"/>
      <c r="W603" t="inlineStr">
        <is>
          <t>Kassette</t>
        </is>
      </c>
      <c r="X603" t="inlineStr">
        <is>
          <t>Nein</t>
        </is>
      </c>
      <c r="Y603" t="n">
        <v>0</v>
      </c>
      <c r="Z603" t="inlineStr"/>
      <c r="AA603" t="inlineStr"/>
      <c r="AB603" t="inlineStr"/>
      <c r="AC603" t="inlineStr"/>
      <c r="AD603" t="inlineStr"/>
      <c r="AE603" t="inlineStr"/>
      <c r="AF603" t="inlineStr"/>
      <c r="AG603" t="inlineStr"/>
      <c r="AH603" t="inlineStr"/>
      <c r="AI603" t="inlineStr">
        <is>
          <t>Pg</t>
        </is>
      </c>
      <c r="AJ603" t="inlineStr"/>
      <c r="AK603" t="inlineStr"/>
      <c r="AL603" t="inlineStr">
        <is>
          <t>x</t>
        </is>
      </c>
      <c r="AM603" t="inlineStr">
        <is>
          <t>h/E</t>
        </is>
      </c>
      <c r="AN603" t="inlineStr"/>
      <c r="AO603" t="inlineStr"/>
      <c r="AP603" t="inlineStr"/>
      <c r="AQ603" t="inlineStr"/>
      <c r="AR603" t="inlineStr"/>
      <c r="AS603" t="inlineStr">
        <is>
          <t>Pa</t>
        </is>
      </c>
      <c r="AT603" t="inlineStr"/>
      <c r="AU603" t="inlineStr"/>
      <c r="AV603" t="inlineStr"/>
      <c r="AW603" t="inlineStr"/>
      <c r="AX603" t="inlineStr"/>
      <c r="AY603" t="inlineStr"/>
      <c r="AZ603" t="inlineStr"/>
      <c r="BA603" t="inlineStr"/>
      <c r="BB603" t="inlineStr"/>
      <c r="BC603" t="inlineStr">
        <is>
          <t>R</t>
        </is>
      </c>
      <c r="BD603" t="inlineStr">
        <is>
          <t>x</t>
        </is>
      </c>
      <c r="BE603" t="inlineStr"/>
      <c r="BF603" t="inlineStr"/>
      <c r="BG603" t="n">
        <v>110</v>
      </c>
      <c r="BH603" t="inlineStr"/>
      <c r="BI603" t="inlineStr"/>
      <c r="BJ603" t="inlineStr"/>
      <c r="BK603" t="inlineStr"/>
      <c r="BL603" t="inlineStr"/>
      <c r="BM603" t="inlineStr">
        <is>
          <t>n</t>
        </is>
      </c>
      <c r="BN603" t="n">
        <v>0</v>
      </c>
      <c r="BO603" t="inlineStr"/>
      <c r="BP603" t="inlineStr">
        <is>
          <t>Gewebe</t>
        </is>
      </c>
      <c r="BQ603" t="inlineStr"/>
      <c r="BR603" t="inlineStr"/>
      <c r="BS603" t="inlineStr"/>
      <c r="BT603" t="inlineStr"/>
      <c r="BU603" t="inlineStr"/>
      <c r="BV603" t="inlineStr"/>
      <c r="BW603" t="inlineStr"/>
      <c r="BX603" t="inlineStr"/>
      <c r="BY603" t="inlineStr"/>
      <c r="BZ603" t="inlineStr"/>
      <c r="CA603" t="inlineStr"/>
      <c r="CB603" t="inlineStr"/>
      <c r="CC603" t="inlineStr"/>
      <c r="CD603" t="inlineStr"/>
      <c r="CE603" t="inlineStr"/>
      <c r="CF603" t="inlineStr"/>
      <c r="CG603" t="inlineStr"/>
      <c r="CH603" t="inlineStr"/>
      <c r="CI603" t="inlineStr"/>
      <c r="CJ603" t="inlineStr"/>
      <c r="CK603" t="inlineStr"/>
      <c r="CL603" t="inlineStr"/>
      <c r="CM603" t="inlineStr"/>
      <c r="CN603" t="inlineStr"/>
      <c r="CO603" t="inlineStr"/>
      <c r="CP603" t="inlineStr"/>
      <c r="CQ603" t="inlineStr"/>
      <c r="CR603" t="inlineStr"/>
      <c r="CS603" t="inlineStr"/>
      <c r="CT603" t="inlineStr"/>
      <c r="CU603" t="inlineStr"/>
      <c r="CV603" t="inlineStr"/>
      <c r="CW603" t="inlineStr"/>
      <c r="CX603" t="inlineStr"/>
      <c r="CY603" t="inlineStr"/>
      <c r="CZ603" t="inlineStr"/>
      <c r="DA603" t="inlineStr"/>
      <c r="DB603" t="inlineStr"/>
      <c r="DC603" t="inlineStr"/>
      <c r="DD603" t="inlineStr"/>
      <c r="DE603" t="inlineStr"/>
      <c r="DF603" t="inlineStr"/>
      <c r="DG603" t="inlineStr"/>
    </row>
    <row r="604">
      <c r="A604" t="inlineStr">
        <is>
          <t>III</t>
        </is>
      </c>
      <c r="B604" t="b">
        <v>1</v>
      </c>
      <c r="C604" t="inlineStr"/>
      <c r="D604" t="inlineStr"/>
      <c r="E604" t="inlineStr"/>
      <c r="F604">
        <f>HYPERLINK("https://portal.dnb.de/opac.htm?method=simpleSearch&amp;cqlMode=true&amp;query=idn%3D1263033296", "Portal")</f>
        <v/>
      </c>
      <c r="G604" t="inlineStr">
        <is>
          <t>Qd</t>
        </is>
      </c>
      <c r="H604" t="inlineStr">
        <is>
          <t>L-1506-785156844</t>
        </is>
      </c>
      <c r="I604" t="inlineStr">
        <is>
          <t>1263033296</t>
        </is>
      </c>
      <c r="J604" t="inlineStr">
        <is>
          <t>III 69, 5</t>
        </is>
      </c>
      <c r="K604" t="inlineStr">
        <is>
          <t>III 69, 5</t>
        </is>
      </c>
      <c r="L604" t="inlineStr">
        <is>
          <t>III 69, 5</t>
        </is>
      </c>
      <c r="M604" t="inlineStr"/>
      <c r="N604" t="inlineStr">
        <is>
          <t xml:space="preserve">Sammelband mit "Füllmaterial" : </t>
        </is>
      </c>
      <c r="O604" t="inlineStr">
        <is>
          <t xml:space="preserve"> : </t>
        </is>
      </c>
      <c r="P604" t="inlineStr"/>
      <c r="Q604" t="inlineStr"/>
      <c r="R604" t="inlineStr"/>
      <c r="S604" t="inlineStr"/>
      <c r="T604" t="inlineStr"/>
      <c r="U604" t="inlineStr"/>
      <c r="V604" t="inlineStr"/>
      <c r="W604" t="inlineStr"/>
      <c r="X604" t="inlineStr"/>
      <c r="Y604" t="inlineStr"/>
      <c r="Z604" t="inlineStr"/>
      <c r="AA604" t="inlineStr"/>
      <c r="AB604" t="inlineStr"/>
      <c r="AC604" t="inlineStr"/>
      <c r="AD604" t="inlineStr"/>
      <c r="AE604" t="inlineStr"/>
      <c r="AF604" t="inlineStr"/>
      <c r="AG604" t="inlineStr"/>
      <c r="AH604" t="inlineStr"/>
      <c r="AI604" t="inlineStr"/>
      <c r="AJ604" t="inlineStr"/>
      <c r="AK604" t="inlineStr"/>
      <c r="AL604" t="inlineStr"/>
      <c r="AM604" t="inlineStr"/>
      <c r="AN604" t="inlineStr"/>
      <c r="AO604" t="inlineStr"/>
      <c r="AP604" t="inlineStr"/>
      <c r="AQ604" t="inlineStr"/>
      <c r="AR604" t="inlineStr"/>
      <c r="AS604" t="inlineStr"/>
      <c r="AT604" t="inlineStr"/>
      <c r="AU604" t="inlineStr"/>
      <c r="AV604" t="inlineStr"/>
      <c r="AW604" t="inlineStr"/>
      <c r="AX604" t="inlineStr"/>
      <c r="AY604" t="inlineStr"/>
      <c r="AZ604" t="inlineStr"/>
      <c r="BA604" t="inlineStr"/>
      <c r="BB604" t="inlineStr"/>
      <c r="BC604" t="inlineStr"/>
      <c r="BD604" t="inlineStr"/>
      <c r="BE604" t="inlineStr"/>
      <c r="BF604" t="inlineStr"/>
      <c r="BG604" t="inlineStr"/>
      <c r="BH604" t="inlineStr"/>
      <c r="BI604" t="inlineStr"/>
      <c r="BJ604" t="inlineStr"/>
      <c r="BK604" t="inlineStr"/>
      <c r="BL604" t="inlineStr"/>
      <c r="BM604" t="inlineStr"/>
      <c r="BN604" t="n">
        <v>0</v>
      </c>
      <c r="BO604" t="inlineStr"/>
      <c r="BP604" t="inlineStr"/>
      <c r="BQ604" t="inlineStr"/>
      <c r="BR604" t="inlineStr"/>
      <c r="BS604" t="inlineStr"/>
      <c r="BT604" t="inlineStr"/>
      <c r="BU604" t="inlineStr"/>
      <c r="BV604" t="inlineStr"/>
      <c r="BW604" t="inlineStr"/>
      <c r="BX604" t="inlineStr"/>
      <c r="BY604" t="inlineStr"/>
      <c r="BZ604" t="inlineStr"/>
      <c r="CA604" t="inlineStr"/>
      <c r="CB604" t="inlineStr"/>
      <c r="CC604" t="inlineStr"/>
      <c r="CD604" t="inlineStr"/>
      <c r="CE604" t="inlineStr"/>
      <c r="CF604" t="inlineStr"/>
      <c r="CG604" t="inlineStr"/>
      <c r="CH604" t="inlineStr"/>
      <c r="CI604" t="inlineStr"/>
      <c r="CJ604" t="inlineStr"/>
      <c r="CK604" t="inlineStr"/>
      <c r="CL604" t="inlineStr"/>
      <c r="CM604" t="inlineStr"/>
      <c r="CN604" t="inlineStr"/>
      <c r="CO604" t="inlineStr"/>
      <c r="CP604" t="inlineStr"/>
      <c r="CQ604" t="inlineStr"/>
      <c r="CR604" t="inlineStr"/>
      <c r="CS604" t="inlineStr"/>
      <c r="CT604" t="inlineStr"/>
      <c r="CU604" t="inlineStr"/>
      <c r="CV604" t="inlineStr"/>
      <c r="CW604" t="inlineStr"/>
      <c r="CX604" t="inlineStr"/>
      <c r="CY604" t="inlineStr"/>
      <c r="CZ604" t="inlineStr"/>
      <c r="DA604" t="inlineStr"/>
      <c r="DB604" t="inlineStr"/>
      <c r="DC604" t="inlineStr"/>
      <c r="DD604" t="inlineStr"/>
      <c r="DE604" t="inlineStr"/>
      <c r="DF604" t="inlineStr"/>
      <c r="DG604" t="inlineStr"/>
    </row>
    <row r="605">
      <c r="A605" t="inlineStr">
        <is>
          <t>III</t>
        </is>
      </c>
      <c r="B605" t="b">
        <v>1</v>
      </c>
      <c r="C605" t="inlineStr"/>
      <c r="D605" t="inlineStr"/>
      <c r="E605" t="n">
        <v>687</v>
      </c>
      <c r="F605">
        <f>HYPERLINK("https://portal.dnb.de/opac.htm?method=simpleSearch&amp;cqlMode=true&amp;query=idn%3D1066960143", "Portal")</f>
        <v/>
      </c>
      <c r="G605" t="inlineStr">
        <is>
          <t>Aaf</t>
        </is>
      </c>
      <c r="H605" t="inlineStr">
        <is>
          <t>L-1517-315490667</t>
        </is>
      </c>
      <c r="I605" t="inlineStr">
        <is>
          <t>1066960143</t>
        </is>
      </c>
      <c r="J605" t="inlineStr">
        <is>
          <t>III 69, 6</t>
        </is>
      </c>
      <c r="K605" t="inlineStr">
        <is>
          <t>III 69, 6</t>
        </is>
      </c>
      <c r="L605" t="inlineStr">
        <is>
          <t>III 69, 6</t>
        </is>
      </c>
      <c r="M605" t="inlineStr"/>
      <c r="N605" t="inlineStr">
        <is>
          <t xml:space="preserve">Missale #[s]sm Choru #[et]|| Ritu Eysteteñ. Ecclesie.|| : </t>
        </is>
      </c>
      <c r="O605" t="inlineStr">
        <is>
          <t xml:space="preserve"> : </t>
        </is>
      </c>
      <c r="P605" t="inlineStr"/>
      <c r="Q605" t="inlineStr"/>
      <c r="R605" t="inlineStr"/>
      <c r="S605" t="inlineStr">
        <is>
          <t>bis 42 cm</t>
        </is>
      </c>
      <c r="T605" t="inlineStr"/>
      <c r="U605" t="inlineStr"/>
      <c r="V605" t="inlineStr"/>
      <c r="W605" t="inlineStr"/>
      <c r="X605" t="inlineStr"/>
      <c r="Y605" t="inlineStr"/>
      <c r="Z605" t="inlineStr"/>
      <c r="AA605" t="inlineStr"/>
      <c r="AB605" t="inlineStr"/>
      <c r="AC605" t="inlineStr"/>
      <c r="AD605" t="inlineStr"/>
      <c r="AE605" t="inlineStr"/>
      <c r="AF605" t="inlineStr"/>
      <c r="AG605" t="inlineStr"/>
      <c r="AH605" t="inlineStr"/>
      <c r="AI605" t="inlineStr">
        <is>
          <t>HD</t>
        </is>
      </c>
      <c r="AJ605" t="inlineStr"/>
      <c r="AK605" t="inlineStr">
        <is>
          <t>x</t>
        </is>
      </c>
      <c r="AL605" t="inlineStr">
        <is>
          <t>x</t>
        </is>
      </c>
      <c r="AM605" t="inlineStr">
        <is>
          <t>h/E</t>
        </is>
      </c>
      <c r="AN605" t="inlineStr"/>
      <c r="AO605" t="inlineStr"/>
      <c r="AP605" t="inlineStr"/>
      <c r="AQ605" t="inlineStr"/>
      <c r="AR605" t="inlineStr"/>
      <c r="AS605" t="inlineStr">
        <is>
          <t>Pa/Pg</t>
        </is>
      </c>
      <c r="AT605" t="inlineStr"/>
      <c r="AU605" t="inlineStr"/>
      <c r="AV605" t="inlineStr"/>
      <c r="AW605" t="inlineStr"/>
      <c r="AX605" t="inlineStr"/>
      <c r="AY605" t="inlineStr"/>
      <c r="AZ605" t="inlineStr"/>
      <c r="BA605" t="inlineStr"/>
      <c r="BB605" t="inlineStr"/>
      <c r="BC605" t="inlineStr"/>
      <c r="BD605" t="inlineStr"/>
      <c r="BE605" t="inlineStr"/>
      <c r="BF605" t="inlineStr"/>
      <c r="BG605" t="n">
        <v>110</v>
      </c>
      <c r="BH605" t="inlineStr"/>
      <c r="BI605" t="inlineStr"/>
      <c r="BJ605" t="inlineStr"/>
      <c r="BK605" t="inlineStr"/>
      <c r="BL605" t="inlineStr"/>
      <c r="BM605" t="inlineStr">
        <is>
          <t>n</t>
        </is>
      </c>
      <c r="BN605" t="n">
        <v>0</v>
      </c>
      <c r="BO605" t="inlineStr"/>
      <c r="BP605" t="inlineStr"/>
      <c r="BQ605" t="inlineStr"/>
      <c r="BR605" t="inlineStr"/>
      <c r="BS605" t="inlineStr"/>
      <c r="BT605" t="inlineStr"/>
      <c r="BU605" t="inlineStr"/>
      <c r="BV605" t="inlineStr"/>
      <c r="BW605" t="inlineStr">
        <is>
          <t>x 110</t>
        </is>
      </c>
      <c r="BX605" t="inlineStr">
        <is>
          <t xml:space="preserve">
BB aus Papier mit Perg.lage</t>
        </is>
      </c>
      <c r="BY605" t="inlineStr"/>
      <c r="BZ605" t="inlineStr"/>
      <c r="CA605" t="inlineStr"/>
      <c r="CB605" t="inlineStr"/>
      <c r="CC605" t="inlineStr"/>
      <c r="CD605" t="inlineStr"/>
      <c r="CE605" t="inlineStr"/>
      <c r="CF605" t="inlineStr"/>
      <c r="CG605" t="inlineStr"/>
      <c r="CH605" t="inlineStr"/>
      <c r="CI605" t="inlineStr"/>
      <c r="CJ605" t="inlineStr"/>
      <c r="CK605" t="inlineStr"/>
      <c r="CL605" t="inlineStr"/>
      <c r="CM605" t="inlineStr"/>
      <c r="CN605" t="inlineStr"/>
      <c r="CO605" t="inlineStr"/>
      <c r="CP605" t="inlineStr"/>
      <c r="CQ605" t="inlineStr"/>
      <c r="CR605" t="inlineStr"/>
      <c r="CS605" t="inlineStr"/>
      <c r="CT605" t="inlineStr"/>
      <c r="CU605" t="inlineStr"/>
      <c r="CV605" t="inlineStr"/>
      <c r="CW605" t="inlineStr"/>
      <c r="CX605" t="inlineStr"/>
      <c r="CY605" t="inlineStr"/>
      <c r="CZ605" t="inlineStr"/>
      <c r="DA605" t="inlineStr"/>
      <c r="DB605" t="inlineStr"/>
      <c r="DC605" t="inlineStr"/>
      <c r="DD605" t="inlineStr"/>
      <c r="DE605" t="inlineStr"/>
      <c r="DF605" t="inlineStr"/>
      <c r="DG605" t="inlineStr"/>
    </row>
    <row r="606">
      <c r="A606" t="inlineStr">
        <is>
          <t>III</t>
        </is>
      </c>
      <c r="B606" t="b">
        <v>1</v>
      </c>
      <c r="C606" t="inlineStr">
        <is>
          <t>x</t>
        </is>
      </c>
      <c r="D606" t="inlineStr"/>
      <c r="E606" t="n">
        <v>688</v>
      </c>
      <c r="F606">
        <f>HYPERLINK("https://portal.dnb.de/opac.htm?method=simpleSearch&amp;cqlMode=true&amp;query=idn%3D1066963908", "Portal")</f>
        <v/>
      </c>
      <c r="G606" t="inlineStr">
        <is>
          <t>Aaf</t>
        </is>
      </c>
      <c r="H606" t="inlineStr">
        <is>
          <t>L-1503-315494107</t>
        </is>
      </c>
      <c r="I606" t="inlineStr">
        <is>
          <t>1066963908</t>
        </is>
      </c>
      <c r="J606" t="inlineStr">
        <is>
          <t>III 69, 7</t>
        </is>
      </c>
      <c r="K606" t="inlineStr">
        <is>
          <t>III 69, 7</t>
        </is>
      </c>
      <c r="L606" t="inlineStr">
        <is>
          <t>III 69, 7</t>
        </is>
      </c>
      <c r="M606" t="inlineStr"/>
      <c r="N606" t="inlineStr">
        <is>
          <t xml:space="preserve">Missale et de t?#[por]e et de|| sanct#[is] nedu #[s]m ordina||riu archiepiscopatus ec||clesie pragensis.|| : </t>
        </is>
      </c>
      <c r="O606" t="inlineStr">
        <is>
          <t xml:space="preserve"> : </t>
        </is>
      </c>
      <c r="P606" t="inlineStr"/>
      <c r="Q606" t="inlineStr"/>
      <c r="R606" t="inlineStr"/>
      <c r="S606" t="inlineStr">
        <is>
          <t>bis 35 cm</t>
        </is>
      </c>
      <c r="T606" t="inlineStr"/>
      <c r="U606" t="inlineStr"/>
      <c r="V606" t="inlineStr"/>
      <c r="W606" t="inlineStr"/>
      <c r="X606" t="inlineStr"/>
      <c r="Y606" t="inlineStr"/>
      <c r="Z606" t="inlineStr"/>
      <c r="AA606" t="inlineStr"/>
      <c r="AB606" t="inlineStr"/>
      <c r="AC606" t="inlineStr"/>
      <c r="AD606" t="inlineStr"/>
      <c r="AE606" t="inlineStr"/>
      <c r="AF606" t="inlineStr"/>
      <c r="AG606" t="inlineStr"/>
      <c r="AH606" t="inlineStr"/>
      <c r="AI606" t="inlineStr">
        <is>
          <t>HD</t>
        </is>
      </c>
      <c r="AJ606" t="inlineStr"/>
      <c r="AK606" t="inlineStr">
        <is>
          <t>x</t>
        </is>
      </c>
      <c r="AL606" t="inlineStr">
        <is>
          <t>x</t>
        </is>
      </c>
      <c r="AM606" t="inlineStr">
        <is>
          <t>h/E</t>
        </is>
      </c>
      <c r="AN606" t="inlineStr"/>
      <c r="AO606" t="inlineStr"/>
      <c r="AP606" t="inlineStr"/>
      <c r="AQ606" t="inlineStr"/>
      <c r="AR606" t="inlineStr"/>
      <c r="AS606" t="inlineStr">
        <is>
          <t>Pa/Pg</t>
        </is>
      </c>
      <c r="AT606" t="inlineStr"/>
      <c r="AU606" t="inlineStr"/>
      <c r="AV606" t="inlineStr"/>
      <c r="AW606" t="inlineStr"/>
      <c r="AX606" t="inlineStr"/>
      <c r="AY606" t="inlineStr"/>
      <c r="AZ606" t="inlineStr"/>
      <c r="BA606" t="inlineStr"/>
      <c r="BB606" t="inlineStr"/>
      <c r="BC606" t="inlineStr">
        <is>
          <t>B/I/R</t>
        </is>
      </c>
      <c r="BD606" t="inlineStr">
        <is>
          <t>x</t>
        </is>
      </c>
      <c r="BE606" t="inlineStr"/>
      <c r="BF606" t="inlineStr"/>
      <c r="BG606" t="n">
        <v>110</v>
      </c>
      <c r="BH606" t="inlineStr"/>
      <c r="BI606" t="inlineStr">
        <is>
          <t>x</t>
        </is>
      </c>
      <c r="BJ606" t="inlineStr">
        <is>
          <t xml:space="preserve">
Rücken ggf. unterfüttern</t>
        </is>
      </c>
      <c r="BK606" t="inlineStr"/>
      <c r="BL606" t="inlineStr"/>
      <c r="BM606" t="inlineStr">
        <is>
          <t>ja vor</t>
        </is>
      </c>
      <c r="BN606" t="n">
        <v>1</v>
      </c>
      <c r="BO606" t="inlineStr"/>
      <c r="BP606" t="inlineStr"/>
      <c r="BQ606" t="inlineStr"/>
      <c r="BR606" t="inlineStr"/>
      <c r="BS606" t="inlineStr"/>
      <c r="BT606" t="inlineStr"/>
      <c r="BU606" t="inlineStr"/>
      <c r="BV606" t="inlineStr">
        <is>
          <t>Gelenke trotzt Schaden stabil, ggf. nach Digit. Restaurieren</t>
        </is>
      </c>
      <c r="BW606" t="inlineStr"/>
      <c r="BX606" t="inlineStr"/>
      <c r="BY606" t="inlineStr">
        <is>
          <t>Box</t>
        </is>
      </c>
      <c r="BZ606" t="inlineStr"/>
      <c r="CA606" t="inlineStr">
        <is>
          <t>x</t>
        </is>
      </c>
      <c r="CB606" t="inlineStr">
        <is>
          <t>x</t>
        </is>
      </c>
      <c r="CC606" t="inlineStr">
        <is>
          <t>x</t>
        </is>
      </c>
      <c r="CD606" t="inlineStr">
        <is>
          <t>v/h</t>
        </is>
      </c>
      <c r="CE606" t="inlineStr"/>
      <c r="CF606" t="inlineStr"/>
      <c r="CG606" t="inlineStr"/>
      <c r="CH606" t="inlineStr"/>
      <c r="CI606" t="inlineStr"/>
      <c r="CJ606" t="inlineStr"/>
      <c r="CK606" t="inlineStr"/>
      <c r="CL606" t="inlineStr"/>
      <c r="CM606" t="n">
        <v>1</v>
      </c>
      <c r="CN606" t="inlineStr">
        <is>
          <t>nur loses Leder fixieren, Gelenke belassen (ist stabil genug), ggf. nach Digit. restaurieren)</t>
        </is>
      </c>
      <c r="CO606" t="inlineStr"/>
      <c r="CP606" t="inlineStr"/>
      <c r="CQ606" t="inlineStr"/>
      <c r="CR606" t="inlineStr"/>
      <c r="CS606" t="inlineStr"/>
      <c r="CT606" t="inlineStr"/>
      <c r="CU606" t="inlineStr"/>
      <c r="CV606" t="inlineStr"/>
      <c r="CW606" t="inlineStr"/>
      <c r="CX606" t="inlineStr"/>
      <c r="CY606" t="inlineStr"/>
      <c r="CZ606" t="inlineStr"/>
      <c r="DA606" t="inlineStr"/>
      <c r="DB606" t="inlineStr"/>
      <c r="DC606" t="inlineStr"/>
      <c r="DD606" t="inlineStr"/>
      <c r="DE606" t="inlineStr"/>
      <c r="DF606" t="inlineStr"/>
      <c r="DG606" t="inlineStr"/>
    </row>
    <row r="607">
      <c r="A607" t="inlineStr">
        <is>
          <t>III</t>
        </is>
      </c>
      <c r="B607" t="b">
        <v>1</v>
      </c>
      <c r="C607" t="inlineStr"/>
      <c r="D607" t="inlineStr"/>
      <c r="E607" t="n">
        <v>689</v>
      </c>
      <c r="F607">
        <f>HYPERLINK("https://portal.dnb.de/opac.htm?method=simpleSearch&amp;cqlMode=true&amp;query=idn%3D106694203X", "Portal")</f>
        <v/>
      </c>
      <c r="G607" t="inlineStr">
        <is>
          <t>Aaf</t>
        </is>
      </c>
      <c r="H607" t="inlineStr">
        <is>
          <t>L-1508-315469676</t>
        </is>
      </c>
      <c r="I607" t="inlineStr">
        <is>
          <t>106694203X</t>
        </is>
      </c>
      <c r="J607" t="inlineStr">
        <is>
          <t>III 69, 8</t>
        </is>
      </c>
      <c r="K607" t="inlineStr">
        <is>
          <t>III 69, 8</t>
        </is>
      </c>
      <c r="L607" t="inlineStr">
        <is>
          <t>III 69, 8</t>
        </is>
      </c>
      <c r="M607" t="inlineStr"/>
      <c r="N607" t="inlineStr">
        <is>
          <t>Ein @spiegel der naturlichen himlischen|| vnd prophetischen sehungen aller tr#[ue]bsalen/ angst/ vnd not/|| die vber alle stende/ geschlechte/ vnd gem</t>
        </is>
      </c>
      <c r="O607" t="inlineStr">
        <is>
          <t xml:space="preserve"> : </t>
        </is>
      </c>
      <c r="P607" t="inlineStr">
        <is>
          <t>X</t>
        </is>
      </c>
      <c r="Q607" t="inlineStr"/>
      <c r="R607" t="inlineStr">
        <is>
          <t>Pergamentband</t>
        </is>
      </c>
      <c r="S607" t="inlineStr">
        <is>
          <t>bis 35 cm</t>
        </is>
      </c>
      <c r="T607" t="inlineStr">
        <is>
          <t>80° bis 110°, einseitig digitalisierbar?</t>
        </is>
      </c>
      <c r="U607" t="inlineStr"/>
      <c r="V607" t="inlineStr"/>
      <c r="W607" t="inlineStr">
        <is>
          <t>Kassette</t>
        </is>
      </c>
      <c r="X607" t="inlineStr">
        <is>
          <t>Nein</t>
        </is>
      </c>
      <c r="Y607" t="n">
        <v>0</v>
      </c>
      <c r="Z607" t="inlineStr"/>
      <c r="AA607" t="inlineStr">
        <is>
          <t>Originaleinband liegt bei</t>
        </is>
      </c>
      <c r="AB607" t="inlineStr"/>
      <c r="AC607" t="inlineStr"/>
      <c r="AD607" t="inlineStr"/>
      <c r="AE607" t="inlineStr"/>
      <c r="AF607" t="inlineStr"/>
      <c r="AG607" t="inlineStr"/>
      <c r="AH607" t="inlineStr"/>
      <c r="AI607" t="inlineStr"/>
      <c r="AJ607" t="inlineStr"/>
      <c r="AK607" t="inlineStr"/>
      <c r="AL607" t="inlineStr"/>
      <c r="AM607" t="inlineStr"/>
      <c r="AN607" t="inlineStr"/>
      <c r="AO607" t="inlineStr"/>
      <c r="AP607" t="inlineStr"/>
      <c r="AQ607" t="inlineStr"/>
      <c r="AR607" t="inlineStr"/>
      <c r="AS607" t="inlineStr"/>
      <c r="AT607" t="inlineStr"/>
      <c r="AU607" t="inlineStr"/>
      <c r="AV607" t="inlineStr"/>
      <c r="AW607" t="inlineStr"/>
      <c r="AX607" t="inlineStr"/>
      <c r="AY607" t="inlineStr"/>
      <c r="AZ607" t="inlineStr"/>
      <c r="BA607" t="inlineStr"/>
      <c r="BB607" t="inlineStr"/>
      <c r="BC607" t="inlineStr"/>
      <c r="BD607" t="inlineStr"/>
      <c r="BE607" t="inlineStr"/>
      <c r="BF607" t="inlineStr"/>
      <c r="BG607" t="inlineStr"/>
      <c r="BH607" t="inlineStr"/>
      <c r="BI607" t="inlineStr"/>
      <c r="BJ607" t="inlineStr"/>
      <c r="BK607" t="inlineStr"/>
      <c r="BL607" t="inlineStr"/>
      <c r="BM607" t="inlineStr"/>
      <c r="BN607" t="n">
        <v>0</v>
      </c>
      <c r="BO607" t="inlineStr"/>
      <c r="BP607" t="inlineStr"/>
      <c r="BQ607" t="inlineStr"/>
      <c r="BR607" t="inlineStr"/>
      <c r="BS607" t="inlineStr"/>
      <c r="BT607" t="inlineStr"/>
      <c r="BU607" t="inlineStr"/>
      <c r="BV607" t="inlineStr"/>
      <c r="BW607" t="inlineStr"/>
      <c r="BX607" t="inlineStr"/>
      <c r="BY607" t="inlineStr"/>
      <c r="BZ607" t="inlineStr"/>
      <c r="CA607" t="inlineStr"/>
      <c r="CB607" t="inlineStr"/>
      <c r="CC607" t="inlineStr"/>
      <c r="CD607" t="inlineStr"/>
      <c r="CE607" t="inlineStr"/>
      <c r="CF607" t="inlineStr"/>
      <c r="CG607" t="inlineStr"/>
      <c r="CH607" t="inlineStr"/>
      <c r="CI607" t="inlineStr"/>
      <c r="CJ607" t="inlineStr"/>
      <c r="CK607" t="inlineStr"/>
      <c r="CL607" t="inlineStr"/>
      <c r="CM607" t="inlineStr"/>
      <c r="CN607" t="inlineStr"/>
      <c r="CO607" t="inlineStr"/>
      <c r="CP607" t="inlineStr"/>
      <c r="CQ607" t="inlineStr"/>
      <c r="CR607" t="inlineStr"/>
      <c r="CS607" t="inlineStr"/>
      <c r="CT607" t="inlineStr"/>
      <c r="CU607" t="inlineStr"/>
      <c r="CV607" t="inlineStr"/>
      <c r="CW607" t="inlineStr"/>
      <c r="CX607" t="inlineStr"/>
      <c r="CY607" t="inlineStr"/>
      <c r="CZ607" t="inlineStr"/>
      <c r="DA607" t="inlineStr"/>
      <c r="DB607" t="inlineStr"/>
      <c r="DC607" t="inlineStr"/>
      <c r="DD607" t="inlineStr"/>
      <c r="DE607" t="inlineStr"/>
      <c r="DF607" t="inlineStr"/>
      <c r="DG607" t="inlineStr"/>
    </row>
    <row r="608">
      <c r="A608" t="inlineStr">
        <is>
          <t>III</t>
        </is>
      </c>
      <c r="B608" t="b">
        <v>1</v>
      </c>
      <c r="C608" t="inlineStr"/>
      <c r="D608" t="inlineStr"/>
      <c r="E608" t="n">
        <v>690</v>
      </c>
      <c r="F608">
        <f>HYPERLINK("https://portal.dnb.de/opac.htm?method=simpleSearch&amp;cqlMode=true&amp;query=idn%3D1066961735", "Portal")</f>
        <v/>
      </c>
      <c r="G608" t="inlineStr">
        <is>
          <t>Aaf</t>
        </is>
      </c>
      <c r="H608" t="inlineStr">
        <is>
          <t>L-1515-315492139</t>
        </is>
      </c>
      <c r="I608" t="inlineStr">
        <is>
          <t>1066961735</t>
        </is>
      </c>
      <c r="J608" t="inlineStr">
        <is>
          <t>III 69, 9</t>
        </is>
      </c>
      <c r="K608" t="inlineStr">
        <is>
          <t>III 69, 9</t>
        </is>
      </c>
      <c r="L608" t="inlineStr">
        <is>
          <t>III 69, 9</t>
        </is>
      </c>
      <c r="M608" t="inlineStr"/>
      <c r="N608" t="inlineStr">
        <is>
          <t xml:space="preserve">Tractatus de efficacia aque benedicte:|| magistri Johannis de Turre cremata.|| : </t>
        </is>
      </c>
      <c r="O608" t="inlineStr">
        <is>
          <t xml:space="preserve"> : </t>
        </is>
      </c>
      <c r="P608" t="inlineStr"/>
      <c r="Q608" t="inlineStr"/>
      <c r="R608" t="inlineStr"/>
      <c r="S608" t="inlineStr"/>
      <c r="T608" t="inlineStr"/>
      <c r="U608" t="inlineStr"/>
      <c r="V608" t="inlineStr"/>
      <c r="W608" t="inlineStr"/>
      <c r="X608" t="inlineStr"/>
      <c r="Y608" t="inlineStr"/>
      <c r="Z608" t="inlineStr"/>
      <c r="AA608" t="inlineStr"/>
      <c r="AB608" t="inlineStr"/>
      <c r="AC608" t="inlineStr"/>
      <c r="AD608" t="inlineStr"/>
      <c r="AE608" t="inlineStr"/>
      <c r="AF608" t="inlineStr"/>
      <c r="AG608" t="inlineStr"/>
      <c r="AH608" t="inlineStr"/>
      <c r="AI608" t="inlineStr"/>
      <c r="AJ608" t="inlineStr"/>
      <c r="AK608" t="inlineStr"/>
      <c r="AL608" t="inlineStr"/>
      <c r="AM608" t="inlineStr"/>
      <c r="AN608" t="inlineStr"/>
      <c r="AO608" t="inlineStr"/>
      <c r="AP608" t="inlineStr"/>
      <c r="AQ608" t="inlineStr"/>
      <c r="AR608" t="inlineStr"/>
      <c r="AS608" t="inlineStr"/>
      <c r="AT608" t="inlineStr"/>
      <c r="AU608" t="inlineStr"/>
      <c r="AV608" t="inlineStr"/>
      <c r="AW608" t="inlineStr"/>
      <c r="AX608" t="inlineStr"/>
      <c r="AY608" t="inlineStr"/>
      <c r="AZ608" t="inlineStr"/>
      <c r="BA608" t="inlineStr"/>
      <c r="BB608" t="inlineStr"/>
      <c r="BC608" t="inlineStr"/>
      <c r="BD608" t="inlineStr"/>
      <c r="BE608" t="inlineStr"/>
      <c r="BF608" t="inlineStr"/>
      <c r="BG608" t="inlineStr"/>
      <c r="BH608" t="inlineStr"/>
      <c r="BI608" t="inlineStr"/>
      <c r="BJ608" t="inlineStr"/>
      <c r="BK608" t="inlineStr"/>
      <c r="BL608" t="inlineStr"/>
      <c r="BM608" t="inlineStr"/>
      <c r="BN608" t="n">
        <v>0</v>
      </c>
      <c r="BO608" t="inlineStr"/>
      <c r="BP608" t="inlineStr"/>
      <c r="BQ608" t="inlineStr"/>
      <c r="BR608" t="inlineStr"/>
      <c r="BS608" t="inlineStr"/>
      <c r="BT608" t="inlineStr"/>
      <c r="BU608" t="inlineStr"/>
      <c r="BV608" t="inlineStr"/>
      <c r="BW608" t="inlineStr"/>
      <c r="BX608" t="inlineStr"/>
      <c r="BY608" t="inlineStr"/>
      <c r="BZ608" t="inlineStr"/>
      <c r="CA608" t="inlineStr"/>
      <c r="CB608" t="inlineStr"/>
      <c r="CC608" t="inlineStr"/>
      <c r="CD608" t="inlineStr"/>
      <c r="CE608" t="inlineStr"/>
      <c r="CF608" t="inlineStr"/>
      <c r="CG608" t="inlineStr"/>
      <c r="CH608" t="inlineStr"/>
      <c r="CI608" t="inlineStr"/>
      <c r="CJ608" t="inlineStr"/>
      <c r="CK608" t="inlineStr"/>
      <c r="CL608" t="inlineStr"/>
      <c r="CM608" t="inlineStr"/>
      <c r="CN608" t="inlineStr"/>
      <c r="CO608" t="inlineStr"/>
      <c r="CP608" t="inlineStr"/>
      <c r="CQ608" t="inlineStr"/>
      <c r="CR608" t="inlineStr"/>
      <c r="CS608" t="inlineStr"/>
      <c r="CT608" t="inlineStr"/>
      <c r="CU608" t="inlineStr"/>
      <c r="CV608" t="inlineStr"/>
      <c r="CW608" t="inlineStr"/>
      <c r="CX608" t="inlineStr"/>
      <c r="CY608" t="inlineStr"/>
      <c r="CZ608" t="inlineStr"/>
      <c r="DA608" t="inlineStr"/>
      <c r="DB608" t="inlineStr"/>
      <c r="DC608" t="inlineStr"/>
      <c r="DD608" t="inlineStr"/>
      <c r="DE608" t="inlineStr"/>
      <c r="DF608" t="inlineStr"/>
      <c r="DG608" t="inlineStr"/>
    </row>
    <row r="609">
      <c r="A609" t="inlineStr">
        <is>
          <t>III</t>
        </is>
      </c>
      <c r="B609" t="b">
        <v>1</v>
      </c>
      <c r="C609" t="inlineStr"/>
      <c r="D609" t="inlineStr"/>
      <c r="E609" t="n">
        <v>691</v>
      </c>
      <c r="F609">
        <f>HYPERLINK("https://portal.dnb.de/opac.htm?method=simpleSearch&amp;cqlMode=true&amp;query=idn%3D1066960151", "Portal")</f>
        <v/>
      </c>
      <c r="G609" t="inlineStr">
        <is>
          <t>Aaf</t>
        </is>
      </c>
      <c r="H609" t="inlineStr">
        <is>
          <t>L-1514-315490675</t>
        </is>
      </c>
      <c r="I609" t="inlineStr">
        <is>
          <t>1066960151</t>
        </is>
      </c>
      <c r="J609" t="inlineStr">
        <is>
          <t>III 69, 10</t>
        </is>
      </c>
      <c r="K609" t="inlineStr">
        <is>
          <t>III 69, 10</t>
        </is>
      </c>
      <c r="L609" t="inlineStr">
        <is>
          <t>III 69, 10</t>
        </is>
      </c>
      <c r="M609" t="inlineStr"/>
      <c r="N609" t="inlineStr">
        <is>
          <t>Das @leben vnsers erle||digers Jesu Christi/ nach lauttug des hey=||ligen Ewangeli/ mit vil andechtiger be=||trachtung/ Auch mit beylauffung des|| leb</t>
        </is>
      </c>
      <c r="O609" t="inlineStr">
        <is>
          <t xml:space="preserve"> : </t>
        </is>
      </c>
      <c r="P609" t="inlineStr">
        <is>
          <t>X</t>
        </is>
      </c>
      <c r="Q609" t="inlineStr"/>
      <c r="R609" t="inlineStr">
        <is>
          <t>Ledereinband</t>
        </is>
      </c>
      <c r="S609" t="inlineStr">
        <is>
          <t>bis 25 cm</t>
        </is>
      </c>
      <c r="T609" t="inlineStr">
        <is>
          <t>180°</t>
        </is>
      </c>
      <c r="U609" t="inlineStr">
        <is>
          <t>hohler Rücken, stark brüchiges Einbandmaterial</t>
        </is>
      </c>
      <c r="V609" t="inlineStr"/>
      <c r="W609" t="inlineStr"/>
      <c r="X609" t="inlineStr"/>
      <c r="Y609" t="n">
        <v>3</v>
      </c>
      <c r="Z609" t="inlineStr"/>
      <c r="AA609" t="inlineStr"/>
      <c r="AB609" t="inlineStr"/>
      <c r="AC609" t="inlineStr"/>
      <c r="AD609" t="inlineStr"/>
      <c r="AE609" t="inlineStr"/>
      <c r="AF609" t="inlineStr"/>
      <c r="AG609" t="inlineStr"/>
      <c r="AH609" t="inlineStr"/>
      <c r="AI609" t="inlineStr">
        <is>
          <t>HL</t>
        </is>
      </c>
      <c r="AJ609" t="inlineStr"/>
      <c r="AK609" t="inlineStr"/>
      <c r="AL609" t="inlineStr">
        <is>
          <t>x</t>
        </is>
      </c>
      <c r="AM609" t="inlineStr">
        <is>
          <t>h</t>
        </is>
      </c>
      <c r="AN609" t="inlineStr"/>
      <c r="AO609" t="inlineStr"/>
      <c r="AP609" t="inlineStr"/>
      <c r="AQ609" t="inlineStr"/>
      <c r="AR609" t="inlineStr"/>
      <c r="AS609" t="inlineStr">
        <is>
          <t>Pa</t>
        </is>
      </c>
      <c r="AT609" t="inlineStr"/>
      <c r="AU609" t="inlineStr"/>
      <c r="AV609" t="inlineStr"/>
      <c r="AW609" t="inlineStr"/>
      <c r="AX609" t="inlineStr"/>
      <c r="AY609" t="inlineStr"/>
      <c r="AZ609" t="inlineStr"/>
      <c r="BA609" t="inlineStr"/>
      <c r="BB609" t="inlineStr"/>
      <c r="BC609" t="inlineStr"/>
      <c r="BD609" t="inlineStr"/>
      <c r="BE609" t="inlineStr"/>
      <c r="BF609" t="inlineStr"/>
      <c r="BG609" t="n">
        <v>45</v>
      </c>
      <c r="BH609" t="inlineStr"/>
      <c r="BI609" t="inlineStr"/>
      <c r="BJ609" t="inlineStr"/>
      <c r="BK609" t="inlineStr"/>
      <c r="BL609" t="inlineStr"/>
      <c r="BM609" t="inlineStr">
        <is>
          <t>n</t>
        </is>
      </c>
      <c r="BN609" t="n">
        <v>0</v>
      </c>
      <c r="BO609" t="inlineStr"/>
      <c r="BP609" t="inlineStr"/>
      <c r="BQ609" t="inlineStr"/>
      <c r="BR609" t="inlineStr"/>
      <c r="BS609" t="inlineStr"/>
      <c r="BT609" t="inlineStr"/>
      <c r="BU609" t="inlineStr"/>
      <c r="BV609" t="inlineStr"/>
      <c r="BW609" t="inlineStr">
        <is>
          <t>x 45</t>
        </is>
      </c>
      <c r="BX609" t="inlineStr"/>
      <c r="BY609" t="inlineStr"/>
      <c r="BZ609" t="inlineStr"/>
      <c r="CA609" t="inlineStr"/>
      <c r="CB609" t="inlineStr"/>
      <c r="CC609" t="inlineStr"/>
      <c r="CD609" t="inlineStr"/>
      <c r="CE609" t="inlineStr"/>
      <c r="CF609" t="inlineStr"/>
      <c r="CG609" t="inlineStr"/>
      <c r="CH609" t="inlineStr"/>
      <c r="CI609" t="inlineStr"/>
      <c r="CJ609" t="inlineStr"/>
      <c r="CK609" t="inlineStr"/>
      <c r="CL609" t="inlineStr"/>
      <c r="CM609" t="inlineStr"/>
      <c r="CN609" t="inlineStr"/>
      <c r="CO609" t="inlineStr"/>
      <c r="CP609" t="inlineStr"/>
      <c r="CQ609" t="inlineStr"/>
      <c r="CR609" t="inlineStr"/>
      <c r="CS609" t="inlineStr"/>
      <c r="CT609" t="inlineStr"/>
      <c r="CU609" t="inlineStr"/>
      <c r="CV609" t="inlineStr"/>
      <c r="CW609" t="inlineStr"/>
      <c r="CX609" t="inlineStr"/>
      <c r="CY609" t="inlineStr"/>
      <c r="CZ609" t="inlineStr"/>
      <c r="DA609" t="inlineStr"/>
      <c r="DB609" t="inlineStr"/>
      <c r="DC609" t="inlineStr"/>
      <c r="DD609" t="inlineStr"/>
      <c r="DE609" t="inlineStr"/>
      <c r="DF609" t="inlineStr"/>
      <c r="DG609" t="inlineStr"/>
    </row>
    <row r="610">
      <c r="A610" t="inlineStr">
        <is>
          <t>III</t>
        </is>
      </c>
      <c r="B610" t="b">
        <v>1</v>
      </c>
      <c r="C610" t="inlineStr"/>
      <c r="D610" t="inlineStr"/>
      <c r="E610" t="n">
        <v>692</v>
      </c>
      <c r="F610">
        <f>HYPERLINK("https://portal.dnb.de/opac.htm?method=simpleSearch&amp;cqlMode=true&amp;query=idn%3D1066960518", "Portal")</f>
        <v/>
      </c>
      <c r="G610" t="inlineStr">
        <is>
          <t>Aaf</t>
        </is>
      </c>
      <c r="H610" t="inlineStr">
        <is>
          <t>L-1507-315491000</t>
        </is>
      </c>
      <c r="I610" t="inlineStr">
        <is>
          <t>1066960518</t>
        </is>
      </c>
      <c r="J610" t="inlineStr">
        <is>
          <t>III 69, 11</t>
        </is>
      </c>
      <c r="K610" t="inlineStr">
        <is>
          <t>III 69, 11</t>
        </is>
      </c>
      <c r="L610" t="inlineStr">
        <is>
          <t>III 69, 11</t>
        </is>
      </c>
      <c r="M610" t="inlineStr"/>
      <c r="N610" t="inlineStr">
        <is>
          <t>Speculum passionis|| domini nostri Ihesu christi. In quo reluc?t hec omnia sin/||gulariter vere &amp; absolute: puta. Omnis #[pro]fectio yerarchie|| Omniu</t>
        </is>
      </c>
      <c r="O610" t="inlineStr">
        <is>
          <t xml:space="preserve"> : </t>
        </is>
      </c>
      <c r="P610" t="inlineStr"/>
      <c r="Q610" t="inlineStr"/>
      <c r="R610" t="inlineStr"/>
      <c r="S610" t="inlineStr">
        <is>
          <t>bis 35 cm</t>
        </is>
      </c>
      <c r="T610" t="inlineStr"/>
      <c r="U610" t="inlineStr"/>
      <c r="V610" t="inlineStr"/>
      <c r="W610" t="inlineStr"/>
      <c r="X610" t="inlineStr"/>
      <c r="Y610" t="inlineStr"/>
      <c r="Z610" t="inlineStr"/>
      <c r="AA610" t="inlineStr"/>
      <c r="AB610" t="inlineStr"/>
      <c r="AC610" t="inlineStr"/>
      <c r="AD610" t="inlineStr"/>
      <c r="AE610" t="inlineStr"/>
      <c r="AF610" t="inlineStr"/>
      <c r="AG610" t="inlineStr"/>
      <c r="AH610" t="inlineStr"/>
      <c r="AI610" t="inlineStr">
        <is>
          <t>Pa</t>
        </is>
      </c>
      <c r="AJ610" t="inlineStr"/>
      <c r="AK610" t="inlineStr"/>
      <c r="AL610" t="inlineStr"/>
      <c r="AM610" t="inlineStr">
        <is>
          <t>h/E</t>
        </is>
      </c>
      <c r="AN610" t="inlineStr"/>
      <c r="AO610" t="inlineStr"/>
      <c r="AP610" t="inlineStr"/>
      <c r="AQ610" t="inlineStr"/>
      <c r="AR610" t="inlineStr"/>
      <c r="AS610" t="inlineStr">
        <is>
          <t>Pa</t>
        </is>
      </c>
      <c r="AT610" t="inlineStr"/>
      <c r="AU610" t="inlineStr"/>
      <c r="AV610" t="inlineStr"/>
      <c r="AW610" t="inlineStr"/>
      <c r="AX610" t="inlineStr"/>
      <c r="AY610" t="inlineStr"/>
      <c r="AZ610" t="inlineStr"/>
      <c r="BA610" t="inlineStr"/>
      <c r="BB610" t="inlineStr"/>
      <c r="BC610" t="inlineStr"/>
      <c r="BD610" t="inlineStr"/>
      <c r="BE610" t="inlineStr"/>
      <c r="BF610" t="inlineStr"/>
      <c r="BG610" t="inlineStr">
        <is>
          <t>nur 110</t>
        </is>
      </c>
      <c r="BH610" t="inlineStr"/>
      <c r="BI610" t="inlineStr"/>
      <c r="BJ610" t="inlineStr"/>
      <c r="BK610" t="inlineStr"/>
      <c r="BL610" t="inlineStr"/>
      <c r="BM610" t="inlineStr">
        <is>
          <t>n</t>
        </is>
      </c>
      <c r="BN610" t="n">
        <v>0</v>
      </c>
      <c r="BO610" t="inlineStr"/>
      <c r="BP610" t="inlineStr">
        <is>
          <t>Gewebe</t>
        </is>
      </c>
      <c r="BQ610" t="inlineStr"/>
      <c r="BR610" t="inlineStr"/>
      <c r="BS610" t="inlineStr"/>
      <c r="BT610" t="inlineStr"/>
      <c r="BU610" t="inlineStr"/>
      <c r="BV610" t="inlineStr">
        <is>
          <t>Schaden stabil</t>
        </is>
      </c>
      <c r="BW610" t="inlineStr">
        <is>
          <t>x 110</t>
        </is>
      </c>
      <c r="BX610" t="inlineStr">
        <is>
          <t xml:space="preserve">
nur 110, wegen Schaden</t>
        </is>
      </c>
      <c r="BY610" t="inlineStr"/>
      <c r="BZ610" t="inlineStr"/>
      <c r="CA610" t="inlineStr"/>
      <c r="CB610" t="inlineStr"/>
      <c r="CC610" t="inlineStr"/>
      <c r="CD610" t="inlineStr"/>
      <c r="CE610" t="inlineStr"/>
      <c r="CF610" t="inlineStr"/>
      <c r="CG610" t="inlineStr"/>
      <c r="CH610" t="inlineStr"/>
      <c r="CI610" t="inlineStr"/>
      <c r="CJ610" t="inlineStr"/>
      <c r="CK610" t="inlineStr"/>
      <c r="CL610" t="inlineStr"/>
      <c r="CM610" t="inlineStr"/>
      <c r="CN610" t="inlineStr"/>
      <c r="CO610" t="inlineStr"/>
      <c r="CP610" t="inlineStr"/>
      <c r="CQ610" t="inlineStr"/>
      <c r="CR610" t="inlineStr"/>
      <c r="CS610" t="inlineStr"/>
      <c r="CT610" t="inlineStr"/>
      <c r="CU610" t="inlineStr"/>
      <c r="CV610" t="inlineStr"/>
      <c r="CW610" t="inlineStr"/>
      <c r="CX610" t="inlineStr"/>
      <c r="CY610" t="inlineStr"/>
      <c r="CZ610" t="inlineStr"/>
      <c r="DA610" t="inlineStr"/>
      <c r="DB610" t="inlineStr"/>
      <c r="DC610" t="inlineStr"/>
      <c r="DD610" t="inlineStr"/>
      <c r="DE610" t="inlineStr"/>
      <c r="DF610" t="inlineStr"/>
      <c r="DG610" t="inlineStr"/>
    </row>
    <row r="611">
      <c r="A611" t="inlineStr">
        <is>
          <t>III</t>
        </is>
      </c>
      <c r="B611" t="b">
        <v>1</v>
      </c>
      <c r="C611" t="inlineStr"/>
      <c r="D611" t="inlineStr"/>
      <c r="E611" t="n">
        <v>693</v>
      </c>
      <c r="F611">
        <f>HYPERLINK("https://portal.dnb.de/opac.htm?method=simpleSearch&amp;cqlMode=true&amp;query=idn%3D1066937443", "Portal")</f>
        <v/>
      </c>
      <c r="G611" t="inlineStr">
        <is>
          <t>Aaf</t>
        </is>
      </c>
      <c r="H611" t="inlineStr">
        <is>
          <t>L-1509-315465298</t>
        </is>
      </c>
      <c r="I611" t="inlineStr">
        <is>
          <t>1066937443</t>
        </is>
      </c>
      <c r="J611" t="inlineStr">
        <is>
          <t>III 69, 12</t>
        </is>
      </c>
      <c r="K611" t="inlineStr">
        <is>
          <t>III 69, 12</t>
        </is>
      </c>
      <c r="L611" t="inlineStr">
        <is>
          <t>III 69, 12</t>
        </is>
      </c>
      <c r="M611" t="inlineStr"/>
      <c r="N611" t="inlineStr">
        <is>
          <t xml:space="preserve">Versehug leib:|| sell eer vnd gutt|| : </t>
        </is>
      </c>
      <c r="O611" t="inlineStr">
        <is>
          <t xml:space="preserve"> : </t>
        </is>
      </c>
      <c r="P611" t="inlineStr">
        <is>
          <t>X</t>
        </is>
      </c>
      <c r="Q611" t="inlineStr"/>
      <c r="R611" t="inlineStr">
        <is>
          <t>Ledereinband, Schließen, erhabene Buchbeschläge</t>
        </is>
      </c>
      <c r="S611" t="inlineStr">
        <is>
          <t>bis 35 cm</t>
        </is>
      </c>
      <c r="T611" t="inlineStr">
        <is>
          <t>180°</t>
        </is>
      </c>
      <c r="U611" t="inlineStr">
        <is>
          <t>fester Rücken mit Schmuckprägung</t>
        </is>
      </c>
      <c r="V611" t="inlineStr"/>
      <c r="W611" t="inlineStr">
        <is>
          <t>Buchschuh</t>
        </is>
      </c>
      <c r="X611" t="inlineStr">
        <is>
          <t>Nein</t>
        </is>
      </c>
      <c r="Y611" t="n">
        <v>0</v>
      </c>
      <c r="Z611" t="inlineStr"/>
      <c r="AA611" t="inlineStr"/>
      <c r="AB611" t="inlineStr"/>
      <c r="AC611" t="inlineStr"/>
      <c r="AD611" t="inlineStr"/>
      <c r="AE611" t="inlineStr"/>
      <c r="AF611" t="inlineStr"/>
      <c r="AG611" t="inlineStr"/>
      <c r="AH611" t="inlineStr"/>
      <c r="AI611" t="inlineStr">
        <is>
          <t>HD</t>
        </is>
      </c>
      <c r="AJ611" t="inlineStr"/>
      <c r="AK611" t="inlineStr">
        <is>
          <t>x</t>
        </is>
      </c>
      <c r="AL611" t="inlineStr"/>
      <c r="AM611" t="inlineStr">
        <is>
          <t>f/V</t>
        </is>
      </c>
      <c r="AN611" t="inlineStr"/>
      <c r="AO611" t="inlineStr"/>
      <c r="AP611" t="inlineStr"/>
      <c r="AQ611" t="inlineStr"/>
      <c r="AR611" t="inlineStr"/>
      <c r="AS611" t="inlineStr">
        <is>
          <t>Pa</t>
        </is>
      </c>
      <c r="AT611" t="inlineStr"/>
      <c r="AU611" t="inlineStr"/>
      <c r="AV611" t="inlineStr"/>
      <c r="AW611" t="inlineStr"/>
      <c r="AX611" t="inlineStr"/>
      <c r="AY611" t="inlineStr"/>
      <c r="AZ611" t="inlineStr"/>
      <c r="BA611" t="inlineStr"/>
      <c r="BB611" t="inlineStr"/>
      <c r="BC611" t="inlineStr"/>
      <c r="BD611" t="inlineStr"/>
      <c r="BE611" t="inlineStr"/>
      <c r="BF611" t="inlineStr"/>
      <c r="BG611" t="n">
        <v>60</v>
      </c>
      <c r="BH611" t="inlineStr"/>
      <c r="BI611" t="inlineStr"/>
      <c r="BJ611" t="inlineStr"/>
      <c r="BK611" t="inlineStr"/>
      <c r="BL611" t="inlineStr"/>
      <c r="BM611" t="inlineStr">
        <is>
          <t>n</t>
        </is>
      </c>
      <c r="BN611" t="n">
        <v>0</v>
      </c>
      <c r="BO611" t="inlineStr"/>
      <c r="BP611" t="inlineStr"/>
      <c r="BQ611" t="inlineStr"/>
      <c r="BR611" t="inlineStr">
        <is>
          <t>x</t>
        </is>
      </c>
      <c r="BS611" t="inlineStr"/>
      <c r="BT611" t="inlineStr"/>
      <c r="BU611" t="inlineStr"/>
      <c r="BV611" t="inlineStr"/>
      <c r="BW611" t="inlineStr"/>
      <c r="BX611" t="inlineStr"/>
      <c r="BY611" t="inlineStr"/>
      <c r="BZ611" t="inlineStr"/>
      <c r="CA611" t="inlineStr"/>
      <c r="CB611" t="inlineStr"/>
      <c r="CC611" t="inlineStr"/>
      <c r="CD611" t="inlineStr"/>
      <c r="CE611" t="inlineStr"/>
      <c r="CF611" t="inlineStr"/>
      <c r="CG611" t="inlineStr"/>
      <c r="CH611" t="inlineStr"/>
      <c r="CI611" t="inlineStr"/>
      <c r="CJ611" t="inlineStr"/>
      <c r="CK611" t="inlineStr"/>
      <c r="CL611" t="inlineStr"/>
      <c r="CM611" t="inlineStr"/>
      <c r="CN611" t="inlineStr"/>
      <c r="CO611" t="inlineStr"/>
      <c r="CP611" t="inlineStr"/>
      <c r="CQ611" t="inlineStr"/>
      <c r="CR611" t="inlineStr"/>
      <c r="CS611" t="inlineStr"/>
      <c r="CT611" t="inlineStr"/>
      <c r="CU611" t="inlineStr"/>
      <c r="CV611" t="inlineStr"/>
      <c r="CW611" t="inlineStr"/>
      <c r="CX611" t="inlineStr"/>
      <c r="CY611" t="inlineStr"/>
      <c r="CZ611" t="inlineStr"/>
      <c r="DA611" t="inlineStr"/>
      <c r="DB611" t="inlineStr"/>
      <c r="DC611" t="inlineStr"/>
      <c r="DD611" t="inlineStr"/>
      <c r="DE611" t="inlineStr"/>
      <c r="DF611" t="inlineStr"/>
      <c r="DG611" t="inlineStr"/>
    </row>
    <row r="612">
      <c r="A612" t="inlineStr">
        <is>
          <t>III</t>
        </is>
      </c>
      <c r="B612" t="b">
        <v>1</v>
      </c>
      <c r="C612" t="inlineStr"/>
      <c r="D612" t="inlineStr"/>
      <c r="E612" t="inlineStr"/>
      <c r="F612">
        <f>HYPERLINK("https://portal.dnb.de/opac.htm?method=simpleSearch&amp;cqlMode=true&amp;query=idn%3D1137968877", "Portal")</f>
        <v/>
      </c>
      <c r="G612" t="inlineStr">
        <is>
          <t>Qd</t>
        </is>
      </c>
      <c r="H612" t="inlineStr">
        <is>
          <t>L-9999-414283465</t>
        </is>
      </c>
      <c r="I612" t="inlineStr">
        <is>
          <t>1137968877</t>
        </is>
      </c>
      <c r="J612" t="inlineStr">
        <is>
          <t>III 69, 13</t>
        </is>
      </c>
      <c r="K612" t="inlineStr">
        <is>
          <t>III 69, 13</t>
        </is>
      </c>
      <c r="L612" t="inlineStr">
        <is>
          <t>III 69, 13</t>
        </is>
      </c>
      <c r="M612" t="inlineStr"/>
      <c r="N612" t="inlineStr">
        <is>
          <t xml:space="preserve">Sammelband mit "Füllmaterial" : </t>
        </is>
      </c>
      <c r="O612" t="inlineStr">
        <is>
          <t xml:space="preserve"> : </t>
        </is>
      </c>
      <c r="P612" t="inlineStr"/>
      <c r="Q612" t="inlineStr"/>
      <c r="R612" t="inlineStr"/>
      <c r="S612" t="inlineStr"/>
      <c r="T612" t="inlineStr"/>
      <c r="U612" t="inlineStr"/>
      <c r="V612" t="inlineStr"/>
      <c r="W612" t="inlineStr"/>
      <c r="X612" t="inlineStr"/>
      <c r="Y612" t="inlineStr"/>
      <c r="Z612" t="inlineStr"/>
      <c r="AA612" t="inlineStr"/>
      <c r="AB612" t="inlineStr"/>
      <c r="AC612" t="inlineStr"/>
      <c r="AD612" t="inlineStr"/>
      <c r="AE612" t="inlineStr"/>
      <c r="AF612" t="inlineStr"/>
      <c r="AG612" t="inlineStr"/>
      <c r="AH612" t="inlineStr"/>
      <c r="AI612" t="inlineStr"/>
      <c r="AJ612" t="inlineStr"/>
      <c r="AK612" t="inlineStr"/>
      <c r="AL612" t="inlineStr"/>
      <c r="AM612" t="inlineStr"/>
      <c r="AN612" t="inlineStr"/>
      <c r="AO612" t="inlineStr"/>
      <c r="AP612" t="inlineStr"/>
      <c r="AQ612" t="inlineStr"/>
      <c r="AR612" t="inlineStr"/>
      <c r="AS612" t="inlineStr"/>
      <c r="AT612" t="inlineStr"/>
      <c r="AU612" t="inlineStr"/>
      <c r="AV612" t="inlineStr"/>
      <c r="AW612" t="inlineStr"/>
      <c r="AX612" t="inlineStr"/>
      <c r="AY612" t="inlineStr"/>
      <c r="AZ612" t="inlineStr"/>
      <c r="BA612" t="inlineStr"/>
      <c r="BB612" t="inlineStr"/>
      <c r="BC612" t="inlineStr"/>
      <c r="BD612" t="inlineStr"/>
      <c r="BE612" t="inlineStr"/>
      <c r="BF612" t="inlineStr"/>
      <c r="BG612" t="inlineStr"/>
      <c r="BH612" t="inlineStr"/>
      <c r="BI612" t="inlineStr"/>
      <c r="BJ612" t="inlineStr"/>
      <c r="BK612" t="inlineStr"/>
      <c r="BL612" t="inlineStr"/>
      <c r="BM612" t="inlineStr"/>
      <c r="BN612" t="n">
        <v>0</v>
      </c>
      <c r="BO612" t="inlineStr"/>
      <c r="BP612" t="inlineStr"/>
      <c r="BQ612" t="inlineStr"/>
      <c r="BR612" t="inlineStr"/>
      <c r="BS612" t="inlineStr"/>
      <c r="BT612" t="inlineStr"/>
      <c r="BU612" t="inlineStr"/>
      <c r="BV612" t="inlineStr"/>
      <c r="BW612" t="inlineStr"/>
      <c r="BX612" t="inlineStr"/>
      <c r="BY612" t="inlineStr"/>
      <c r="BZ612" t="inlineStr"/>
      <c r="CA612" t="inlineStr"/>
      <c r="CB612" t="inlineStr"/>
      <c r="CC612" t="inlineStr"/>
      <c r="CD612" t="inlineStr"/>
      <c r="CE612" t="inlineStr"/>
      <c r="CF612" t="inlineStr"/>
      <c r="CG612" t="inlineStr"/>
      <c r="CH612" t="inlineStr"/>
      <c r="CI612" t="inlineStr"/>
      <c r="CJ612" t="inlineStr"/>
      <c r="CK612" t="inlineStr"/>
      <c r="CL612" t="inlineStr"/>
      <c r="CM612" t="inlineStr"/>
      <c r="CN612" t="inlineStr"/>
      <c r="CO612" t="inlineStr"/>
      <c r="CP612" t="inlineStr"/>
      <c r="CQ612" t="inlineStr"/>
      <c r="CR612" t="inlineStr"/>
      <c r="CS612" t="inlineStr"/>
      <c r="CT612" t="inlineStr"/>
      <c r="CU612" t="inlineStr"/>
      <c r="CV612" t="inlineStr"/>
      <c r="CW612" t="inlineStr"/>
      <c r="CX612" t="inlineStr"/>
      <c r="CY612" t="inlineStr"/>
      <c r="CZ612" t="inlineStr"/>
      <c r="DA612" t="inlineStr"/>
      <c r="DB612" t="inlineStr"/>
      <c r="DC612" t="inlineStr"/>
      <c r="DD612" t="inlineStr"/>
      <c r="DE612" t="inlineStr"/>
      <c r="DF612" t="inlineStr"/>
      <c r="DG612" t="inlineStr"/>
    </row>
    <row r="613">
      <c r="A613" t="inlineStr">
        <is>
          <t>III</t>
        </is>
      </c>
      <c r="B613" t="b">
        <v>1</v>
      </c>
      <c r="C613" t="inlineStr"/>
      <c r="D613" t="inlineStr"/>
      <c r="E613" t="n">
        <v>713</v>
      </c>
      <c r="F613">
        <f>HYPERLINK("https://portal.dnb.de/opac.htm?method=simpleSearch&amp;cqlMode=true&amp;query=idn%3D999124102", "Portal")</f>
        <v/>
      </c>
      <c r="G613" t="inlineStr">
        <is>
          <t>Aa</t>
        </is>
      </c>
      <c r="H613" t="inlineStr">
        <is>
          <t>L-1517-167583956</t>
        </is>
      </c>
      <c r="I613" t="inlineStr">
        <is>
          <t>999124102</t>
        </is>
      </c>
      <c r="J613" t="inlineStr">
        <is>
          <t>III 69, 14 a</t>
        </is>
      </c>
      <c r="K613" t="inlineStr">
        <is>
          <t>III 69, 14 a</t>
        </is>
      </c>
      <c r="L613" t="inlineStr">
        <is>
          <t>III 69, 14 a</t>
        </is>
      </c>
      <c r="M613" t="inlineStr"/>
      <c r="N613" t="inlineStr">
        <is>
          <t xml:space="preserve">Die @geuerlicheiten vnd einsteils|| der geschichten des loblichen streyt||paren vnd hochberümbten helds|| vnd Ritters herr Tewrdannckhs|| : </t>
        </is>
      </c>
      <c r="O613" t="inlineStr">
        <is>
          <t xml:space="preserve"> : </t>
        </is>
      </c>
      <c r="P613" t="inlineStr"/>
      <c r="Q613" t="inlineStr"/>
      <c r="R613" t="inlineStr"/>
      <c r="S613" t="inlineStr">
        <is>
          <t>bis 42 cm</t>
        </is>
      </c>
      <c r="T613" t="inlineStr"/>
      <c r="U613" t="inlineStr"/>
      <c r="V613" t="inlineStr"/>
      <c r="W613" t="inlineStr"/>
      <c r="X613" t="inlineStr"/>
      <c r="Y613" t="inlineStr"/>
      <c r="Z613" t="inlineStr"/>
      <c r="AA613" t="inlineStr"/>
      <c r="AB613" t="inlineStr"/>
      <c r="AC613" t="inlineStr"/>
      <c r="AD613" t="inlineStr"/>
      <c r="AE613" t="inlineStr"/>
      <c r="AF613" t="inlineStr"/>
      <c r="AG613" t="inlineStr"/>
      <c r="AH613" t="inlineStr"/>
      <c r="AI613" t="inlineStr">
        <is>
          <t>Pg</t>
        </is>
      </c>
      <c r="AJ613" t="inlineStr"/>
      <c r="AK613" t="inlineStr"/>
      <c r="AL613" t="inlineStr">
        <is>
          <t>x</t>
        </is>
      </c>
      <c r="AM613" t="inlineStr">
        <is>
          <t>h</t>
        </is>
      </c>
      <c r="AN613" t="inlineStr"/>
      <c r="AO613" t="inlineStr"/>
      <c r="AP613" t="inlineStr"/>
      <c r="AQ613" t="inlineStr"/>
      <c r="AR613" t="inlineStr"/>
      <c r="AS613" t="inlineStr">
        <is>
          <t>Pa</t>
        </is>
      </c>
      <c r="AT613" t="inlineStr"/>
      <c r="AU613" t="inlineStr"/>
      <c r="AV613" t="inlineStr"/>
      <c r="AW613" t="inlineStr"/>
      <c r="AX613" t="inlineStr"/>
      <c r="AY613" t="inlineStr"/>
      <c r="AZ613" t="inlineStr"/>
      <c r="BA613" t="inlineStr"/>
      <c r="BB613" t="inlineStr"/>
      <c r="BC613" t="inlineStr"/>
      <c r="BD613" t="inlineStr"/>
      <c r="BE613" t="inlineStr"/>
      <c r="BF613" t="inlineStr"/>
      <c r="BG613" t="n">
        <v>110</v>
      </c>
      <c r="BH613" t="inlineStr"/>
      <c r="BI613" t="inlineStr"/>
      <c r="BJ613" t="inlineStr"/>
      <c r="BK613" t="inlineStr"/>
      <c r="BL613" t="inlineStr"/>
      <c r="BM613" t="inlineStr">
        <is>
          <t>n</t>
        </is>
      </c>
      <c r="BN613" t="n">
        <v>0</v>
      </c>
      <c r="BO613" t="inlineStr"/>
      <c r="BP613" t="inlineStr">
        <is>
          <t>Gewebe</t>
        </is>
      </c>
      <c r="BQ613" t="inlineStr"/>
      <c r="BR613" t="inlineStr"/>
      <c r="BS613" t="inlineStr"/>
      <c r="BT613" t="inlineStr"/>
      <c r="BU613" t="inlineStr"/>
      <c r="BV613" t="inlineStr"/>
      <c r="BW613" t="inlineStr"/>
      <c r="BX613" t="inlineStr"/>
      <c r="BY613" t="inlineStr"/>
      <c r="BZ613" t="inlineStr"/>
      <c r="CA613" t="inlineStr"/>
      <c r="CB613" t="inlineStr"/>
      <c r="CC613" t="inlineStr"/>
      <c r="CD613" t="inlineStr"/>
      <c r="CE613" t="inlineStr"/>
      <c r="CF613" t="inlineStr"/>
      <c r="CG613" t="inlineStr"/>
      <c r="CH613" t="inlineStr"/>
      <c r="CI613" t="inlineStr"/>
      <c r="CJ613" t="inlineStr"/>
      <c r="CK613" t="inlineStr"/>
      <c r="CL613" t="inlineStr"/>
      <c r="CM613" t="inlineStr"/>
      <c r="CN613" t="inlineStr"/>
      <c r="CO613" t="inlineStr"/>
      <c r="CP613" t="inlineStr"/>
      <c r="CQ613" t="inlineStr"/>
      <c r="CR613" t="inlineStr"/>
      <c r="CS613" t="inlineStr"/>
      <c r="CT613" t="inlineStr"/>
      <c r="CU613" t="inlineStr"/>
      <c r="CV613" t="inlineStr"/>
      <c r="CW613" t="inlineStr"/>
      <c r="CX613" t="inlineStr"/>
      <c r="CY613" t="inlineStr"/>
      <c r="CZ613" t="inlineStr"/>
      <c r="DA613" t="inlineStr"/>
      <c r="DB613" t="inlineStr"/>
      <c r="DC613" t="inlineStr"/>
      <c r="DD613" t="inlineStr"/>
      <c r="DE613" t="inlineStr"/>
      <c r="DF613" t="inlineStr"/>
      <c r="DG613" t="inlineStr"/>
    </row>
    <row r="614">
      <c r="A614" t="inlineStr">
        <is>
          <t>III</t>
        </is>
      </c>
      <c r="B614" t="b">
        <v>0</v>
      </c>
      <c r="C614" t="inlineStr"/>
      <c r="D614" t="inlineStr"/>
      <c r="E614" t="n">
        <v>695</v>
      </c>
      <c r="F614">
        <f>HYPERLINK("https://portal.dnb.de/opac.htm?method=simpleSearch&amp;cqlMode=true&amp;query=idn%3D1066942358", "Portal")</f>
        <v/>
      </c>
      <c r="G614" t="inlineStr"/>
      <c r="H614" t="inlineStr">
        <is>
          <t>L-1524-315469986</t>
        </is>
      </c>
      <c r="I614" t="inlineStr">
        <is>
          <t>1066942358</t>
        </is>
      </c>
      <c r="J614" t="inlineStr"/>
      <c r="K614" t="inlineStr"/>
      <c r="L614" t="inlineStr">
        <is>
          <t>III 69, 15</t>
        </is>
      </c>
      <c r="M614" t="inlineStr"/>
      <c r="N614" t="inlineStr"/>
      <c r="O614" t="inlineStr"/>
      <c r="P614" t="inlineStr"/>
      <c r="Q614" t="inlineStr"/>
      <c r="R614" t="inlineStr"/>
      <c r="S614" t="inlineStr"/>
      <c r="T614" t="inlineStr"/>
      <c r="U614" t="inlineStr"/>
      <c r="V614" t="inlineStr"/>
      <c r="W614" t="inlineStr"/>
      <c r="X614" t="inlineStr"/>
      <c r="Y614" t="inlineStr"/>
      <c r="Z614" t="inlineStr"/>
      <c r="AA614" t="inlineStr"/>
      <c r="AB614" t="inlineStr"/>
      <c r="AC614" t="inlineStr"/>
      <c r="AD614" t="inlineStr">
        <is>
          <t>DA</t>
        </is>
      </c>
      <c r="AE614" t="inlineStr"/>
      <c r="AF614" t="inlineStr"/>
      <c r="AG614" t="inlineStr"/>
      <c r="AH614" t="inlineStr"/>
      <c r="AI614" t="inlineStr"/>
      <c r="AJ614" t="inlineStr"/>
      <c r="AK614" t="inlineStr"/>
      <c r="AL614" t="inlineStr"/>
      <c r="AM614" t="inlineStr"/>
      <c r="AN614" t="inlineStr"/>
      <c r="AO614" t="inlineStr"/>
      <c r="AP614" t="inlineStr"/>
      <c r="AQ614" t="inlineStr"/>
      <c r="AR614" t="inlineStr"/>
      <c r="AS614" t="inlineStr"/>
      <c r="AT614" t="inlineStr"/>
      <c r="AU614" t="inlineStr"/>
      <c r="AV614" t="inlineStr"/>
      <c r="AW614" t="inlineStr"/>
      <c r="AX614" t="inlineStr"/>
      <c r="AY614" t="inlineStr"/>
      <c r="AZ614" t="inlineStr"/>
      <c r="BA614" t="inlineStr"/>
      <c r="BB614" t="inlineStr"/>
      <c r="BC614" t="inlineStr"/>
      <c r="BD614" t="inlineStr"/>
      <c r="BE614" t="inlineStr"/>
      <c r="BF614" t="inlineStr"/>
      <c r="BG614" t="inlineStr"/>
      <c r="BH614" t="inlineStr"/>
      <c r="BI614" t="inlineStr"/>
      <c r="BJ614" t="inlineStr"/>
      <c r="BK614" t="inlineStr"/>
      <c r="BL614" t="inlineStr"/>
      <c r="BM614" t="inlineStr"/>
      <c r="BN614" t="n">
        <v>0</v>
      </c>
      <c r="BO614" t="inlineStr"/>
      <c r="BP614" t="inlineStr"/>
      <c r="BQ614" t="inlineStr"/>
      <c r="BR614" t="inlineStr"/>
      <c r="BS614" t="inlineStr"/>
      <c r="BT614" t="inlineStr"/>
      <c r="BU614" t="inlineStr"/>
      <c r="BV614" t="inlineStr"/>
      <c r="BW614" t="inlineStr"/>
      <c r="BX614" t="inlineStr"/>
      <c r="BY614" t="inlineStr"/>
      <c r="BZ614" t="inlineStr"/>
      <c r="CA614" t="inlineStr"/>
      <c r="CB614" t="inlineStr"/>
      <c r="CC614" t="inlineStr"/>
      <c r="CD614" t="inlineStr"/>
      <c r="CE614" t="inlineStr"/>
      <c r="CF614" t="inlineStr"/>
      <c r="CG614" t="inlineStr"/>
      <c r="CH614" t="inlineStr"/>
      <c r="CI614" t="inlineStr"/>
      <c r="CJ614" t="inlineStr"/>
      <c r="CK614" t="inlineStr"/>
      <c r="CL614" t="inlineStr"/>
      <c r="CM614" t="inlineStr"/>
      <c r="CN614" t="inlineStr"/>
      <c r="CO614" t="inlineStr"/>
      <c r="CP614" t="inlineStr"/>
      <c r="CQ614" t="inlineStr"/>
      <c r="CR614" t="inlineStr"/>
      <c r="CS614" t="inlineStr"/>
      <c r="CT614" t="inlineStr"/>
      <c r="CU614" t="inlineStr"/>
      <c r="CV614" t="inlineStr"/>
      <c r="CW614" t="inlineStr"/>
      <c r="CX614" t="inlineStr"/>
      <c r="CY614" t="inlineStr"/>
      <c r="CZ614" t="inlineStr"/>
      <c r="DA614" t="inlineStr"/>
      <c r="DB614" t="inlineStr"/>
      <c r="DC614" t="inlineStr"/>
      <c r="DD614" t="inlineStr"/>
      <c r="DE614" t="inlineStr"/>
      <c r="DF614" t="inlineStr"/>
      <c r="DG614" t="inlineStr"/>
    </row>
    <row r="615">
      <c r="A615" t="inlineStr">
        <is>
          <t>III</t>
        </is>
      </c>
      <c r="B615" t="b">
        <v>1</v>
      </c>
      <c r="C615" t="inlineStr"/>
      <c r="D615" t="inlineStr"/>
      <c r="E615" t="n">
        <v>714</v>
      </c>
      <c r="F615">
        <f>HYPERLINK("https://portal.dnb.de/opac.htm?method=simpleSearch&amp;cqlMode=true&amp;query=idn%3D1066870993", "Portal")</f>
        <v/>
      </c>
      <c r="G615" t="inlineStr">
        <is>
          <t>Aaf</t>
        </is>
      </c>
      <c r="H615" t="inlineStr">
        <is>
          <t>L-1524-315328851</t>
        </is>
      </c>
      <c r="I615" t="inlineStr">
        <is>
          <t>1066870993</t>
        </is>
      </c>
      <c r="J615" t="inlineStr">
        <is>
          <t>III 69, 15 a</t>
        </is>
      </c>
      <c r="K615" t="inlineStr">
        <is>
          <t>III 69, 15 a</t>
        </is>
      </c>
      <c r="L615" t="inlineStr">
        <is>
          <t>III 69, 15 a</t>
        </is>
      </c>
      <c r="M615" t="inlineStr"/>
      <c r="N615" t="inlineStr">
        <is>
          <t>Eins schönn vñ|| des rechtenn Zehents bringung|| jnn Reichstag gen Nürmberg.|| Herrn Hieronymi von Endorff/|| zu Mosen/ Ritter vnd Doctors|| der Recht</t>
        </is>
      </c>
      <c r="O615" t="inlineStr">
        <is>
          <t xml:space="preserve"> : </t>
        </is>
      </c>
      <c r="P615" t="inlineStr">
        <is>
          <t>X</t>
        </is>
      </c>
      <c r="Q615" t="inlineStr"/>
      <c r="R615" t="inlineStr">
        <is>
          <t>Papier- oder Pappeinband</t>
        </is>
      </c>
      <c r="S615" t="inlineStr">
        <is>
          <t>bis 25 cm</t>
        </is>
      </c>
      <c r="T615" t="inlineStr">
        <is>
          <t>180°</t>
        </is>
      </c>
      <c r="U615" t="inlineStr"/>
      <c r="V615" t="inlineStr"/>
      <c r="W615" t="inlineStr"/>
      <c r="X615" t="inlineStr"/>
      <c r="Y615" t="n">
        <v>0</v>
      </c>
      <c r="Z615" t="inlineStr"/>
      <c r="AA615" t="inlineStr"/>
      <c r="AB615" t="inlineStr"/>
      <c r="AC615" t="inlineStr"/>
      <c r="AD615" t="inlineStr"/>
      <c r="AE615" t="inlineStr"/>
      <c r="AF615" t="inlineStr"/>
      <c r="AG615" t="inlineStr"/>
      <c r="AH615" t="inlineStr"/>
      <c r="AI615" t="inlineStr"/>
      <c r="AJ615" t="inlineStr"/>
      <c r="AK615" t="inlineStr"/>
      <c r="AL615" t="inlineStr"/>
      <c r="AM615" t="inlineStr"/>
      <c r="AN615" t="inlineStr"/>
      <c r="AO615" t="inlineStr"/>
      <c r="AP615" t="inlineStr"/>
      <c r="AQ615" t="inlineStr"/>
      <c r="AR615" t="inlineStr"/>
      <c r="AS615" t="inlineStr"/>
      <c r="AT615" t="inlineStr"/>
      <c r="AU615" t="inlineStr"/>
      <c r="AV615" t="inlineStr"/>
      <c r="AW615" t="inlineStr"/>
      <c r="AX615" t="inlineStr"/>
      <c r="AY615" t="inlineStr"/>
      <c r="AZ615" t="inlineStr"/>
      <c r="BA615" t="inlineStr"/>
      <c r="BB615" t="inlineStr"/>
      <c r="BC615" t="inlineStr"/>
      <c r="BD615" t="inlineStr"/>
      <c r="BE615" t="inlineStr"/>
      <c r="BF615" t="inlineStr"/>
      <c r="BG615" t="inlineStr"/>
      <c r="BH615" t="inlineStr"/>
      <c r="BI615" t="inlineStr"/>
      <c r="BJ615" t="inlineStr"/>
      <c r="BK615" t="inlineStr"/>
      <c r="BL615" t="inlineStr"/>
      <c r="BM615" t="inlineStr"/>
      <c r="BN615" t="n">
        <v>0</v>
      </c>
      <c r="BO615" t="inlineStr"/>
      <c r="BP615" t="inlineStr"/>
      <c r="BQ615" t="inlineStr"/>
      <c r="BR615" t="inlineStr"/>
      <c r="BS615" t="inlineStr"/>
      <c r="BT615" t="inlineStr"/>
      <c r="BU615" t="inlineStr"/>
      <c r="BV615" t="inlineStr"/>
      <c r="BW615" t="inlineStr"/>
      <c r="BX615" t="inlineStr"/>
      <c r="BY615" t="inlineStr"/>
      <c r="BZ615" t="inlineStr"/>
      <c r="CA615" t="inlineStr"/>
      <c r="CB615" t="inlineStr"/>
      <c r="CC615" t="inlineStr"/>
      <c r="CD615" t="inlineStr"/>
      <c r="CE615" t="inlineStr"/>
      <c r="CF615" t="inlineStr"/>
      <c r="CG615" t="inlineStr"/>
      <c r="CH615" t="inlineStr"/>
      <c r="CI615" t="inlineStr"/>
      <c r="CJ615" t="inlineStr"/>
      <c r="CK615" t="inlineStr"/>
      <c r="CL615" t="inlineStr"/>
      <c r="CM615" t="inlineStr"/>
      <c r="CN615" t="inlineStr"/>
      <c r="CO615" t="inlineStr"/>
      <c r="CP615" t="inlineStr"/>
      <c r="CQ615" t="inlineStr"/>
      <c r="CR615" t="inlineStr"/>
      <c r="CS615" t="inlineStr"/>
      <c r="CT615" t="inlineStr"/>
      <c r="CU615" t="inlineStr"/>
      <c r="CV615" t="inlineStr"/>
      <c r="CW615" t="inlineStr"/>
      <c r="CX615" t="inlineStr"/>
      <c r="CY615" t="inlineStr"/>
      <c r="CZ615" t="inlineStr"/>
      <c r="DA615" t="inlineStr"/>
      <c r="DB615" t="inlineStr"/>
      <c r="DC615" t="inlineStr"/>
      <c r="DD615" t="inlineStr"/>
      <c r="DE615" t="inlineStr"/>
      <c r="DF615" t="inlineStr"/>
      <c r="DG615" t="inlineStr"/>
    </row>
    <row r="616">
      <c r="A616" t="inlineStr">
        <is>
          <t>III</t>
        </is>
      </c>
      <c r="B616" t="b">
        <v>1</v>
      </c>
      <c r="C616" t="inlineStr"/>
      <c r="D616" t="inlineStr"/>
      <c r="E616" t="n">
        <v>715</v>
      </c>
      <c r="F616">
        <f>HYPERLINK("https://portal.dnb.de/opac.htm?method=simpleSearch&amp;cqlMode=true&amp;query=idn%3D1066961956", "Portal")</f>
        <v/>
      </c>
      <c r="G616" t="inlineStr">
        <is>
          <t>Aaf</t>
        </is>
      </c>
      <c r="H616" t="inlineStr">
        <is>
          <t>L-1518-31549235X</t>
        </is>
      </c>
      <c r="I616" t="inlineStr">
        <is>
          <t>1066961956</t>
        </is>
      </c>
      <c r="J616" t="inlineStr">
        <is>
          <t>III 69, 15 b</t>
        </is>
      </c>
      <c r="K616" t="inlineStr">
        <is>
          <t>III 69, 15 b</t>
        </is>
      </c>
      <c r="L616" t="inlineStr">
        <is>
          <t>III 69, 15 b</t>
        </is>
      </c>
      <c r="M616" t="inlineStr"/>
      <c r="N616" t="inlineStr">
        <is>
          <t xml:space="preserve">Venerabilis et eximij Doctoris|| Richardi de sancto victore Ordinis canonicorum|| regularium S.Au~g.De Trinitate libri sex.|| : </t>
        </is>
      </c>
      <c r="O616" t="inlineStr">
        <is>
          <t xml:space="preserve"> : </t>
        </is>
      </c>
      <c r="P616" t="inlineStr"/>
      <c r="Q616" t="inlineStr"/>
      <c r="R616" t="inlineStr"/>
      <c r="S616" t="inlineStr"/>
      <c r="T616" t="inlineStr"/>
      <c r="U616" t="inlineStr"/>
      <c r="V616" t="inlineStr"/>
      <c r="W616" t="inlineStr"/>
      <c r="X616" t="inlineStr"/>
      <c r="Y616" t="inlineStr"/>
      <c r="Z616" t="inlineStr"/>
      <c r="AA616" t="inlineStr"/>
      <c r="AB616" t="inlineStr"/>
      <c r="AC616" t="inlineStr"/>
      <c r="AD616" t="inlineStr"/>
      <c r="AE616" t="inlineStr"/>
      <c r="AF616" t="inlineStr"/>
      <c r="AG616" t="inlineStr"/>
      <c r="AH616" t="inlineStr"/>
      <c r="AI616" t="inlineStr"/>
      <c r="AJ616" t="inlineStr"/>
      <c r="AK616" t="inlineStr"/>
      <c r="AL616" t="inlineStr"/>
      <c r="AM616" t="inlineStr"/>
      <c r="AN616" t="inlineStr"/>
      <c r="AO616" t="inlineStr"/>
      <c r="AP616" t="inlineStr"/>
      <c r="AQ616" t="inlineStr"/>
      <c r="AR616" t="inlineStr"/>
      <c r="AS616" t="inlineStr"/>
      <c r="AT616" t="inlineStr"/>
      <c r="AU616" t="inlineStr"/>
      <c r="AV616" t="inlineStr"/>
      <c r="AW616" t="inlineStr"/>
      <c r="AX616" t="inlineStr"/>
      <c r="AY616" t="inlineStr"/>
      <c r="AZ616" t="inlineStr"/>
      <c r="BA616" t="inlineStr"/>
      <c r="BB616" t="inlineStr"/>
      <c r="BC616" t="inlineStr"/>
      <c r="BD616" t="inlineStr"/>
      <c r="BE616" t="inlineStr"/>
      <c r="BF616" t="inlineStr"/>
      <c r="BG616" t="inlineStr"/>
      <c r="BH616" t="inlineStr"/>
      <c r="BI616" t="inlineStr"/>
      <c r="BJ616" t="inlineStr"/>
      <c r="BK616" t="inlineStr"/>
      <c r="BL616" t="inlineStr"/>
      <c r="BM616" t="inlineStr"/>
      <c r="BN616" t="n">
        <v>0</v>
      </c>
      <c r="BO616" t="inlineStr"/>
      <c r="BP616" t="inlineStr"/>
      <c r="BQ616" t="inlineStr"/>
      <c r="BR616" t="inlineStr"/>
      <c r="BS616" t="inlineStr"/>
      <c r="BT616" t="inlineStr"/>
      <c r="BU616" t="inlineStr"/>
      <c r="BV616" t="inlineStr"/>
      <c r="BW616" t="inlineStr"/>
      <c r="BX616" t="inlineStr"/>
      <c r="BY616" t="inlineStr"/>
      <c r="BZ616" t="inlineStr"/>
      <c r="CA616" t="inlineStr"/>
      <c r="CB616" t="inlineStr"/>
      <c r="CC616" t="inlineStr"/>
      <c r="CD616" t="inlineStr"/>
      <c r="CE616" t="inlineStr"/>
      <c r="CF616" t="inlineStr"/>
      <c r="CG616" t="inlineStr"/>
      <c r="CH616" t="inlineStr"/>
      <c r="CI616" t="inlineStr"/>
      <c r="CJ616" t="inlineStr"/>
      <c r="CK616" t="inlineStr"/>
      <c r="CL616" t="inlineStr"/>
      <c r="CM616" t="inlineStr"/>
      <c r="CN616" t="inlineStr"/>
      <c r="CO616" t="inlineStr"/>
      <c r="CP616" t="inlineStr"/>
      <c r="CQ616" t="inlineStr"/>
      <c r="CR616" t="inlineStr"/>
      <c r="CS616" t="inlineStr"/>
      <c r="CT616" t="inlineStr"/>
      <c r="CU616" t="inlineStr"/>
      <c r="CV616" t="inlineStr"/>
      <c r="CW616" t="inlineStr"/>
      <c r="CX616" t="inlineStr"/>
      <c r="CY616" t="inlineStr"/>
      <c r="CZ616" t="inlineStr"/>
      <c r="DA616" t="inlineStr"/>
      <c r="DB616" t="inlineStr"/>
      <c r="DC616" t="inlineStr"/>
      <c r="DD616" t="inlineStr"/>
      <c r="DE616" t="inlineStr"/>
      <c r="DF616" t="inlineStr"/>
      <c r="DG616" t="inlineStr"/>
    </row>
    <row r="617">
      <c r="A617" t="inlineStr">
        <is>
          <t>III</t>
        </is>
      </c>
      <c r="B617" t="b">
        <v>1</v>
      </c>
      <c r="C617" t="inlineStr"/>
      <c r="D617" t="inlineStr"/>
      <c r="E617" t="n">
        <v>716</v>
      </c>
      <c r="F617">
        <f>HYPERLINK("https://portal.dnb.de/opac.htm?method=simpleSearch&amp;cqlMode=true&amp;query=idn%3D1003104428", "Portal")</f>
        <v/>
      </c>
      <c r="G617" t="inlineStr">
        <is>
          <t>Aal</t>
        </is>
      </c>
      <c r="H617" t="inlineStr">
        <is>
          <t>L-1523-178750948</t>
        </is>
      </c>
      <c r="I617" t="inlineStr">
        <is>
          <t>1003104428</t>
        </is>
      </c>
      <c r="J617" t="inlineStr">
        <is>
          <t>III 69, 15c</t>
        </is>
      </c>
      <c r="K617" t="inlineStr">
        <is>
          <t>III 69, 15c</t>
        </is>
      </c>
      <c r="L617" t="inlineStr">
        <is>
          <t>III 69, 15 c</t>
        </is>
      </c>
      <c r="M617" t="inlineStr"/>
      <c r="N617" t="inlineStr">
        <is>
          <t>Was auff dē|| Reichsztag zu Nü||remberg, von wegen Bebstlich||er heiligkeit, an Keyserlicher Maiestat|| Stathalter vnd Stende, Lutherischer|| sachen h</t>
        </is>
      </c>
      <c r="O617" t="inlineStr">
        <is>
          <t xml:space="preserve"> : </t>
        </is>
      </c>
      <c r="P617" t="inlineStr"/>
      <c r="Q617" t="inlineStr"/>
      <c r="R617" t="inlineStr"/>
      <c r="S617" t="inlineStr"/>
      <c r="T617" t="inlineStr"/>
      <c r="U617" t="inlineStr"/>
      <c r="V617" t="inlineStr"/>
      <c r="W617" t="inlineStr"/>
      <c r="X617" t="inlineStr"/>
      <c r="Y617" t="inlineStr"/>
      <c r="Z617" t="inlineStr"/>
      <c r="AA617" t="inlineStr"/>
      <c r="AB617" t="inlineStr"/>
      <c r="AC617" t="inlineStr"/>
      <c r="AD617" t="inlineStr"/>
      <c r="AE617" t="inlineStr"/>
      <c r="AF617" t="inlineStr"/>
      <c r="AG617" t="inlineStr"/>
      <c r="AH617" t="inlineStr"/>
      <c r="AI617" t="inlineStr"/>
      <c r="AJ617" t="inlineStr"/>
      <c r="AK617" t="inlineStr"/>
      <c r="AL617" t="inlineStr"/>
      <c r="AM617" t="inlineStr"/>
      <c r="AN617" t="inlineStr"/>
      <c r="AO617" t="inlineStr"/>
      <c r="AP617" t="inlineStr"/>
      <c r="AQ617" t="inlineStr"/>
      <c r="AR617" t="inlineStr"/>
      <c r="AS617" t="inlineStr"/>
      <c r="AT617" t="inlineStr"/>
      <c r="AU617" t="inlineStr"/>
      <c r="AV617" t="inlineStr"/>
      <c r="AW617" t="inlineStr"/>
      <c r="AX617" t="inlineStr"/>
      <c r="AY617" t="inlineStr"/>
      <c r="AZ617" t="inlineStr"/>
      <c r="BA617" t="inlineStr"/>
      <c r="BB617" t="inlineStr"/>
      <c r="BC617" t="inlineStr"/>
      <c r="BD617" t="inlineStr"/>
      <c r="BE617" t="inlineStr"/>
      <c r="BF617" t="inlineStr"/>
      <c r="BG617" t="inlineStr"/>
      <c r="BH617" t="inlineStr"/>
      <c r="BI617" t="inlineStr"/>
      <c r="BJ617" t="inlineStr"/>
      <c r="BK617" t="inlineStr"/>
      <c r="BL617" t="inlineStr"/>
      <c r="BM617" t="inlineStr"/>
      <c r="BN617" t="n">
        <v>0</v>
      </c>
      <c r="BO617" t="inlineStr"/>
      <c r="BP617" t="inlineStr"/>
      <c r="BQ617" t="inlineStr"/>
      <c r="BR617" t="inlineStr"/>
      <c r="BS617" t="inlineStr"/>
      <c r="BT617" t="inlineStr"/>
      <c r="BU617" t="inlineStr"/>
      <c r="BV617" t="inlineStr"/>
      <c r="BW617" t="inlineStr"/>
      <c r="BX617" t="inlineStr"/>
      <c r="BY617" t="inlineStr"/>
      <c r="BZ617" t="inlineStr"/>
      <c r="CA617" t="inlineStr"/>
      <c r="CB617" t="inlineStr"/>
      <c r="CC617" t="inlineStr"/>
      <c r="CD617" t="inlineStr"/>
      <c r="CE617" t="inlineStr"/>
      <c r="CF617" t="inlineStr"/>
      <c r="CG617" t="inlineStr"/>
      <c r="CH617" t="inlineStr"/>
      <c r="CI617" t="inlineStr"/>
      <c r="CJ617" t="inlineStr"/>
      <c r="CK617" t="inlineStr"/>
      <c r="CL617" t="inlineStr"/>
      <c r="CM617" t="inlineStr"/>
      <c r="CN617" t="inlineStr"/>
      <c r="CO617" t="inlineStr"/>
      <c r="CP617" t="inlineStr"/>
      <c r="CQ617" t="inlineStr"/>
      <c r="CR617" t="inlineStr"/>
      <c r="CS617" t="inlineStr"/>
      <c r="CT617" t="inlineStr"/>
      <c r="CU617" t="inlineStr"/>
      <c r="CV617" t="inlineStr"/>
      <c r="CW617" t="inlineStr"/>
      <c r="CX617" t="inlineStr"/>
      <c r="CY617" t="inlineStr"/>
      <c r="CZ617" t="inlineStr"/>
      <c r="DA617" t="inlineStr"/>
      <c r="DB617" t="inlineStr"/>
      <c r="DC617" t="inlineStr"/>
      <c r="DD617" t="inlineStr"/>
      <c r="DE617" t="inlineStr"/>
      <c r="DF617" t="inlineStr"/>
      <c r="DG617" t="inlineStr"/>
    </row>
    <row r="618">
      <c r="A618" t="inlineStr">
        <is>
          <t>III</t>
        </is>
      </c>
      <c r="B618" t="b">
        <v>1</v>
      </c>
      <c r="C618" t="inlineStr"/>
      <c r="D618" t="inlineStr"/>
      <c r="E618" t="n">
        <v>719</v>
      </c>
      <c r="F618">
        <f>HYPERLINK("https://portal.dnb.de/opac.htm?method=simpleSearch&amp;cqlMode=true&amp;query=idn%3D997592117", "Portal")</f>
        <v/>
      </c>
      <c r="G618" t="inlineStr">
        <is>
          <t>Aa</t>
        </is>
      </c>
      <c r="H618" t="inlineStr">
        <is>
          <t>L-2009-324232</t>
        </is>
      </c>
      <c r="I618" t="inlineStr">
        <is>
          <t>997592117</t>
        </is>
      </c>
      <c r="J618" t="inlineStr">
        <is>
          <t>III 69, 15 e</t>
        </is>
      </c>
      <c r="K618" t="inlineStr">
        <is>
          <t>III 69, 15 e</t>
        </is>
      </c>
      <c r="L618" t="inlineStr">
        <is>
          <t>III 69, 15 e</t>
        </is>
      </c>
      <c r="M618" t="inlineStr"/>
      <c r="N618" t="inlineStr">
        <is>
          <t xml:space="preserve">Perornata eademqve verissima D. Christophori descriptio : </t>
        </is>
      </c>
      <c r="O618" t="inlineStr">
        <is>
          <t xml:space="preserve"> : </t>
        </is>
      </c>
      <c r="P618" t="inlineStr"/>
      <c r="Q618" t="inlineStr"/>
      <c r="R618" t="inlineStr">
        <is>
          <t>Broschur</t>
        </is>
      </c>
      <c r="S618" t="inlineStr">
        <is>
          <t>bis 25 cm</t>
        </is>
      </c>
      <c r="T618" t="inlineStr">
        <is>
          <t>180°</t>
        </is>
      </c>
      <c r="U618" t="inlineStr"/>
      <c r="V618" t="inlineStr"/>
      <c r="W618" t="inlineStr">
        <is>
          <t>Archivkarton</t>
        </is>
      </c>
      <c r="X618" t="inlineStr">
        <is>
          <t>Nein</t>
        </is>
      </c>
      <c r="Y618" t="n">
        <v>0</v>
      </c>
      <c r="Z618" t="inlineStr"/>
      <c r="AA618" t="inlineStr"/>
      <c r="AB618" t="inlineStr"/>
      <c r="AC618" t="inlineStr"/>
      <c r="AD618" t="inlineStr"/>
      <c r="AE618" t="inlineStr"/>
      <c r="AF618" t="inlineStr"/>
      <c r="AG618" t="inlineStr"/>
      <c r="AH618" t="inlineStr"/>
      <c r="AI618" t="inlineStr">
        <is>
          <t>oE</t>
        </is>
      </c>
      <c r="AJ618" t="inlineStr"/>
      <c r="AK618" t="inlineStr"/>
      <c r="AL618" t="inlineStr"/>
      <c r="AM618" t="inlineStr"/>
      <c r="AN618" t="inlineStr"/>
      <c r="AO618" t="inlineStr"/>
      <c r="AP618" t="inlineStr"/>
      <c r="AQ618" t="inlineStr"/>
      <c r="AR618" t="inlineStr"/>
      <c r="AS618" t="inlineStr">
        <is>
          <t>Pa</t>
        </is>
      </c>
      <c r="AT618" t="inlineStr"/>
      <c r="AU618" t="inlineStr"/>
      <c r="AV618" t="inlineStr"/>
      <c r="AW618" t="inlineStr"/>
      <c r="AX618" t="inlineStr"/>
      <c r="AY618" t="inlineStr"/>
      <c r="AZ618" t="inlineStr"/>
      <c r="BA618" t="inlineStr"/>
      <c r="BB618" t="inlineStr"/>
      <c r="BC618" t="inlineStr"/>
      <c r="BD618" t="inlineStr"/>
      <c r="BE618" t="inlineStr"/>
      <c r="BF618" t="inlineStr"/>
      <c r="BG618" t="n">
        <v>180</v>
      </c>
      <c r="BH618" t="inlineStr"/>
      <c r="BI618" t="inlineStr"/>
      <c r="BJ618" t="inlineStr"/>
      <c r="BK618" t="inlineStr"/>
      <c r="BL618" t="inlineStr"/>
      <c r="BM618" t="inlineStr">
        <is>
          <t>n</t>
        </is>
      </c>
      <c r="BN618" t="n">
        <v>0</v>
      </c>
      <c r="BO618" t="inlineStr"/>
      <c r="BP618" t="inlineStr"/>
      <c r="BQ618" t="inlineStr"/>
      <c r="BR618" t="inlineStr"/>
      <c r="BS618" t="inlineStr">
        <is>
          <t>x</t>
        </is>
      </c>
      <c r="BT618" t="inlineStr"/>
      <c r="BU618" t="inlineStr"/>
      <c r="BV618" t="inlineStr"/>
      <c r="BW618" t="inlineStr"/>
      <c r="BX618" t="inlineStr"/>
      <c r="BY618" t="inlineStr"/>
      <c r="BZ618" t="inlineStr"/>
      <c r="CA618" t="inlineStr"/>
      <c r="CB618" t="inlineStr"/>
      <c r="CC618" t="inlineStr"/>
      <c r="CD618" t="inlineStr"/>
      <c r="CE618" t="inlineStr"/>
      <c r="CF618" t="inlineStr"/>
      <c r="CG618" t="inlineStr"/>
      <c r="CH618" t="inlineStr"/>
      <c r="CI618" t="inlineStr"/>
      <c r="CJ618" t="inlineStr"/>
      <c r="CK618" t="inlineStr"/>
      <c r="CL618" t="inlineStr"/>
      <c r="CM618" t="inlineStr"/>
      <c r="CN618" t="inlineStr"/>
      <c r="CO618" t="inlineStr"/>
      <c r="CP618" t="inlineStr"/>
      <c r="CQ618" t="inlineStr"/>
      <c r="CR618" t="inlineStr"/>
      <c r="CS618" t="inlineStr"/>
      <c r="CT618" t="inlineStr"/>
      <c r="CU618" t="inlineStr"/>
      <c r="CV618" t="inlineStr"/>
      <c r="CW618" t="inlineStr"/>
      <c r="CX618" t="inlineStr"/>
      <c r="CY618" t="inlineStr"/>
      <c r="CZ618" t="inlineStr"/>
      <c r="DA618" t="inlineStr"/>
      <c r="DB618" t="inlineStr"/>
      <c r="DC618" t="inlineStr"/>
      <c r="DD618" t="inlineStr"/>
      <c r="DE618" t="inlineStr"/>
      <c r="DF618" t="inlineStr"/>
      <c r="DG618" t="inlineStr"/>
    </row>
    <row r="619">
      <c r="A619" t="inlineStr">
        <is>
          <t>III</t>
        </is>
      </c>
      <c r="B619" t="b">
        <v>1</v>
      </c>
      <c r="C619" t="inlineStr"/>
      <c r="D619" t="inlineStr"/>
      <c r="E619" t="inlineStr"/>
      <c r="F619">
        <f>HYPERLINK("https://portal.dnb.de/opac.htm?method=simpleSearch&amp;cqlMode=true&amp;query=idn%3D126787385X", "Portal")</f>
        <v/>
      </c>
      <c r="G619" t="inlineStr">
        <is>
          <t>Qd</t>
        </is>
      </c>
      <c r="H619" t="inlineStr">
        <is>
          <t>L-9999-812451201</t>
        </is>
      </c>
      <c r="I619" t="inlineStr">
        <is>
          <t>126787385X</t>
        </is>
      </c>
      <c r="J619" t="inlineStr">
        <is>
          <t>III 69, 15d</t>
        </is>
      </c>
      <c r="K619" t="inlineStr">
        <is>
          <t>III 69, 15d</t>
        </is>
      </c>
      <c r="L619" t="inlineStr">
        <is>
          <t>III 69, 15d</t>
        </is>
      </c>
      <c r="M619" t="inlineStr"/>
      <c r="N619" t="inlineStr">
        <is>
          <t xml:space="preserve">Sammelband : </t>
        </is>
      </c>
      <c r="O619" t="inlineStr">
        <is>
          <t xml:space="preserve"> : </t>
        </is>
      </c>
      <c r="P619" t="inlineStr"/>
      <c r="Q619" t="inlineStr"/>
      <c r="R619" t="inlineStr"/>
      <c r="S619" t="inlineStr"/>
      <c r="T619" t="inlineStr"/>
      <c r="U619" t="inlineStr"/>
      <c r="V619" t="inlineStr"/>
      <c r="W619" t="inlineStr"/>
      <c r="X619" t="inlineStr"/>
      <c r="Y619" t="inlineStr"/>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c r="BD619" t="inlineStr"/>
      <c r="BE619" t="inlineStr"/>
      <c r="BF619" t="inlineStr"/>
      <c r="BG619" t="inlineStr"/>
      <c r="BH619" t="inlineStr"/>
      <c r="BI619" t="inlineStr"/>
      <c r="BJ619" t="inlineStr"/>
      <c r="BK619" t="inlineStr"/>
      <c r="BL619" t="inlineStr"/>
      <c r="BM619" t="inlineStr"/>
      <c r="BN619" t="inlineStr"/>
      <c r="BO619" t="inlineStr"/>
      <c r="BP619" t="inlineStr"/>
      <c r="BQ619" t="inlineStr"/>
      <c r="BR619" t="inlineStr"/>
      <c r="BS619" t="inlineStr"/>
      <c r="BT619" t="inlineStr"/>
      <c r="BU619" t="inlineStr"/>
      <c r="BV619" t="inlineStr"/>
      <c r="BW619" t="inlineStr"/>
      <c r="BX619" t="inlineStr"/>
      <c r="BY619" t="inlineStr"/>
      <c r="BZ619" t="inlineStr"/>
      <c r="CA619" t="inlineStr"/>
      <c r="CB619" t="inlineStr"/>
      <c r="CC619" t="inlineStr"/>
      <c r="CD619" t="inlineStr"/>
      <c r="CE619" t="inlineStr"/>
      <c r="CF619" t="inlineStr"/>
      <c r="CG619" t="inlineStr"/>
      <c r="CH619" t="inlineStr"/>
      <c r="CI619" t="inlineStr"/>
      <c r="CJ619" t="inlineStr"/>
      <c r="CK619" t="inlineStr"/>
      <c r="CL619" t="inlineStr"/>
      <c r="CM619" t="inlineStr"/>
      <c r="CN619" t="inlineStr"/>
      <c r="CO619" t="inlineStr"/>
      <c r="CP619" t="inlineStr"/>
      <c r="CQ619" t="inlineStr"/>
      <c r="CR619" t="inlineStr"/>
      <c r="CS619" t="inlineStr"/>
      <c r="CT619" t="inlineStr"/>
      <c r="CU619" t="inlineStr"/>
      <c r="CV619" t="inlineStr"/>
      <c r="CW619" t="inlineStr"/>
      <c r="CX619" t="inlineStr"/>
      <c r="CY619" t="inlineStr"/>
      <c r="CZ619" t="inlineStr"/>
      <c r="DA619" t="inlineStr"/>
      <c r="DB619" t="inlineStr"/>
      <c r="DC619" t="inlineStr"/>
      <c r="DD619" t="inlineStr"/>
      <c r="DE619" t="inlineStr"/>
      <c r="DF619" t="inlineStr"/>
      <c r="DG619" t="inlineStr"/>
    </row>
    <row r="620">
      <c r="A620" t="inlineStr">
        <is>
          <t>III</t>
        </is>
      </c>
      <c r="B620" t="b">
        <v>1</v>
      </c>
      <c r="C620" t="inlineStr">
        <is>
          <t>x</t>
        </is>
      </c>
      <c r="D620" t="inlineStr"/>
      <c r="E620" t="n">
        <v>696</v>
      </c>
      <c r="F620">
        <f>HYPERLINK("https://portal.dnb.de/opac.htm?method=simpleSearch&amp;cqlMode=true&amp;query=idn%3D993888127", "Portal")</f>
        <v/>
      </c>
      <c r="G620" t="inlineStr">
        <is>
          <t>Aal</t>
        </is>
      </c>
      <c r="H620" t="inlineStr">
        <is>
          <t>L-1527-153951540</t>
        </is>
      </c>
      <c r="I620" t="inlineStr">
        <is>
          <t>993888127</t>
        </is>
      </c>
      <c r="J620" t="inlineStr">
        <is>
          <t>III 69, 16</t>
        </is>
      </c>
      <c r="K620" t="inlineStr">
        <is>
          <t>III 69, 16</t>
        </is>
      </c>
      <c r="L620" t="inlineStr">
        <is>
          <t>III 69, 16</t>
        </is>
      </c>
      <c r="M620" t="inlineStr"/>
      <c r="N620" t="inlineStr">
        <is>
          <t xml:space="preserve">DIALLA||GE, HOC EST,|| CONCILIATIO LOCO||rum scripturae, qui prima facie|| inter se pugnare ui||dentur : </t>
        </is>
      </c>
      <c r="O620" t="inlineStr">
        <is>
          <t xml:space="preserve"> : </t>
        </is>
      </c>
      <c r="P620" t="inlineStr"/>
      <c r="Q620" t="inlineStr"/>
      <c r="R620" t="inlineStr"/>
      <c r="S620" t="inlineStr">
        <is>
          <t>bis 25 cm</t>
        </is>
      </c>
      <c r="T620" t="inlineStr"/>
      <c r="U620" t="inlineStr"/>
      <c r="V620" t="inlineStr"/>
      <c r="W620" t="inlineStr"/>
      <c r="X620" t="inlineStr"/>
      <c r="Y620" t="inlineStr"/>
      <c r="Z620" t="inlineStr"/>
      <c r="AA620" t="inlineStr"/>
      <c r="AB620" t="inlineStr"/>
      <c r="AC620" t="inlineStr"/>
      <c r="AD620" t="inlineStr"/>
      <c r="AE620" t="inlineStr"/>
      <c r="AF620" t="inlineStr"/>
      <c r="AG620" t="inlineStr"/>
      <c r="AH620" t="inlineStr">
        <is>
          <t>x</t>
        </is>
      </c>
      <c r="AI620" t="inlineStr">
        <is>
          <t>G</t>
        </is>
      </c>
      <c r="AJ620" t="inlineStr"/>
      <c r="AK620" t="inlineStr">
        <is>
          <t>x</t>
        </is>
      </c>
      <c r="AL620" t="inlineStr"/>
      <c r="AM620" t="inlineStr">
        <is>
          <t>h/E</t>
        </is>
      </c>
      <c r="AN620" t="inlineStr"/>
      <c r="AO620" t="inlineStr"/>
      <c r="AP620" t="inlineStr"/>
      <c r="AQ620" t="inlineStr"/>
      <c r="AR620" t="inlineStr"/>
      <c r="AS620" t="inlineStr">
        <is>
          <t>Pa</t>
        </is>
      </c>
      <c r="AT620" t="inlineStr"/>
      <c r="AU620" t="inlineStr"/>
      <c r="AV620" t="inlineStr"/>
      <c r="AW620" t="inlineStr"/>
      <c r="AX620" t="inlineStr"/>
      <c r="AY620" t="inlineStr"/>
      <c r="AZ620" t="inlineStr"/>
      <c r="BA620" t="inlineStr"/>
      <c r="BB620" t="inlineStr"/>
      <c r="BC620" t="inlineStr"/>
      <c r="BD620" t="inlineStr"/>
      <c r="BE620" t="inlineStr"/>
      <c r="BF620" t="inlineStr"/>
      <c r="BG620" t="n">
        <v>110</v>
      </c>
      <c r="BH620" t="inlineStr"/>
      <c r="BI620" t="inlineStr"/>
      <c r="BJ620" t="inlineStr"/>
      <c r="BK620" t="inlineStr"/>
      <c r="BL620" t="inlineStr"/>
      <c r="BM620" t="inlineStr">
        <is>
          <t>ja vor</t>
        </is>
      </c>
      <c r="BN620" t="n">
        <v>0.5</v>
      </c>
      <c r="BO620" t="inlineStr"/>
      <c r="BP620" t="inlineStr"/>
      <c r="BQ620" t="inlineStr"/>
      <c r="BR620" t="inlineStr">
        <is>
          <t>x</t>
        </is>
      </c>
      <c r="BS620" t="inlineStr"/>
      <c r="BT620" t="inlineStr"/>
      <c r="BU620" t="inlineStr"/>
      <c r="BV620" t="inlineStr"/>
      <c r="BW620" t="inlineStr">
        <is>
          <t>x 110</t>
        </is>
      </c>
      <c r="BX620" t="inlineStr">
        <is>
          <t xml:space="preserve">
knapp 15 cm hoch</t>
        </is>
      </c>
      <c r="BY620" t="inlineStr"/>
      <c r="BZ620" t="inlineStr">
        <is>
          <t>x</t>
        </is>
      </c>
      <c r="CA620" t="inlineStr"/>
      <c r="CB620" t="inlineStr">
        <is>
          <t>x</t>
        </is>
      </c>
      <c r="CC620" t="inlineStr"/>
      <c r="CD620" t="inlineStr"/>
      <c r="CE620" t="inlineStr"/>
      <c r="CF620" t="inlineStr"/>
      <c r="CG620" t="inlineStr"/>
      <c r="CH620" t="inlineStr"/>
      <c r="CI620" t="inlineStr"/>
      <c r="CJ620" t="inlineStr"/>
      <c r="CK620" t="inlineStr"/>
      <c r="CL620" t="inlineStr"/>
      <c r="CM620" t="n">
        <v>0.5</v>
      </c>
      <c r="CN620" t="inlineStr"/>
      <c r="CO620" t="inlineStr"/>
      <c r="CP620" t="inlineStr"/>
      <c r="CQ620" t="inlineStr"/>
      <c r="CR620" t="inlineStr"/>
      <c r="CS620" t="inlineStr"/>
      <c r="CT620" t="inlineStr"/>
      <c r="CU620" t="inlineStr"/>
      <c r="CV620" t="inlineStr"/>
      <c r="CW620" t="inlineStr"/>
      <c r="CX620" t="inlineStr"/>
      <c r="CY620" t="inlineStr"/>
      <c r="CZ620" t="inlineStr"/>
      <c r="DA620" t="inlineStr"/>
      <c r="DB620" t="inlineStr"/>
      <c r="DC620" t="inlineStr"/>
      <c r="DD620" t="inlineStr"/>
      <c r="DE620" t="inlineStr"/>
      <c r="DF620" t="inlineStr"/>
      <c r="DG620" t="inlineStr"/>
    </row>
    <row r="621">
      <c r="A621" t="inlineStr">
        <is>
          <t>III</t>
        </is>
      </c>
      <c r="B621" t="b">
        <v>1</v>
      </c>
      <c r="C621" t="inlineStr"/>
      <c r="D621" t="inlineStr"/>
      <c r="E621" t="n">
        <v>721</v>
      </c>
      <c r="F621">
        <f>HYPERLINK("https://portal.dnb.de/opac.htm?method=simpleSearch&amp;cqlMode=true&amp;query=idn%3D993888585", "Portal")</f>
        <v/>
      </c>
      <c r="G621" t="inlineStr">
        <is>
          <t>Afl</t>
        </is>
      </c>
      <c r="H621" t="inlineStr">
        <is>
          <t>L-1528-153951982</t>
        </is>
      </c>
      <c r="I621" t="inlineStr">
        <is>
          <t>993888585</t>
        </is>
      </c>
      <c r="J621" t="inlineStr">
        <is>
          <t>III 69, 16a</t>
        </is>
      </c>
      <c r="K621" t="inlineStr">
        <is>
          <t>III 69, 16a</t>
        </is>
      </c>
      <c r="L621" t="inlineStr">
        <is>
          <t>III 69, 16 a</t>
        </is>
      </c>
      <c r="M621" t="inlineStr"/>
      <c r="N621" t="inlineStr">
        <is>
          <t>DIALLA||GE, HOC EST,||CONCILIATIO LOCO||rum scripturae, qui prima facie|| inter se pugnare ui||dentur</t>
        </is>
      </c>
      <c r="O621" t="inlineStr">
        <is>
          <t xml:space="preserve">[1] : </t>
        </is>
      </c>
      <c r="P621" t="inlineStr"/>
      <c r="Q621" t="inlineStr"/>
      <c r="R621" t="inlineStr"/>
      <c r="S621" t="inlineStr"/>
      <c r="T621" t="inlineStr"/>
      <c r="U621" t="inlineStr"/>
      <c r="V621" t="inlineStr"/>
      <c r="W621" t="inlineStr"/>
      <c r="X621" t="inlineStr"/>
      <c r="Y621" t="inlineStr"/>
      <c r="Z621" t="inlineStr"/>
      <c r="AA621" t="inlineStr"/>
      <c r="AB621" t="inlineStr"/>
      <c r="AC621" t="inlineStr"/>
      <c r="AD621" t="inlineStr"/>
      <c r="AE621" t="inlineStr"/>
      <c r="AF621" t="inlineStr"/>
      <c r="AG621" t="inlineStr"/>
      <c r="AH621" t="inlineStr"/>
      <c r="AI621" t="inlineStr"/>
      <c r="AJ621" t="inlineStr"/>
      <c r="AK621" t="inlineStr"/>
      <c r="AL621" t="inlineStr"/>
      <c r="AM621" t="inlineStr"/>
      <c r="AN621" t="inlineStr"/>
      <c r="AO621" t="inlineStr"/>
      <c r="AP621" t="inlineStr"/>
      <c r="AQ621" t="inlineStr"/>
      <c r="AR621" t="inlineStr"/>
      <c r="AS621" t="inlineStr"/>
      <c r="AT621" t="inlineStr"/>
      <c r="AU621" t="inlineStr"/>
      <c r="AV621" t="inlineStr"/>
      <c r="AW621" t="inlineStr"/>
      <c r="AX621" t="inlineStr"/>
      <c r="AY621" t="inlineStr"/>
      <c r="AZ621" t="inlineStr"/>
      <c r="BA621" t="inlineStr"/>
      <c r="BB621" t="inlineStr"/>
      <c r="BC621" t="inlineStr"/>
      <c r="BD621" t="inlineStr"/>
      <c r="BE621" t="inlineStr"/>
      <c r="BF621" t="inlineStr"/>
      <c r="BG621" t="inlineStr"/>
      <c r="BH621" t="inlineStr"/>
      <c r="BI621" t="inlineStr"/>
      <c r="BJ621" t="inlineStr"/>
      <c r="BK621" t="inlineStr"/>
      <c r="BL621" t="inlineStr"/>
      <c r="BM621" t="inlineStr"/>
      <c r="BN621" t="n">
        <v>0</v>
      </c>
      <c r="BO621" t="inlineStr"/>
      <c r="BP621" t="inlineStr"/>
      <c r="BQ621" t="inlineStr"/>
      <c r="BR621" t="inlineStr"/>
      <c r="BS621" t="inlineStr"/>
      <c r="BT621" t="inlineStr"/>
      <c r="BU621" t="inlineStr"/>
      <c r="BV621" t="inlineStr"/>
      <c r="BW621" t="inlineStr"/>
      <c r="BX621" t="inlineStr"/>
      <c r="BY621" t="inlineStr"/>
      <c r="BZ621" t="inlineStr"/>
      <c r="CA621" t="inlineStr"/>
      <c r="CB621" t="inlineStr"/>
      <c r="CC621" t="inlineStr"/>
      <c r="CD621" t="inlineStr"/>
      <c r="CE621" t="inlineStr"/>
      <c r="CF621" t="inlineStr"/>
      <c r="CG621" t="inlineStr"/>
      <c r="CH621" t="inlineStr"/>
      <c r="CI621" t="inlineStr"/>
      <c r="CJ621" t="inlineStr"/>
      <c r="CK621" t="inlineStr"/>
      <c r="CL621" t="inlineStr"/>
      <c r="CM621" t="inlineStr"/>
      <c r="CN621" t="inlineStr"/>
      <c r="CO621" t="inlineStr"/>
      <c r="CP621" t="inlineStr"/>
      <c r="CQ621" t="inlineStr"/>
      <c r="CR621" t="inlineStr"/>
      <c r="CS621" t="inlineStr"/>
      <c r="CT621" t="inlineStr"/>
      <c r="CU621" t="inlineStr"/>
      <c r="CV621" t="inlineStr"/>
      <c r="CW621" t="inlineStr"/>
      <c r="CX621" t="inlineStr"/>
      <c r="CY621" t="inlineStr"/>
      <c r="CZ621" t="inlineStr"/>
      <c r="DA621" t="inlineStr"/>
      <c r="DB621" t="inlineStr"/>
      <c r="DC621" t="inlineStr"/>
      <c r="DD621" t="inlineStr"/>
      <c r="DE621" t="inlineStr"/>
      <c r="DF621" t="inlineStr"/>
      <c r="DG621" t="inlineStr"/>
    </row>
    <row r="622">
      <c r="A622" t="inlineStr">
        <is>
          <t>III</t>
        </is>
      </c>
      <c r="B622" t="b">
        <v>1</v>
      </c>
      <c r="C622" t="inlineStr"/>
      <c r="D622" t="inlineStr"/>
      <c r="E622" t="n">
        <v>720</v>
      </c>
      <c r="F622">
        <f>HYPERLINK("https://portal.dnb.de/opac.htm?method=simpleSearch&amp;cqlMode=true&amp;query=idn%3D996946691", "Portal")</f>
        <v/>
      </c>
      <c r="G622" t="inlineStr">
        <is>
          <t>Afl</t>
        </is>
      </c>
      <c r="H622" t="inlineStr">
        <is>
          <t>L-1528-163068933</t>
        </is>
      </c>
      <c r="I622" t="inlineStr">
        <is>
          <t>996946691</t>
        </is>
      </c>
      <c r="J622" t="inlineStr">
        <is>
          <t>III 69, 16a</t>
        </is>
      </c>
      <c r="K622" t="inlineStr">
        <is>
          <t>III 69, 16a</t>
        </is>
      </c>
      <c r="L622" t="inlineStr">
        <is>
          <t>III 69, 16 a - 2</t>
        </is>
      </c>
      <c r="M622" t="inlineStr"/>
      <c r="N622" t="inlineStr">
        <is>
          <t>DIALLA||GE, HOC EST,||CONCILIATIO LOCO||rum scripturae, qui prima facie|| inter se pugnare ui||dentur</t>
        </is>
      </c>
      <c r="O622" t="inlineStr">
        <is>
          <t xml:space="preserve">2 : </t>
        </is>
      </c>
      <c r="P622" t="inlineStr"/>
      <c r="Q622" t="inlineStr"/>
      <c r="R622" t="inlineStr">
        <is>
          <t>Halbpergamentband</t>
        </is>
      </c>
      <c r="S622" t="inlineStr">
        <is>
          <t>bis 25 cm</t>
        </is>
      </c>
      <c r="T622" t="inlineStr">
        <is>
          <t>80° bis 110°, einseitig digitalisierbar?</t>
        </is>
      </c>
      <c r="U622" t="inlineStr">
        <is>
          <t>hohler Rücken</t>
        </is>
      </c>
      <c r="V622" t="inlineStr"/>
      <c r="W622" t="inlineStr"/>
      <c r="X622" t="inlineStr"/>
      <c r="Y622" t="n">
        <v>0</v>
      </c>
      <c r="Z622" t="inlineStr"/>
      <c r="AA622" t="inlineStr"/>
      <c r="AB622" t="inlineStr"/>
      <c r="AC622" t="inlineStr"/>
      <c r="AD622" t="inlineStr"/>
      <c r="AE622" t="inlineStr"/>
      <c r="AF622" t="inlineStr"/>
      <c r="AG622" t="inlineStr"/>
      <c r="AH622" t="inlineStr"/>
      <c r="AI622" t="inlineStr"/>
      <c r="AJ622" t="inlineStr"/>
      <c r="AK622" t="inlineStr"/>
      <c r="AL622" t="inlineStr"/>
      <c r="AM622" t="inlineStr"/>
      <c r="AN622" t="inlineStr"/>
      <c r="AO622" t="inlineStr"/>
      <c r="AP622" t="inlineStr"/>
      <c r="AQ622" t="inlineStr"/>
      <c r="AR622" t="inlineStr"/>
      <c r="AS622" t="inlineStr"/>
      <c r="AT622" t="inlineStr"/>
      <c r="AU622" t="inlineStr"/>
      <c r="AV622" t="inlineStr"/>
      <c r="AW622" t="inlineStr"/>
      <c r="AX622" t="inlineStr"/>
      <c r="AY622" t="inlineStr"/>
      <c r="AZ622" t="inlineStr"/>
      <c r="BA622" t="inlineStr"/>
      <c r="BB622" t="inlineStr"/>
      <c r="BC622" t="inlineStr"/>
      <c r="BD622" t="inlineStr"/>
      <c r="BE622" t="inlineStr"/>
      <c r="BF622" t="inlineStr"/>
      <c r="BG622" t="inlineStr"/>
      <c r="BH622" t="inlineStr"/>
      <c r="BI622" t="inlineStr"/>
      <c r="BJ622" t="inlineStr"/>
      <c r="BK622" t="inlineStr"/>
      <c r="BL622" t="inlineStr"/>
      <c r="BM622" t="inlineStr"/>
      <c r="BN622" t="n">
        <v>0</v>
      </c>
      <c r="BO622" t="inlineStr"/>
      <c r="BP622" t="inlineStr"/>
      <c r="BQ622" t="inlineStr"/>
      <c r="BR622" t="inlineStr"/>
      <c r="BS622" t="inlineStr"/>
      <c r="BT622" t="inlineStr"/>
      <c r="BU622" t="inlineStr"/>
      <c r="BV622" t="inlineStr"/>
      <c r="BW622" t="inlineStr"/>
      <c r="BX622" t="inlineStr"/>
      <c r="BY622" t="inlineStr"/>
      <c r="BZ622" t="inlineStr"/>
      <c r="CA622" t="inlineStr"/>
      <c r="CB622" t="inlineStr"/>
      <c r="CC622" t="inlineStr"/>
      <c r="CD622" t="inlineStr"/>
      <c r="CE622" t="inlineStr"/>
      <c r="CF622" t="inlineStr"/>
      <c r="CG622" t="inlineStr"/>
      <c r="CH622" t="inlineStr"/>
      <c r="CI622" t="inlineStr"/>
      <c r="CJ622" t="inlineStr"/>
      <c r="CK622" t="inlineStr"/>
      <c r="CL622" t="inlineStr"/>
      <c r="CM622" t="inlineStr"/>
      <c r="CN622" t="inlineStr"/>
      <c r="CO622" t="inlineStr"/>
      <c r="CP622" t="inlineStr"/>
      <c r="CQ622" t="inlineStr"/>
      <c r="CR622" t="inlineStr"/>
      <c r="CS622" t="inlineStr"/>
      <c r="CT622" t="inlineStr"/>
      <c r="CU622" t="inlineStr"/>
      <c r="CV622" t="inlineStr"/>
      <c r="CW622" t="inlineStr"/>
      <c r="CX622" t="inlineStr"/>
      <c r="CY622" t="inlineStr"/>
      <c r="CZ622" t="inlineStr"/>
      <c r="DA622" t="inlineStr"/>
      <c r="DB622" t="inlineStr"/>
      <c r="DC622" t="inlineStr"/>
      <c r="DD622" t="inlineStr"/>
      <c r="DE622" t="inlineStr"/>
      <c r="DF622" t="inlineStr"/>
      <c r="DG622" t="inlineStr"/>
    </row>
    <row r="623">
      <c r="A623" t="inlineStr">
        <is>
          <t>III</t>
        </is>
      </c>
      <c r="B623" t="b">
        <v>1</v>
      </c>
      <c r="C623" t="inlineStr"/>
      <c r="D623" t="inlineStr"/>
      <c r="E623" t="n">
        <v>697</v>
      </c>
      <c r="F623">
        <f>HYPERLINK("https://portal.dnb.de/opac.htm?method=simpleSearch&amp;cqlMode=true&amp;query=idn%3D1066962278", "Portal")</f>
        <v/>
      </c>
      <c r="G623" t="inlineStr">
        <is>
          <t>Aaf</t>
        </is>
      </c>
      <c r="H623" t="inlineStr">
        <is>
          <t>L-1525-315492678</t>
        </is>
      </c>
      <c r="I623" t="inlineStr">
        <is>
          <t>1066962278</t>
        </is>
      </c>
      <c r="J623" t="inlineStr">
        <is>
          <t>III 69, 17</t>
        </is>
      </c>
      <c r="K623" t="inlineStr">
        <is>
          <t>III 69, 17</t>
        </is>
      </c>
      <c r="L623" t="inlineStr">
        <is>
          <t>III 69, 17</t>
        </is>
      </c>
      <c r="M623" t="inlineStr"/>
      <c r="N623" t="inlineStr">
        <is>
          <t xml:space="preserve">Eyn @Ratschlag/|| Den etliche Christenliche Pfarherrn/ Prediger/|| vnnd andere/ G#[oe]tlicher schrifft verstendige/|| Einem Fürsten/ welcher yetzigen </t>
        </is>
      </c>
      <c r="O623" t="inlineStr">
        <is>
          <t xml:space="preserve"> : </t>
        </is>
      </c>
      <c r="P623" t="inlineStr"/>
      <c r="Q623" t="inlineStr"/>
      <c r="R623" t="inlineStr"/>
      <c r="S623" t="inlineStr">
        <is>
          <t>bis 25 cm</t>
        </is>
      </c>
      <c r="T623" t="inlineStr"/>
      <c r="U623" t="inlineStr"/>
      <c r="V623" t="inlineStr"/>
      <c r="W623" t="inlineStr"/>
      <c r="X623" t="inlineStr"/>
      <c r="Y623" t="inlineStr"/>
      <c r="Z623" t="inlineStr"/>
      <c r="AA623" t="inlineStr"/>
      <c r="AB623" t="inlineStr"/>
      <c r="AC623" t="inlineStr"/>
      <c r="AD623" t="inlineStr"/>
      <c r="AE623" t="inlineStr"/>
      <c r="AF623" t="inlineStr"/>
      <c r="AG623" t="inlineStr"/>
      <c r="AH623" t="inlineStr"/>
      <c r="AI623" t="inlineStr">
        <is>
          <t>Pa</t>
        </is>
      </c>
      <c r="AJ623" t="inlineStr"/>
      <c r="AK623" t="inlineStr">
        <is>
          <t>x</t>
        </is>
      </c>
      <c r="AL623" t="inlineStr"/>
      <c r="AM623" t="inlineStr">
        <is>
          <t>h/E</t>
        </is>
      </c>
      <c r="AN623" t="inlineStr"/>
      <c r="AO623" t="inlineStr"/>
      <c r="AP623" t="inlineStr"/>
      <c r="AQ623" t="inlineStr"/>
      <c r="AR623" t="inlineStr"/>
      <c r="AS623" t="inlineStr">
        <is>
          <t>Pa</t>
        </is>
      </c>
      <c r="AT623" t="inlineStr"/>
      <c r="AU623" t="inlineStr"/>
      <c r="AV623" t="inlineStr"/>
      <c r="AW623" t="inlineStr"/>
      <c r="AX623" t="inlineStr"/>
      <c r="AY623" t="inlineStr"/>
      <c r="AZ623" t="inlineStr"/>
      <c r="BA623" t="inlineStr"/>
      <c r="BB623" t="inlineStr"/>
      <c r="BC623" t="inlineStr"/>
      <c r="BD623" t="inlineStr"/>
      <c r="BE623" t="inlineStr"/>
      <c r="BF623" t="inlineStr"/>
      <c r="BG623" t="n">
        <v>110</v>
      </c>
      <c r="BH623" t="inlineStr"/>
      <c r="BI623" t="inlineStr"/>
      <c r="BJ623" t="inlineStr"/>
      <c r="BK623" t="inlineStr"/>
      <c r="BL623" t="inlineStr"/>
      <c r="BM623" t="inlineStr">
        <is>
          <t>n</t>
        </is>
      </c>
      <c r="BN623" t="n">
        <v>0</v>
      </c>
      <c r="BO623" t="inlineStr"/>
      <c r="BP623" t="inlineStr"/>
      <c r="BQ623" t="inlineStr"/>
      <c r="BR623" t="inlineStr">
        <is>
          <t>x</t>
        </is>
      </c>
      <c r="BS623" t="inlineStr"/>
      <c r="BT623" t="inlineStr"/>
      <c r="BU623" t="inlineStr"/>
      <c r="BV623" t="inlineStr">
        <is>
          <t>Schaden stabil</t>
        </is>
      </c>
      <c r="BW623" t="inlineStr">
        <is>
          <t>x 110</t>
        </is>
      </c>
      <c r="BX623" t="inlineStr">
        <is>
          <t xml:space="preserve">
aufgepilzte Ecken</t>
        </is>
      </c>
      <c r="BY623" t="inlineStr"/>
      <c r="BZ623" t="inlineStr"/>
      <c r="CA623" t="inlineStr"/>
      <c r="CB623" t="inlineStr"/>
      <c r="CC623" t="inlineStr"/>
      <c r="CD623" t="inlineStr"/>
      <c r="CE623" t="inlineStr"/>
      <c r="CF623" t="inlineStr"/>
      <c r="CG623" t="inlineStr"/>
      <c r="CH623" t="inlineStr"/>
      <c r="CI623" t="inlineStr"/>
      <c r="CJ623" t="inlineStr"/>
      <c r="CK623" t="inlineStr"/>
      <c r="CL623" t="inlineStr"/>
      <c r="CM623" t="inlineStr"/>
      <c r="CN623" t="inlineStr"/>
      <c r="CO623" t="inlineStr"/>
      <c r="CP623" t="inlineStr"/>
      <c r="CQ623" t="inlineStr"/>
      <c r="CR623" t="inlineStr"/>
      <c r="CS623" t="inlineStr"/>
      <c r="CT623" t="inlineStr"/>
      <c r="CU623" t="inlineStr"/>
      <c r="CV623" t="inlineStr"/>
      <c r="CW623" t="inlineStr"/>
      <c r="CX623" t="inlineStr"/>
      <c r="CY623" t="inlineStr"/>
      <c r="CZ623" t="inlineStr"/>
      <c r="DA623" t="inlineStr"/>
      <c r="DB623" t="inlineStr"/>
      <c r="DC623" t="inlineStr"/>
      <c r="DD623" t="inlineStr"/>
      <c r="DE623" t="inlineStr"/>
      <c r="DF623" t="inlineStr"/>
      <c r="DG623" t="inlineStr"/>
    </row>
    <row r="624">
      <c r="A624" t="inlineStr">
        <is>
          <t>III</t>
        </is>
      </c>
      <c r="B624" t="b">
        <v>1</v>
      </c>
      <c r="C624" t="inlineStr"/>
      <c r="D624" t="inlineStr"/>
      <c r="E624" t="n">
        <v>698</v>
      </c>
      <c r="F624">
        <f>HYPERLINK("https://portal.dnb.de/opac.htm?method=simpleSearch&amp;cqlMode=true&amp;query=idn%3D1066962308", "Portal")</f>
        <v/>
      </c>
      <c r="G624" t="inlineStr">
        <is>
          <t>Aaf</t>
        </is>
      </c>
      <c r="H624" t="inlineStr">
        <is>
          <t>L-1525-315492708</t>
        </is>
      </c>
      <c r="I624" t="inlineStr">
        <is>
          <t>1066962308</t>
        </is>
      </c>
      <c r="J624" t="inlineStr">
        <is>
          <t>III 69, 18</t>
        </is>
      </c>
      <c r="K624" t="inlineStr">
        <is>
          <t>III 69, 18</t>
        </is>
      </c>
      <c r="L624" t="inlineStr">
        <is>
          <t>III 69, 18</t>
        </is>
      </c>
      <c r="M624" t="inlineStr"/>
      <c r="N624" t="inlineStr">
        <is>
          <t xml:space="preserve">Beschwerung der alten Teüfe||lischen Schlangen mit dem : </t>
        </is>
      </c>
      <c r="O624" t="inlineStr">
        <is>
          <t xml:space="preserve"> : </t>
        </is>
      </c>
      <c r="P624" t="inlineStr">
        <is>
          <t>X</t>
        </is>
      </c>
      <c r="Q624" t="inlineStr"/>
      <c r="R624" t="inlineStr">
        <is>
          <t>Ledereinband, Schließen, erhabene Buchbeschläge</t>
        </is>
      </c>
      <c r="S624" t="inlineStr">
        <is>
          <t>bis 25 cm</t>
        </is>
      </c>
      <c r="T624" t="inlineStr">
        <is>
          <t>80° bis 110°, einseitig digitalisierbar?</t>
        </is>
      </c>
      <c r="U624" t="inlineStr">
        <is>
          <t>welliger Buchblock, fester Rücken mit Schmuckprägung</t>
        </is>
      </c>
      <c r="V624" t="inlineStr"/>
      <c r="W624" t="inlineStr">
        <is>
          <t>Buchschuh</t>
        </is>
      </c>
      <c r="X624" t="inlineStr">
        <is>
          <t>Nein</t>
        </is>
      </c>
      <c r="Y624" t="n">
        <v>0</v>
      </c>
      <c r="Z624" t="inlineStr"/>
      <c r="AA624" t="inlineStr"/>
      <c r="AB624" t="inlineStr"/>
      <c r="AC624" t="inlineStr"/>
      <c r="AD624" t="inlineStr"/>
      <c r="AE624" t="inlineStr"/>
      <c r="AF624" t="inlineStr"/>
      <c r="AG624" t="inlineStr"/>
      <c r="AH624" t="inlineStr"/>
      <c r="AI624" t="inlineStr">
        <is>
          <t>HD</t>
        </is>
      </c>
      <c r="AJ624" t="inlineStr"/>
      <c r="AK624" t="inlineStr">
        <is>
          <t>x</t>
        </is>
      </c>
      <c r="AL624" t="inlineStr"/>
      <c r="AM624" t="inlineStr">
        <is>
          <t>f/V</t>
        </is>
      </c>
      <c r="AN624" t="inlineStr"/>
      <c r="AO624" t="inlineStr"/>
      <c r="AP624" t="inlineStr"/>
      <c r="AQ624" t="inlineStr"/>
      <c r="AR624" t="inlineStr"/>
      <c r="AS624" t="inlineStr">
        <is>
          <t>Pa</t>
        </is>
      </c>
      <c r="AT624" t="inlineStr"/>
      <c r="AU624" t="inlineStr"/>
      <c r="AV624" t="inlineStr"/>
      <c r="AW624" t="inlineStr"/>
      <c r="AX624" t="inlineStr"/>
      <c r="AY624" t="inlineStr"/>
      <c r="AZ624" t="inlineStr"/>
      <c r="BA624" t="inlineStr"/>
      <c r="BB624" t="inlineStr"/>
      <c r="BC624" t="inlineStr"/>
      <c r="BD624" t="inlineStr"/>
      <c r="BE624" t="inlineStr"/>
      <c r="BF624" t="inlineStr"/>
      <c r="BG624" t="n">
        <v>45</v>
      </c>
      <c r="BH624" t="inlineStr"/>
      <c r="BI624" t="inlineStr"/>
      <c r="BJ624" t="inlineStr"/>
      <c r="BK624" t="inlineStr"/>
      <c r="BL624" t="inlineStr"/>
      <c r="BM624" t="inlineStr">
        <is>
          <t>n</t>
        </is>
      </c>
      <c r="BN624" t="n">
        <v>0</v>
      </c>
      <c r="BO624" t="inlineStr"/>
      <c r="BP624" t="inlineStr"/>
      <c r="BQ624" t="inlineStr"/>
      <c r="BR624" t="inlineStr">
        <is>
          <t>x</t>
        </is>
      </c>
      <c r="BS624" t="inlineStr"/>
      <c r="BT624" t="inlineStr"/>
      <c r="BU624" t="inlineStr"/>
      <c r="BV624" t="inlineStr"/>
      <c r="BW624" t="inlineStr">
        <is>
          <t>x 45</t>
        </is>
      </c>
      <c r="BX624" t="inlineStr"/>
      <c r="BY624" t="inlineStr"/>
      <c r="BZ624" t="inlineStr"/>
      <c r="CA624" t="inlineStr"/>
      <c r="CB624" t="inlineStr"/>
      <c r="CC624" t="inlineStr"/>
      <c r="CD624" t="inlineStr"/>
      <c r="CE624" t="inlineStr"/>
      <c r="CF624" t="inlineStr"/>
      <c r="CG624" t="inlineStr"/>
      <c r="CH624" t="inlineStr"/>
      <c r="CI624" t="inlineStr"/>
      <c r="CJ624" t="inlineStr"/>
      <c r="CK624" t="inlineStr"/>
      <c r="CL624" t="inlineStr"/>
      <c r="CM624" t="inlineStr"/>
      <c r="CN624" t="inlineStr"/>
      <c r="CO624" t="inlineStr"/>
      <c r="CP624" t="inlineStr"/>
      <c r="CQ624" t="inlineStr"/>
      <c r="CR624" t="inlineStr"/>
      <c r="CS624" t="inlineStr"/>
      <c r="CT624" t="inlineStr"/>
      <c r="CU624" t="inlineStr"/>
      <c r="CV624" t="inlineStr"/>
      <c r="CW624" t="inlineStr"/>
      <c r="CX624" t="inlineStr"/>
      <c r="CY624" t="inlineStr"/>
      <c r="CZ624" t="inlineStr"/>
      <c r="DA624" t="inlineStr"/>
      <c r="DB624" t="inlineStr"/>
      <c r="DC624" t="inlineStr"/>
      <c r="DD624" t="inlineStr"/>
      <c r="DE624" t="inlineStr"/>
      <c r="DF624" t="inlineStr"/>
      <c r="DG624" t="inlineStr"/>
    </row>
    <row r="625">
      <c r="A625" t="inlineStr">
        <is>
          <t>III</t>
        </is>
      </c>
      <c r="B625" t="b">
        <v>1</v>
      </c>
      <c r="C625" t="inlineStr"/>
      <c r="D625" t="inlineStr"/>
      <c r="E625" t="n">
        <v>722</v>
      </c>
      <c r="F625">
        <f>HYPERLINK("https://portal.dnb.de/opac.htm?method=simpleSearch&amp;cqlMode=true&amp;query=idn%3D1002012155", "Portal")</f>
        <v/>
      </c>
      <c r="G625" t="inlineStr">
        <is>
          <t>Aal</t>
        </is>
      </c>
      <c r="H625" t="inlineStr">
        <is>
          <t>L-1525-176005064</t>
        </is>
      </c>
      <c r="I625" t="inlineStr">
        <is>
          <t>1002012155</t>
        </is>
      </c>
      <c r="J625" t="inlineStr">
        <is>
          <t>III 69, 18 a</t>
        </is>
      </c>
      <c r="K625" t="inlineStr">
        <is>
          <t>III 69, 18 a</t>
        </is>
      </c>
      <c r="L625" t="inlineStr">
        <is>
          <t>III 69, 18 a</t>
        </is>
      </c>
      <c r="M625" t="inlineStr"/>
      <c r="N625" t="inlineStr">
        <is>
          <t>Der @Ehelich standt von Got mit ge=||benedeyung auffgesetzt, soll vmb schwärhait|| wegen der seltzamen gaben der Junck=||frawschafft yederman frey sei</t>
        </is>
      </c>
      <c r="O625" t="inlineStr">
        <is>
          <t xml:space="preserve"> : </t>
        </is>
      </c>
      <c r="P625" t="inlineStr">
        <is>
          <t>X</t>
        </is>
      </c>
      <c r="Q625" t="inlineStr"/>
      <c r="R625" t="inlineStr">
        <is>
          <t>Papier- oder Pappeinband</t>
        </is>
      </c>
      <c r="S625" t="inlineStr">
        <is>
          <t>bis 25 cm</t>
        </is>
      </c>
      <c r="T625" t="inlineStr">
        <is>
          <t>180°</t>
        </is>
      </c>
      <c r="U625" t="inlineStr"/>
      <c r="V625" t="inlineStr"/>
      <c r="W625" t="inlineStr"/>
      <c r="X625" t="inlineStr">
        <is>
          <t>Signaturfahne austauschen</t>
        </is>
      </c>
      <c r="Y625" t="n">
        <v>0</v>
      </c>
      <c r="Z625" t="inlineStr"/>
      <c r="AA625" t="inlineStr"/>
      <c r="AB625" t="inlineStr"/>
      <c r="AC625" t="inlineStr"/>
      <c r="AD625" t="inlineStr"/>
      <c r="AE625" t="inlineStr"/>
      <c r="AF625" t="inlineStr"/>
      <c r="AG625" t="inlineStr"/>
      <c r="AH625" t="inlineStr"/>
      <c r="AI625" t="inlineStr"/>
      <c r="AJ625" t="inlineStr"/>
      <c r="AK625" t="inlineStr"/>
      <c r="AL625" t="inlineStr"/>
      <c r="AM625" t="inlineStr"/>
      <c r="AN625" t="inlineStr"/>
      <c r="AO625" t="inlineStr"/>
      <c r="AP625" t="inlineStr"/>
      <c r="AQ625" t="inlineStr"/>
      <c r="AR625" t="inlineStr"/>
      <c r="AS625" t="inlineStr"/>
      <c r="AT625" t="inlineStr"/>
      <c r="AU625" t="inlineStr"/>
      <c r="AV625" t="inlineStr"/>
      <c r="AW625" t="inlineStr"/>
      <c r="AX625" t="inlineStr"/>
      <c r="AY625" t="inlineStr"/>
      <c r="AZ625" t="inlineStr"/>
      <c r="BA625" t="inlineStr"/>
      <c r="BB625" t="inlineStr"/>
      <c r="BC625" t="inlineStr"/>
      <c r="BD625" t="inlineStr"/>
      <c r="BE625" t="inlineStr"/>
      <c r="BF625" t="inlineStr"/>
      <c r="BG625" t="inlineStr"/>
      <c r="BH625" t="inlineStr"/>
      <c r="BI625" t="inlineStr"/>
      <c r="BJ625" t="inlineStr"/>
      <c r="BK625" t="inlineStr"/>
      <c r="BL625" t="inlineStr"/>
      <c r="BM625" t="inlineStr"/>
      <c r="BN625" t="n">
        <v>0</v>
      </c>
      <c r="BO625" t="inlineStr"/>
      <c r="BP625" t="inlineStr"/>
      <c r="BQ625" t="inlineStr"/>
      <c r="BR625" t="inlineStr"/>
      <c r="BS625" t="inlineStr"/>
      <c r="BT625" t="inlineStr"/>
      <c r="BU625" t="inlineStr"/>
      <c r="BV625" t="inlineStr"/>
      <c r="BW625" t="inlineStr"/>
      <c r="BX625" t="inlineStr"/>
      <c r="BY625" t="inlineStr"/>
      <c r="BZ625" t="inlineStr"/>
      <c r="CA625" t="inlineStr"/>
      <c r="CB625" t="inlineStr"/>
      <c r="CC625" t="inlineStr"/>
      <c r="CD625" t="inlineStr"/>
      <c r="CE625" t="inlineStr"/>
      <c r="CF625" t="inlineStr"/>
      <c r="CG625" t="inlineStr"/>
      <c r="CH625" t="inlineStr"/>
      <c r="CI625" t="inlineStr"/>
      <c r="CJ625" t="inlineStr"/>
      <c r="CK625" t="inlineStr"/>
      <c r="CL625" t="inlineStr"/>
      <c r="CM625" t="inlineStr"/>
      <c r="CN625" t="inlineStr"/>
      <c r="CO625" t="inlineStr"/>
      <c r="CP625" t="inlineStr"/>
      <c r="CQ625" t="inlineStr"/>
      <c r="CR625" t="inlineStr"/>
      <c r="CS625" t="inlineStr"/>
      <c r="CT625" t="inlineStr"/>
      <c r="CU625" t="inlineStr"/>
      <c r="CV625" t="inlineStr"/>
      <c r="CW625" t="inlineStr"/>
      <c r="CX625" t="inlineStr"/>
      <c r="CY625" t="inlineStr"/>
      <c r="CZ625" t="inlineStr"/>
      <c r="DA625" t="inlineStr"/>
      <c r="DB625" t="inlineStr"/>
      <c r="DC625" t="inlineStr"/>
      <c r="DD625" t="inlineStr"/>
      <c r="DE625" t="inlineStr"/>
      <c r="DF625" t="inlineStr"/>
      <c r="DG625" t="inlineStr"/>
    </row>
    <row r="626">
      <c r="A626" t="inlineStr">
        <is>
          <t>III</t>
        </is>
      </c>
      <c r="B626" t="b">
        <v>1</v>
      </c>
      <c r="C626" t="inlineStr"/>
      <c r="D626" t="inlineStr"/>
      <c r="E626" t="n">
        <v>723</v>
      </c>
      <c r="F626">
        <f>HYPERLINK("https://portal.dnb.de/opac.htm?method=simpleSearch&amp;cqlMode=true&amp;query=idn%3D106695965X", "Portal")</f>
        <v/>
      </c>
      <c r="G626" t="inlineStr">
        <is>
          <t>Aaf</t>
        </is>
      </c>
      <c r="H626" t="inlineStr">
        <is>
          <t>L-1524-315490179</t>
        </is>
      </c>
      <c r="I626" t="inlineStr">
        <is>
          <t>106695965X</t>
        </is>
      </c>
      <c r="J626" t="inlineStr">
        <is>
          <t>III 69, 18 b</t>
        </is>
      </c>
      <c r="K626" t="inlineStr">
        <is>
          <t>III 69, 18 b</t>
        </is>
      </c>
      <c r="L626" t="inlineStr">
        <is>
          <t>III 69, 18 b</t>
        </is>
      </c>
      <c r="M626" t="inlineStr"/>
      <c r="N626" t="inlineStr">
        <is>
          <t>Mandat des Durchleüchti=||gen Hochgepornen F#[ue]rsten vnd Herren|| herrn Phi||lipps Landtgraff zu Hessen|| Graffe zu|| Catzenelnbogen||#[et]c. Christ</t>
        </is>
      </c>
      <c r="O626" t="inlineStr">
        <is>
          <t xml:space="preserve"> : </t>
        </is>
      </c>
      <c r="P626" t="inlineStr">
        <is>
          <t>X</t>
        </is>
      </c>
      <c r="Q626" t="inlineStr"/>
      <c r="R626" t="inlineStr">
        <is>
          <t>Papier- oder Pappeinband</t>
        </is>
      </c>
      <c r="S626" t="inlineStr">
        <is>
          <t>bis 25 cm</t>
        </is>
      </c>
      <c r="T626" t="inlineStr">
        <is>
          <t>180°</t>
        </is>
      </c>
      <c r="U626" t="inlineStr"/>
      <c r="V626" t="inlineStr"/>
      <c r="W626" t="inlineStr"/>
      <c r="X626" t="inlineStr"/>
      <c r="Y626" t="n">
        <v>0</v>
      </c>
      <c r="Z626" t="inlineStr"/>
      <c r="AA626" t="inlineStr"/>
      <c r="AB626" t="inlineStr"/>
      <c r="AC626" t="inlineStr"/>
      <c r="AD626" t="inlineStr"/>
      <c r="AE626" t="inlineStr"/>
      <c r="AF626" t="inlineStr"/>
      <c r="AG626" t="inlineStr"/>
      <c r="AH626" t="inlineStr"/>
      <c r="AI626" t="inlineStr"/>
      <c r="AJ626" t="inlineStr"/>
      <c r="AK626" t="inlineStr"/>
      <c r="AL626" t="inlineStr"/>
      <c r="AM626" t="inlineStr"/>
      <c r="AN626" t="inlineStr"/>
      <c r="AO626" t="inlineStr"/>
      <c r="AP626" t="inlineStr"/>
      <c r="AQ626" t="inlineStr"/>
      <c r="AR626" t="inlineStr"/>
      <c r="AS626" t="inlineStr"/>
      <c r="AT626" t="inlineStr"/>
      <c r="AU626" t="inlineStr"/>
      <c r="AV626" t="inlineStr"/>
      <c r="AW626" t="inlineStr"/>
      <c r="AX626" t="inlineStr"/>
      <c r="AY626" t="inlineStr"/>
      <c r="AZ626" t="inlineStr"/>
      <c r="BA626" t="inlineStr"/>
      <c r="BB626" t="inlineStr"/>
      <c r="BC626" t="inlineStr"/>
      <c r="BD626" t="inlineStr"/>
      <c r="BE626" t="inlineStr"/>
      <c r="BF626" t="inlineStr"/>
      <c r="BG626" t="inlineStr"/>
      <c r="BH626" t="inlineStr"/>
      <c r="BI626" t="inlineStr"/>
      <c r="BJ626" t="inlineStr"/>
      <c r="BK626" t="inlineStr"/>
      <c r="BL626" t="inlineStr"/>
      <c r="BM626" t="inlineStr"/>
      <c r="BN626" t="n">
        <v>0</v>
      </c>
      <c r="BO626" t="inlineStr"/>
      <c r="BP626" t="inlineStr"/>
      <c r="BQ626" t="inlineStr"/>
      <c r="BR626" t="inlineStr"/>
      <c r="BS626" t="inlineStr"/>
      <c r="BT626" t="inlineStr"/>
      <c r="BU626" t="inlineStr"/>
      <c r="BV626" t="inlineStr"/>
      <c r="BW626" t="inlineStr"/>
      <c r="BX626" t="inlineStr"/>
      <c r="BY626" t="inlineStr"/>
      <c r="BZ626" t="inlineStr"/>
      <c r="CA626" t="inlineStr"/>
      <c r="CB626" t="inlineStr"/>
      <c r="CC626" t="inlineStr"/>
      <c r="CD626" t="inlineStr"/>
      <c r="CE626" t="inlineStr"/>
      <c r="CF626" t="inlineStr"/>
      <c r="CG626" t="inlineStr"/>
      <c r="CH626" t="inlineStr"/>
      <c r="CI626" t="inlineStr"/>
      <c r="CJ626" t="inlineStr"/>
      <c r="CK626" t="inlineStr"/>
      <c r="CL626" t="inlineStr"/>
      <c r="CM626" t="inlineStr"/>
      <c r="CN626" t="inlineStr"/>
      <c r="CO626" t="inlineStr"/>
      <c r="CP626" t="inlineStr"/>
      <c r="CQ626" t="inlineStr"/>
      <c r="CR626" t="inlineStr"/>
      <c r="CS626" t="inlineStr"/>
      <c r="CT626" t="inlineStr"/>
      <c r="CU626" t="inlineStr"/>
      <c r="CV626" t="inlineStr"/>
      <c r="CW626" t="inlineStr"/>
      <c r="CX626" t="inlineStr"/>
      <c r="CY626" t="inlineStr"/>
      <c r="CZ626" t="inlineStr"/>
      <c r="DA626" t="inlineStr"/>
      <c r="DB626" t="inlineStr"/>
      <c r="DC626" t="inlineStr"/>
      <c r="DD626" t="inlineStr"/>
      <c r="DE626" t="inlineStr"/>
      <c r="DF626" t="inlineStr"/>
      <c r="DG626" t="inlineStr"/>
    </row>
    <row r="627">
      <c r="A627" t="inlineStr">
        <is>
          <t>III</t>
        </is>
      </c>
      <c r="B627" t="b">
        <v>1</v>
      </c>
      <c r="C627" t="inlineStr">
        <is>
          <t>x</t>
        </is>
      </c>
      <c r="D627" t="inlineStr"/>
      <c r="E627" t="n">
        <v>699</v>
      </c>
      <c r="F627">
        <f>HYPERLINK("https://portal.dnb.de/opac.htm?method=simpleSearch&amp;cqlMode=true&amp;query=idn%3D1066957533", "Portal")</f>
        <v/>
      </c>
      <c r="G627" t="inlineStr">
        <is>
          <t>Aaf</t>
        </is>
      </c>
      <c r="H627" t="inlineStr">
        <is>
          <t>L-1531-315488166</t>
        </is>
      </c>
      <c r="I627" t="inlineStr">
        <is>
          <t>1066957533</t>
        </is>
      </c>
      <c r="J627" t="inlineStr">
        <is>
          <t>III 69, 19</t>
        </is>
      </c>
      <c r="K627" t="inlineStr">
        <is>
          <t>III 69, 19</t>
        </is>
      </c>
      <c r="L627" t="inlineStr">
        <is>
          <t>III 69, 19</t>
        </is>
      </c>
      <c r="M627" t="inlineStr"/>
      <c r="N627" t="inlineStr">
        <is>
          <t xml:space="preserve">Der @Hun||dert vnd eylffte|| Psalm außgelegt durch|| D. Martin Luther.|| Wittemberg.|| : </t>
        </is>
      </c>
      <c r="O627" t="inlineStr">
        <is>
          <t xml:space="preserve"> : </t>
        </is>
      </c>
      <c r="P627" t="inlineStr">
        <is>
          <t>X</t>
        </is>
      </c>
      <c r="Q627" t="inlineStr"/>
      <c r="R627" t="inlineStr">
        <is>
          <t>Halbledereinband</t>
        </is>
      </c>
      <c r="S627" t="inlineStr">
        <is>
          <t>bis 25 cm</t>
        </is>
      </c>
      <c r="T627" t="inlineStr">
        <is>
          <t>80° bis 110°, einseitig digitalisierbar?</t>
        </is>
      </c>
      <c r="U627" t="inlineStr">
        <is>
          <t>fester Rücken mit Schmuckprägung, stark brüchiges Einbandmaterial</t>
        </is>
      </c>
      <c r="V627" t="inlineStr"/>
      <c r="W627" t="inlineStr"/>
      <c r="X627" t="inlineStr"/>
      <c r="Y627" t="n">
        <v>3</v>
      </c>
      <c r="Z627" t="inlineStr"/>
      <c r="AA627" t="inlineStr">
        <is>
          <t>mit Blindmaterial</t>
        </is>
      </c>
      <c r="AB627" t="inlineStr"/>
      <c r="AC627" t="inlineStr"/>
      <c r="AD627" t="inlineStr"/>
      <c r="AE627" t="inlineStr"/>
      <c r="AF627" t="inlineStr"/>
      <c r="AG627" t="inlineStr"/>
      <c r="AH627" t="inlineStr"/>
      <c r="AI627" t="inlineStr">
        <is>
          <t>HL</t>
        </is>
      </c>
      <c r="AJ627" t="inlineStr"/>
      <c r="AK627" t="inlineStr">
        <is>
          <t>x</t>
        </is>
      </c>
      <c r="AL627" t="inlineStr"/>
      <c r="AM627" t="inlineStr">
        <is>
          <t>h/E</t>
        </is>
      </c>
      <c r="AN627" t="inlineStr"/>
      <c r="AO627" t="inlineStr">
        <is>
          <t>x</t>
        </is>
      </c>
      <c r="AP627" t="inlineStr"/>
      <c r="AQ627" t="inlineStr"/>
      <c r="AR627" t="inlineStr"/>
      <c r="AS627" t="inlineStr">
        <is>
          <t>Pa</t>
        </is>
      </c>
      <c r="AT627" t="inlineStr">
        <is>
          <t>x</t>
        </is>
      </c>
      <c r="AU627" t="inlineStr"/>
      <c r="AV627" t="inlineStr"/>
      <c r="AW627" t="inlineStr"/>
      <c r="AX627" t="inlineStr"/>
      <c r="AY627" t="inlineStr"/>
      <c r="AZ627" t="inlineStr"/>
      <c r="BA627" t="inlineStr"/>
      <c r="BB627" t="inlineStr"/>
      <c r="BC627" t="inlineStr"/>
      <c r="BD627" t="inlineStr"/>
      <c r="BE627" t="inlineStr"/>
      <c r="BF627" t="inlineStr"/>
      <c r="BG627" t="n">
        <v>80</v>
      </c>
      <c r="BH627" t="inlineStr"/>
      <c r="BI627" t="inlineStr"/>
      <c r="BJ627" t="inlineStr"/>
      <c r="BK627" t="inlineStr"/>
      <c r="BL627" t="inlineStr"/>
      <c r="BM627" t="inlineStr">
        <is>
          <t>ja vor</t>
        </is>
      </c>
      <c r="BN627" t="n">
        <v>0.5</v>
      </c>
      <c r="BO627" t="inlineStr"/>
      <c r="BP627" t="inlineStr"/>
      <c r="BQ627" t="inlineStr"/>
      <c r="BR627" t="inlineStr"/>
      <c r="BS627" t="inlineStr"/>
      <c r="BT627" t="inlineStr"/>
      <c r="BU627" t="inlineStr"/>
      <c r="BV627" t="inlineStr">
        <is>
          <t>Schaden ansonsten stabil</t>
        </is>
      </c>
      <c r="BW627" t="inlineStr"/>
      <c r="BX627" t="inlineStr"/>
      <c r="BY627" t="inlineStr">
        <is>
          <t>Umschlag (Leder pudert, Rücken ist beschädigt)</t>
        </is>
      </c>
      <c r="BZ627" t="inlineStr">
        <is>
          <t>x</t>
        </is>
      </c>
      <c r="CA627" t="inlineStr">
        <is>
          <t>x</t>
        </is>
      </c>
      <c r="CB627" t="inlineStr">
        <is>
          <t>x</t>
        </is>
      </c>
      <c r="CC627" t="inlineStr"/>
      <c r="CD627" t="inlineStr">
        <is>
          <t>v/h</t>
        </is>
      </c>
      <c r="CE627" t="inlineStr"/>
      <c r="CF627" t="inlineStr"/>
      <c r="CG627" t="inlineStr"/>
      <c r="CH627" t="inlineStr"/>
      <c r="CI627" t="inlineStr"/>
      <c r="CJ627" t="inlineStr"/>
      <c r="CK627" t="inlineStr"/>
      <c r="CL627" t="inlineStr"/>
      <c r="CM627" t="n">
        <v>0.5</v>
      </c>
      <c r="CN627" t="inlineStr">
        <is>
          <t>nur unechte Bünde und Leder sichern, Gelenke belassen (ist stabil und bekommt Umschlag)</t>
        </is>
      </c>
      <c r="CO627" t="inlineStr"/>
      <c r="CP627" t="inlineStr"/>
      <c r="CQ627" t="inlineStr"/>
      <c r="CR627" t="inlineStr"/>
      <c r="CS627" t="inlineStr"/>
      <c r="CT627" t="inlineStr"/>
      <c r="CU627" t="inlineStr"/>
      <c r="CV627" t="inlineStr"/>
      <c r="CW627" t="inlineStr"/>
      <c r="CX627" t="inlineStr"/>
      <c r="CY627" t="inlineStr"/>
      <c r="CZ627" t="inlineStr"/>
      <c r="DA627" t="inlineStr"/>
      <c r="DB627" t="inlineStr"/>
      <c r="DC627" t="inlineStr"/>
      <c r="DD627" t="inlineStr"/>
      <c r="DE627" t="inlineStr"/>
      <c r="DF627" t="inlineStr"/>
      <c r="DG627" t="inlineStr"/>
    </row>
    <row r="628">
      <c r="A628" t="inlineStr">
        <is>
          <t>III</t>
        </is>
      </c>
      <c r="B628" t="b">
        <v>1</v>
      </c>
      <c r="C628" t="inlineStr"/>
      <c r="D628" t="inlineStr"/>
      <c r="E628" t="n">
        <v>700</v>
      </c>
      <c r="F628">
        <f>HYPERLINK("https://portal.dnb.de/opac.htm?method=simpleSearch&amp;cqlMode=true&amp;query=idn%3D1066963452", "Portal")</f>
        <v/>
      </c>
      <c r="G628" t="inlineStr">
        <is>
          <t>Aaf</t>
        </is>
      </c>
      <c r="H628" t="inlineStr">
        <is>
          <t>L-1538-315493704</t>
        </is>
      </c>
      <c r="I628" t="inlineStr">
        <is>
          <t>1066963452</t>
        </is>
      </c>
      <c r="J628" t="inlineStr">
        <is>
          <t>III 69, 20</t>
        </is>
      </c>
      <c r="K628" t="inlineStr">
        <is>
          <t>III 69, 20</t>
        </is>
      </c>
      <c r="L628" t="inlineStr">
        <is>
          <t>III 69, 20</t>
        </is>
      </c>
      <c r="M628" t="inlineStr"/>
      <c r="N628" t="inlineStr">
        <is>
          <t>Ein @sch#[oe]ner spruch|| so sich eyner Cronica|| vergleicht/ von mancherley krie=||gen/ schlachten vñ andern wunder=||barlichen thaten vnd geschichte</t>
        </is>
      </c>
      <c r="O628" t="inlineStr">
        <is>
          <t xml:space="preserve"> : </t>
        </is>
      </c>
      <c r="P628" t="inlineStr">
        <is>
          <t>X</t>
        </is>
      </c>
      <c r="Q628" t="inlineStr"/>
      <c r="R628" t="inlineStr">
        <is>
          <t>Halbledereinband</t>
        </is>
      </c>
      <c r="S628" t="inlineStr">
        <is>
          <t>bis 25 cm</t>
        </is>
      </c>
      <c r="T628" t="inlineStr">
        <is>
          <t>180°</t>
        </is>
      </c>
      <c r="U628" t="inlineStr">
        <is>
          <t>hohler Rücken</t>
        </is>
      </c>
      <c r="V628" t="inlineStr"/>
      <c r="W628" t="inlineStr"/>
      <c r="X628" t="inlineStr"/>
      <c r="Y628" t="n">
        <v>1</v>
      </c>
      <c r="Z628" t="inlineStr"/>
      <c r="AA628" t="inlineStr"/>
      <c r="AB628" t="inlineStr"/>
      <c r="AC628" t="inlineStr"/>
      <c r="AD628" t="inlineStr"/>
      <c r="AE628" t="inlineStr"/>
      <c r="AF628" t="inlineStr"/>
      <c r="AG628" t="inlineStr"/>
      <c r="AH628" t="inlineStr"/>
      <c r="AI628" t="inlineStr">
        <is>
          <t>HL</t>
        </is>
      </c>
      <c r="AJ628" t="inlineStr"/>
      <c r="AK628" t="inlineStr"/>
      <c r="AL628" t="inlineStr"/>
      <c r="AM628" t="inlineStr">
        <is>
          <t>h/E</t>
        </is>
      </c>
      <c r="AN628" t="inlineStr"/>
      <c r="AO628" t="inlineStr"/>
      <c r="AP628" t="inlineStr"/>
      <c r="AQ628" t="inlineStr"/>
      <c r="AR628" t="inlineStr"/>
      <c r="AS628" t="inlineStr">
        <is>
          <t>Pa</t>
        </is>
      </c>
      <c r="AT628" t="inlineStr"/>
      <c r="AU628" t="inlineStr"/>
      <c r="AV628" t="inlineStr"/>
      <c r="AW628" t="inlineStr"/>
      <c r="AX628" t="inlineStr"/>
      <c r="AY628" t="inlineStr"/>
      <c r="AZ628" t="inlineStr"/>
      <c r="BA628" t="inlineStr"/>
      <c r="BB628" t="inlineStr"/>
      <c r="BC628" t="inlineStr"/>
      <c r="BD628" t="inlineStr"/>
      <c r="BE628" t="inlineStr"/>
      <c r="BF628" t="inlineStr"/>
      <c r="BG628" t="n">
        <v>80</v>
      </c>
      <c r="BH628" t="inlineStr"/>
      <c r="BI628" t="inlineStr"/>
      <c r="BJ628" t="inlineStr"/>
      <c r="BK628" t="inlineStr"/>
      <c r="BL628" t="inlineStr"/>
      <c r="BM628" t="inlineStr">
        <is>
          <t>n</t>
        </is>
      </c>
      <c r="BN628" t="n">
        <v>0</v>
      </c>
      <c r="BO628" t="inlineStr"/>
      <c r="BP628" t="inlineStr"/>
      <c r="BQ628" t="inlineStr"/>
      <c r="BR628" t="inlineStr"/>
      <c r="BS628" t="inlineStr"/>
      <c r="BT628" t="inlineStr"/>
      <c r="BU628" t="inlineStr"/>
      <c r="BV628" t="inlineStr">
        <is>
          <t>Schaden stabil</t>
        </is>
      </c>
      <c r="BW628" t="inlineStr"/>
      <c r="BX628" t="inlineStr"/>
      <c r="BY628" t="inlineStr"/>
      <c r="BZ628" t="inlineStr"/>
      <c r="CA628" t="inlineStr"/>
      <c r="CB628" t="inlineStr"/>
      <c r="CC628" t="inlineStr"/>
      <c r="CD628" t="inlineStr"/>
      <c r="CE628" t="inlineStr"/>
      <c r="CF628" t="inlineStr"/>
      <c r="CG628" t="inlineStr"/>
      <c r="CH628" t="inlineStr"/>
      <c r="CI628" t="inlineStr"/>
      <c r="CJ628" t="inlineStr"/>
      <c r="CK628" t="inlineStr"/>
      <c r="CL628" t="inlineStr"/>
      <c r="CM628" t="inlineStr"/>
      <c r="CN628" t="inlineStr"/>
      <c r="CO628" t="inlineStr"/>
      <c r="CP628" t="inlineStr"/>
      <c r="CQ628" t="inlineStr"/>
      <c r="CR628" t="inlineStr"/>
      <c r="CS628" t="inlineStr"/>
      <c r="CT628" t="inlineStr"/>
      <c r="CU628" t="inlineStr"/>
      <c r="CV628" t="inlineStr"/>
      <c r="CW628" t="inlineStr"/>
      <c r="CX628" t="inlineStr"/>
      <c r="CY628" t="inlineStr"/>
      <c r="CZ628" t="inlineStr"/>
      <c r="DA628" t="inlineStr"/>
      <c r="DB628" t="inlineStr"/>
      <c r="DC628" t="inlineStr"/>
      <c r="DD628" t="inlineStr"/>
      <c r="DE628" t="inlineStr"/>
      <c r="DF628" t="inlineStr"/>
      <c r="DG628" t="inlineStr"/>
    </row>
    <row r="629">
      <c r="A629" t="inlineStr">
        <is>
          <t>III</t>
        </is>
      </c>
      <c r="B629" t="b">
        <v>1</v>
      </c>
      <c r="C629" t="inlineStr"/>
      <c r="D629" t="inlineStr"/>
      <c r="E629" t="n">
        <v>701</v>
      </c>
      <c r="F629">
        <f>HYPERLINK("https://portal.dnb.de/opac.htm?method=simpleSearch&amp;cqlMode=true&amp;query=idn%3D1066957479", "Portal")</f>
        <v/>
      </c>
      <c r="G629" t="inlineStr">
        <is>
          <t>Aaf</t>
        </is>
      </c>
      <c r="H629" t="inlineStr">
        <is>
          <t>L-1531-315488115</t>
        </is>
      </c>
      <c r="I629" t="inlineStr">
        <is>
          <t>1066957479</t>
        </is>
      </c>
      <c r="J629" t="inlineStr">
        <is>
          <t>III 69, 21</t>
        </is>
      </c>
      <c r="K629" t="inlineStr">
        <is>
          <t>III 69, 21</t>
        </is>
      </c>
      <c r="L629" t="inlineStr">
        <is>
          <t>III 69, 21</t>
        </is>
      </c>
      <c r="M629" t="inlineStr"/>
      <c r="N629" t="inlineStr">
        <is>
          <t xml:space="preserve">Klag Antwort vnd vr=||teyl/ zwischen Fraw Armut vnd Pluto dem|| Gott der reichtumb welches vnter yhn das pesser sey.|| : </t>
        </is>
      </c>
      <c r="O629" t="inlineStr">
        <is>
          <t xml:space="preserve"> : </t>
        </is>
      </c>
      <c r="P629" t="inlineStr"/>
      <c r="Q629" t="inlineStr"/>
      <c r="R629" t="inlineStr">
        <is>
          <t>Pergamentband, Schließen, erhabene Buchbeschläge</t>
        </is>
      </c>
      <c r="S629" t="inlineStr">
        <is>
          <t>bis 25 cm</t>
        </is>
      </c>
      <c r="T629" t="inlineStr">
        <is>
          <t>80° bis 110°, einseitig digitalisierbar?</t>
        </is>
      </c>
      <c r="U629" t="inlineStr"/>
      <c r="V629" t="inlineStr"/>
      <c r="W629" t="inlineStr">
        <is>
          <t>Kassette</t>
        </is>
      </c>
      <c r="X629" t="inlineStr">
        <is>
          <t>Nein</t>
        </is>
      </c>
      <c r="Y629" t="inlineStr"/>
      <c r="Z629" t="inlineStr"/>
      <c r="AA629" t="inlineStr">
        <is>
          <t>Originaleinband liegt bei</t>
        </is>
      </c>
      <c r="AB629" t="inlineStr"/>
      <c r="AC629" t="inlineStr"/>
      <c r="AD629" t="inlineStr"/>
      <c r="AE629" t="inlineStr"/>
      <c r="AF629" t="inlineStr"/>
      <c r="AG629" t="inlineStr"/>
      <c r="AH629" t="inlineStr"/>
      <c r="AI629" t="inlineStr"/>
      <c r="AJ629" t="inlineStr"/>
      <c r="AK629" t="inlineStr"/>
      <c r="AL629" t="inlineStr"/>
      <c r="AM629" t="inlineStr"/>
      <c r="AN629" t="inlineStr"/>
      <c r="AO629" t="inlineStr"/>
      <c r="AP629" t="inlineStr"/>
      <c r="AQ629" t="inlineStr"/>
      <c r="AR629" t="inlineStr"/>
      <c r="AS629" t="inlineStr"/>
      <c r="AT629" t="inlineStr"/>
      <c r="AU629" t="inlineStr"/>
      <c r="AV629" t="inlineStr"/>
      <c r="AW629" t="inlineStr"/>
      <c r="AX629" t="inlineStr"/>
      <c r="AY629" t="inlineStr"/>
      <c r="AZ629" t="inlineStr"/>
      <c r="BA629" t="inlineStr"/>
      <c r="BB629" t="inlineStr"/>
      <c r="BC629" t="inlineStr"/>
      <c r="BD629" t="inlineStr"/>
      <c r="BE629" t="inlineStr"/>
      <c r="BF629" t="inlineStr"/>
      <c r="BG629" t="inlineStr"/>
      <c r="BH629" t="inlineStr"/>
      <c r="BI629" t="inlineStr"/>
      <c r="BJ629" t="inlineStr"/>
      <c r="BK629" t="inlineStr"/>
      <c r="BL629" t="inlineStr"/>
      <c r="BM629" t="inlineStr"/>
      <c r="BN629" t="n">
        <v>0</v>
      </c>
      <c r="BO629" t="inlineStr"/>
      <c r="BP629" t="inlineStr"/>
      <c r="BQ629" t="inlineStr"/>
      <c r="BR629" t="inlineStr"/>
      <c r="BS629" t="inlineStr"/>
      <c r="BT629" t="inlineStr"/>
      <c r="BU629" t="inlineStr"/>
      <c r="BV629" t="inlineStr"/>
      <c r="BW629" t="inlineStr"/>
      <c r="BX629" t="inlineStr"/>
      <c r="BY629" t="inlineStr"/>
      <c r="BZ629" t="inlineStr"/>
      <c r="CA629" t="inlineStr"/>
      <c r="CB629" t="inlineStr"/>
      <c r="CC629" t="inlineStr"/>
      <c r="CD629" t="inlineStr"/>
      <c r="CE629" t="inlineStr"/>
      <c r="CF629" t="inlineStr"/>
      <c r="CG629" t="inlineStr"/>
      <c r="CH629" t="inlineStr"/>
      <c r="CI629" t="inlineStr"/>
      <c r="CJ629" t="inlineStr"/>
      <c r="CK629" t="inlineStr"/>
      <c r="CL629" t="inlineStr"/>
      <c r="CM629" t="inlineStr"/>
      <c r="CN629" t="inlineStr"/>
      <c r="CO629" t="inlineStr"/>
      <c r="CP629" t="inlineStr"/>
      <c r="CQ629" t="inlineStr"/>
      <c r="CR629" t="inlineStr"/>
      <c r="CS629" t="inlineStr"/>
      <c r="CT629" t="inlineStr"/>
      <c r="CU629" t="inlineStr"/>
      <c r="CV629" t="inlineStr"/>
      <c r="CW629" t="inlineStr"/>
      <c r="CX629" t="inlineStr"/>
      <c r="CY629" t="inlineStr"/>
      <c r="CZ629" t="inlineStr"/>
      <c r="DA629" t="inlineStr"/>
      <c r="DB629" t="inlineStr"/>
      <c r="DC629" t="inlineStr"/>
      <c r="DD629" t="inlineStr"/>
      <c r="DE629" t="inlineStr"/>
      <c r="DF629" t="inlineStr"/>
      <c r="DG629" t="inlineStr"/>
    </row>
    <row r="630">
      <c r="A630" t="inlineStr">
        <is>
          <t>III</t>
        </is>
      </c>
      <c r="B630" t="b">
        <v>1</v>
      </c>
      <c r="C630" t="inlineStr"/>
      <c r="D630" t="inlineStr"/>
      <c r="E630" t="n">
        <v>702</v>
      </c>
      <c r="F630">
        <f>HYPERLINK("https://portal.dnb.de/opac.htm?method=simpleSearch&amp;cqlMode=true&amp;query=idn%3D1066873062", "Portal")</f>
        <v/>
      </c>
      <c r="G630" t="inlineStr">
        <is>
          <t>Aaf</t>
        </is>
      </c>
      <c r="H630" t="inlineStr">
        <is>
          <t>L-1531-315330821</t>
        </is>
      </c>
      <c r="I630" t="inlineStr">
        <is>
          <t>1066873062</t>
        </is>
      </c>
      <c r="J630" t="inlineStr">
        <is>
          <t>III 69, 22</t>
        </is>
      </c>
      <c r="K630" t="inlineStr">
        <is>
          <t>III 69, 22</t>
        </is>
      </c>
      <c r="L630" t="inlineStr">
        <is>
          <t>III 69, 22</t>
        </is>
      </c>
      <c r="M630" t="inlineStr"/>
      <c r="N630" t="inlineStr">
        <is>
          <t>Eyn @Sendtbrieff oder epistel|| des hochgelerten Erasmi rote||rodami/ an den edlen Herren Johan Schlechten|| von Costeletz/ in welcher gar schön die e</t>
        </is>
      </c>
      <c r="O630" t="inlineStr">
        <is>
          <t xml:space="preserve"> : </t>
        </is>
      </c>
      <c r="P630" t="inlineStr">
        <is>
          <t>X</t>
        </is>
      </c>
      <c r="Q630" t="inlineStr"/>
      <c r="R630" t="inlineStr">
        <is>
          <t>Papier- oder Pappeinband</t>
        </is>
      </c>
      <c r="S630" t="inlineStr">
        <is>
          <t>bis 25 cm</t>
        </is>
      </c>
      <c r="T630" t="inlineStr">
        <is>
          <t>180°</t>
        </is>
      </c>
      <c r="U630" t="inlineStr"/>
      <c r="V630" t="inlineStr"/>
      <c r="W630" t="inlineStr"/>
      <c r="X630" t="inlineStr"/>
      <c r="Y630" t="n">
        <v>1</v>
      </c>
      <c r="Z630" t="inlineStr"/>
      <c r="AA630" t="inlineStr"/>
      <c r="AB630" t="inlineStr"/>
      <c r="AC630" t="inlineStr"/>
      <c r="AD630" t="inlineStr"/>
      <c r="AE630" t="inlineStr"/>
      <c r="AF630" t="inlineStr"/>
      <c r="AG630" t="inlineStr"/>
      <c r="AH630" t="inlineStr"/>
      <c r="AI630" t="inlineStr"/>
      <c r="AJ630" t="inlineStr"/>
      <c r="AK630" t="inlineStr"/>
      <c r="AL630" t="inlineStr"/>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c r="BA630" t="inlineStr"/>
      <c r="BB630" t="inlineStr"/>
      <c r="BC630" t="inlineStr"/>
      <c r="BD630" t="inlineStr"/>
      <c r="BE630" t="inlineStr"/>
      <c r="BF630" t="inlineStr"/>
      <c r="BG630" t="inlineStr"/>
      <c r="BH630" t="inlineStr"/>
      <c r="BI630" t="inlineStr"/>
      <c r="BJ630" t="inlineStr"/>
      <c r="BK630" t="inlineStr"/>
      <c r="BL630" t="inlineStr"/>
      <c r="BM630" t="inlineStr"/>
      <c r="BN630" t="n">
        <v>0</v>
      </c>
      <c r="BO630" t="inlineStr"/>
      <c r="BP630" t="inlineStr"/>
      <c r="BQ630" t="inlineStr"/>
      <c r="BR630" t="inlineStr"/>
      <c r="BS630" t="inlineStr"/>
      <c r="BT630" t="inlineStr"/>
      <c r="BU630" t="inlineStr"/>
      <c r="BV630" t="inlineStr"/>
      <c r="BW630" t="inlineStr"/>
      <c r="BX630" t="inlineStr"/>
      <c r="BY630" t="inlineStr"/>
      <c r="BZ630" t="inlineStr"/>
      <c r="CA630" t="inlineStr"/>
      <c r="CB630" t="inlineStr"/>
      <c r="CC630" t="inlineStr"/>
      <c r="CD630" t="inlineStr"/>
      <c r="CE630" t="inlineStr"/>
      <c r="CF630" t="inlineStr"/>
      <c r="CG630" t="inlineStr"/>
      <c r="CH630" t="inlineStr"/>
      <c r="CI630" t="inlineStr"/>
      <c r="CJ630" t="inlineStr"/>
      <c r="CK630" t="inlineStr"/>
      <c r="CL630" t="inlineStr"/>
      <c r="CM630" t="inlineStr"/>
      <c r="CN630" t="inlineStr"/>
      <c r="CO630" t="inlineStr"/>
      <c r="CP630" t="inlineStr"/>
      <c r="CQ630" t="inlineStr"/>
      <c r="CR630" t="inlineStr"/>
      <c r="CS630" t="inlineStr"/>
      <c r="CT630" t="inlineStr"/>
      <c r="CU630" t="inlineStr"/>
      <c r="CV630" t="inlineStr"/>
      <c r="CW630" t="inlineStr"/>
      <c r="CX630" t="inlineStr"/>
      <c r="CY630" t="inlineStr"/>
      <c r="CZ630" t="inlineStr"/>
      <c r="DA630" t="inlineStr"/>
      <c r="DB630" t="inlineStr"/>
      <c r="DC630" t="inlineStr"/>
      <c r="DD630" t="inlineStr"/>
      <c r="DE630" t="inlineStr"/>
      <c r="DF630" t="inlineStr"/>
      <c r="DG630" t="inlineStr"/>
    </row>
    <row r="631">
      <c r="A631" t="inlineStr">
        <is>
          <t>III</t>
        </is>
      </c>
      <c r="B631" t="b">
        <v>1</v>
      </c>
      <c r="C631" t="inlineStr"/>
      <c r="D631" t="inlineStr"/>
      <c r="E631" t="n">
        <v>703</v>
      </c>
      <c r="F631">
        <f>HYPERLINK("https://portal.dnb.de/opac.htm?method=simpleSearch&amp;cqlMode=true&amp;query=idn%3D1066962995", "Portal")</f>
        <v/>
      </c>
      <c r="G631" t="inlineStr">
        <is>
          <t>Aaf</t>
        </is>
      </c>
      <c r="H631" t="inlineStr">
        <is>
          <t>L-1548-315493267</t>
        </is>
      </c>
      <c r="I631" t="inlineStr">
        <is>
          <t>1066962995</t>
        </is>
      </c>
      <c r="J631" t="inlineStr">
        <is>
          <t>III 69, 23</t>
        </is>
      </c>
      <c r="K631" t="inlineStr">
        <is>
          <t>III 69, 23</t>
        </is>
      </c>
      <c r="L631" t="inlineStr">
        <is>
          <t>III 69, 23</t>
        </is>
      </c>
      <c r="M631" t="inlineStr"/>
      <c r="N631" t="inlineStr">
        <is>
          <t>Vitruuius|| Teutsch.|| Nemlichen des aller namhafftigi=||sten vñ hocherfarnesten/ R#[oe]mischen Architecti/ vnd Kunst=||reichen Werck oder Bawmeisters</t>
        </is>
      </c>
      <c r="O631" t="inlineStr">
        <is>
          <t xml:space="preserve"> : </t>
        </is>
      </c>
      <c r="P631" t="inlineStr">
        <is>
          <t>X</t>
        </is>
      </c>
      <c r="Q631" t="inlineStr"/>
      <c r="R631" t="inlineStr">
        <is>
          <t>Halbledereinband</t>
        </is>
      </c>
      <c r="S631" t="inlineStr">
        <is>
          <t>bis 35 cm</t>
        </is>
      </c>
      <c r="T631" t="inlineStr">
        <is>
          <t>80° bis 110°, einseitig digitalisierbar?</t>
        </is>
      </c>
      <c r="U631" t="inlineStr">
        <is>
          <t>hohler Rücken</t>
        </is>
      </c>
      <c r="V631" t="inlineStr"/>
      <c r="W631" t="inlineStr"/>
      <c r="X631" t="inlineStr">
        <is>
          <t>Signaturfahne austauschen</t>
        </is>
      </c>
      <c r="Y631" t="n">
        <v>0</v>
      </c>
      <c r="Z631" t="inlineStr"/>
      <c r="AA631" t="inlineStr"/>
      <c r="AB631" t="inlineStr"/>
      <c r="AC631" t="inlineStr"/>
      <c r="AD631" t="inlineStr"/>
      <c r="AE631" t="inlineStr"/>
      <c r="AF631" t="inlineStr"/>
      <c r="AG631" t="inlineStr"/>
      <c r="AH631" t="inlineStr"/>
      <c r="AI631" t="inlineStr"/>
      <c r="AJ631" t="inlineStr"/>
      <c r="AK631" t="inlineStr"/>
      <c r="AL631" t="inlineStr"/>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c r="BA631" t="inlineStr"/>
      <c r="BB631" t="inlineStr"/>
      <c r="BC631" t="inlineStr"/>
      <c r="BD631" t="inlineStr"/>
      <c r="BE631" t="inlineStr"/>
      <c r="BF631" t="inlineStr"/>
      <c r="BG631" t="inlineStr"/>
      <c r="BH631" t="inlineStr"/>
      <c r="BI631" t="inlineStr"/>
      <c r="BJ631" t="inlineStr"/>
      <c r="BK631" t="inlineStr"/>
      <c r="BL631" t="inlineStr"/>
      <c r="BM631" t="inlineStr"/>
      <c r="BN631" t="n">
        <v>0</v>
      </c>
      <c r="BO631" t="inlineStr"/>
      <c r="BP631" t="inlineStr"/>
      <c r="BQ631" t="inlineStr"/>
      <c r="BR631" t="inlineStr"/>
      <c r="BS631" t="inlineStr"/>
      <c r="BT631" t="inlineStr"/>
      <c r="BU631" t="inlineStr"/>
      <c r="BV631" t="inlineStr"/>
      <c r="BW631" t="inlineStr"/>
      <c r="BX631" t="inlineStr"/>
      <c r="BY631" t="inlineStr"/>
      <c r="BZ631" t="inlineStr"/>
      <c r="CA631" t="inlineStr"/>
      <c r="CB631" t="inlineStr"/>
      <c r="CC631" t="inlineStr"/>
      <c r="CD631" t="inlineStr"/>
      <c r="CE631" t="inlineStr"/>
      <c r="CF631" t="inlineStr"/>
      <c r="CG631" t="inlineStr"/>
      <c r="CH631" t="inlineStr"/>
      <c r="CI631" t="inlineStr"/>
      <c r="CJ631" t="inlineStr"/>
      <c r="CK631" t="inlineStr"/>
      <c r="CL631" t="inlineStr"/>
      <c r="CM631" t="inlineStr"/>
      <c r="CN631" t="inlineStr"/>
      <c r="CO631" t="inlineStr"/>
      <c r="CP631" t="inlineStr"/>
      <c r="CQ631" t="inlineStr"/>
      <c r="CR631" t="inlineStr"/>
      <c r="CS631" t="inlineStr"/>
      <c r="CT631" t="inlineStr"/>
      <c r="CU631" t="inlineStr"/>
      <c r="CV631" t="inlineStr"/>
      <c r="CW631" t="inlineStr"/>
      <c r="CX631" t="inlineStr"/>
      <c r="CY631" t="inlineStr"/>
      <c r="CZ631" t="inlineStr"/>
      <c r="DA631" t="inlineStr"/>
      <c r="DB631" t="inlineStr"/>
      <c r="DC631" t="inlineStr"/>
      <c r="DD631" t="inlineStr"/>
      <c r="DE631" t="inlineStr"/>
      <c r="DF631" t="inlineStr"/>
      <c r="DG631" t="inlineStr"/>
    </row>
    <row r="632">
      <c r="A632" t="inlineStr">
        <is>
          <t>III</t>
        </is>
      </c>
      <c r="B632" t="b">
        <v>1</v>
      </c>
      <c r="C632" t="inlineStr"/>
      <c r="D632" t="inlineStr"/>
      <c r="E632" t="n">
        <v>724</v>
      </c>
      <c r="F632">
        <f>HYPERLINK("https://portal.dnb.de/opac.htm?method=simpleSearch&amp;cqlMode=true&amp;query=idn%3D998402117", "Portal")</f>
        <v/>
      </c>
      <c r="G632" t="inlineStr">
        <is>
          <t>Aal</t>
        </is>
      </c>
      <c r="H632" t="inlineStr">
        <is>
          <t>L-1525-166163945</t>
        </is>
      </c>
      <c r="I632" t="inlineStr">
        <is>
          <t>998402117</t>
        </is>
      </c>
      <c r="J632" t="inlineStr">
        <is>
          <t>III 69, 23a</t>
        </is>
      </c>
      <c r="K632" t="inlineStr">
        <is>
          <t>III 69, 23a</t>
        </is>
      </c>
      <c r="L632" t="inlineStr">
        <is>
          <t>III 69, 23 a</t>
        </is>
      </c>
      <c r="M632" t="inlineStr"/>
      <c r="N632" t="inlineStr">
        <is>
          <t>DE SACRO|| CONIVGIO COMMENTARIVS|| FRANCISCI LAMBERTI|| in Positiones LXIX. partitus|| : Eiusdem Antithesis uerbi dei &amp; inuentoru ho=||minum, prima po</t>
        </is>
      </c>
      <c r="O632" t="inlineStr">
        <is>
          <t xml:space="preserve"> : </t>
        </is>
      </c>
      <c r="P632" t="inlineStr"/>
      <c r="Q632" t="inlineStr"/>
      <c r="R632" t="inlineStr">
        <is>
          <t>Papier- oder Pappeinband</t>
        </is>
      </c>
      <c r="S632" t="inlineStr">
        <is>
          <t>bis 25 cm</t>
        </is>
      </c>
      <c r="T632" t="inlineStr">
        <is>
          <t>180°</t>
        </is>
      </c>
      <c r="U632" t="inlineStr">
        <is>
          <t>hohler Rücken</t>
        </is>
      </c>
      <c r="V632" t="inlineStr"/>
      <c r="W632" t="inlineStr"/>
      <c r="X632" t="inlineStr"/>
      <c r="Y632" t="n">
        <v>0</v>
      </c>
      <c r="Z632" t="inlineStr"/>
      <c r="AA632" t="inlineStr"/>
      <c r="AB632" t="inlineStr"/>
      <c r="AC632" t="inlineStr"/>
      <c r="AD632" t="inlineStr"/>
      <c r="AE632" t="inlineStr"/>
      <c r="AF632" t="inlineStr"/>
      <c r="AG632" t="inlineStr"/>
      <c r="AH632" t="inlineStr">
        <is>
          <t>x</t>
        </is>
      </c>
      <c r="AI632" t="inlineStr">
        <is>
          <t>Pa</t>
        </is>
      </c>
      <c r="AJ632" t="inlineStr"/>
      <c r="AK632" t="inlineStr"/>
      <c r="AL632" t="inlineStr"/>
      <c r="AM632" t="inlineStr">
        <is>
          <t>h/E</t>
        </is>
      </c>
      <c r="AN632" t="inlineStr"/>
      <c r="AO632" t="inlineStr"/>
      <c r="AP632" t="inlineStr"/>
      <c r="AQ632" t="inlineStr"/>
      <c r="AR632" t="inlineStr"/>
      <c r="AS632" t="inlineStr">
        <is>
          <t>Pa</t>
        </is>
      </c>
      <c r="AT632" t="inlineStr"/>
      <c r="AU632" t="inlineStr"/>
      <c r="AV632" t="inlineStr"/>
      <c r="AW632" t="inlineStr"/>
      <c r="AX632" t="inlineStr"/>
      <c r="AY632" t="inlineStr"/>
      <c r="AZ632" t="inlineStr"/>
      <c r="BA632" t="inlineStr"/>
      <c r="BB632" t="inlineStr"/>
      <c r="BC632" t="inlineStr"/>
      <c r="BD632" t="inlineStr"/>
      <c r="BE632" t="inlineStr"/>
      <c r="BF632" t="inlineStr"/>
      <c r="BG632" t="n">
        <v>110</v>
      </c>
      <c r="BH632" t="inlineStr"/>
      <c r="BI632" t="inlineStr"/>
      <c r="BJ632" t="inlineStr"/>
      <c r="BK632" t="inlineStr"/>
      <c r="BL632" t="inlineStr"/>
      <c r="BM632" t="inlineStr">
        <is>
          <t>n</t>
        </is>
      </c>
      <c r="BN632" t="n">
        <v>0</v>
      </c>
      <c r="BO632" t="inlineStr"/>
      <c r="BP632" t="inlineStr"/>
      <c r="BQ632" t="inlineStr"/>
      <c r="BR632" t="inlineStr"/>
      <c r="BS632" t="inlineStr"/>
      <c r="BT632" t="inlineStr"/>
      <c r="BU632" t="inlineStr"/>
      <c r="BV632" t="inlineStr">
        <is>
          <t>Schaden stabil</t>
        </is>
      </c>
      <c r="BW632" t="inlineStr"/>
      <c r="BX632" t="inlineStr"/>
      <c r="BY632" t="inlineStr"/>
      <c r="BZ632" t="inlineStr"/>
      <c r="CA632" t="inlineStr"/>
      <c r="CB632" t="inlineStr"/>
      <c r="CC632" t="inlineStr"/>
      <c r="CD632" t="inlineStr"/>
      <c r="CE632" t="inlineStr"/>
      <c r="CF632" t="inlineStr"/>
      <c r="CG632" t="inlineStr"/>
      <c r="CH632" t="inlineStr"/>
      <c r="CI632" t="inlineStr"/>
      <c r="CJ632" t="inlineStr"/>
      <c r="CK632" t="inlineStr"/>
      <c r="CL632" t="inlineStr"/>
      <c r="CM632" t="inlineStr"/>
      <c r="CN632" t="inlineStr"/>
      <c r="CO632" t="inlineStr"/>
      <c r="CP632" t="inlineStr"/>
      <c r="CQ632" t="inlineStr"/>
      <c r="CR632" t="inlineStr"/>
      <c r="CS632" t="inlineStr"/>
      <c r="CT632" t="inlineStr"/>
      <c r="CU632" t="inlineStr"/>
      <c r="CV632" t="inlineStr"/>
      <c r="CW632" t="inlineStr"/>
      <c r="CX632" t="inlineStr"/>
      <c r="CY632" t="inlineStr"/>
      <c r="CZ632" t="inlineStr"/>
      <c r="DA632" t="inlineStr"/>
      <c r="DB632" t="inlineStr"/>
      <c r="DC632" t="inlineStr"/>
      <c r="DD632" t="inlineStr"/>
      <c r="DE632" t="inlineStr"/>
      <c r="DF632" t="inlineStr"/>
      <c r="DG632" t="inlineStr"/>
    </row>
    <row r="633">
      <c r="A633" t="inlineStr">
        <is>
          <t>III</t>
        </is>
      </c>
      <c r="B633" t="b">
        <v>1</v>
      </c>
      <c r="C633" t="inlineStr">
        <is>
          <t>x</t>
        </is>
      </c>
      <c r="D633" t="inlineStr"/>
      <c r="E633" t="inlineStr"/>
      <c r="F633">
        <f>HYPERLINK("https://portal.dnb.de/opac.htm?method=simpleSearch&amp;cqlMode=true&amp;query=idn%3D1267532122", "Portal")</f>
        <v/>
      </c>
      <c r="G633" t="inlineStr">
        <is>
          <t>Qd</t>
        </is>
      </c>
      <c r="H633" t="inlineStr">
        <is>
          <t>L-1525-794432697</t>
        </is>
      </c>
      <c r="I633" t="inlineStr">
        <is>
          <t>1267532122</t>
        </is>
      </c>
      <c r="J633" t="inlineStr">
        <is>
          <t>III 69, 23b</t>
        </is>
      </c>
      <c r="K633" t="inlineStr">
        <is>
          <t>III 69, 23b</t>
        </is>
      </c>
      <c r="L633" t="inlineStr">
        <is>
          <t>III 69, 23b</t>
        </is>
      </c>
      <c r="M633" t="inlineStr"/>
      <c r="N633" t="inlineStr">
        <is>
          <t xml:space="preserve">Sammelband : </t>
        </is>
      </c>
      <c r="O633" t="inlineStr">
        <is>
          <t xml:space="preserve"> : </t>
        </is>
      </c>
      <c r="P633" t="inlineStr"/>
      <c r="Q633" t="inlineStr"/>
      <c r="R633" t="inlineStr">
        <is>
          <t>Pergamentband, Schließen, erhabene Buchbeschläge</t>
        </is>
      </c>
      <c r="S633" t="inlineStr">
        <is>
          <t>bis 25 cm</t>
        </is>
      </c>
      <c r="T633" t="inlineStr">
        <is>
          <t>80° bis 110°, einseitig digitalisierbar?</t>
        </is>
      </c>
      <c r="U633" t="inlineStr"/>
      <c r="V633" t="inlineStr"/>
      <c r="W633" t="inlineStr">
        <is>
          <t xml:space="preserve">Papierumschlag </t>
        </is>
      </c>
      <c r="X633" t="inlineStr">
        <is>
          <t>Ja</t>
        </is>
      </c>
      <c r="Y633" t="n">
        <v>1</v>
      </c>
      <c r="Z633" t="inlineStr"/>
      <c r="AA633" t="inlineStr"/>
      <c r="AB633" t="inlineStr"/>
      <c r="AC633" t="inlineStr"/>
      <c r="AD633" t="inlineStr"/>
      <c r="AE633" t="inlineStr"/>
      <c r="AF633" t="inlineStr"/>
      <c r="AG633" t="inlineStr"/>
      <c r="AH633" t="inlineStr"/>
      <c r="AI633" t="inlineStr">
        <is>
          <t>HD</t>
        </is>
      </c>
      <c r="AJ633" t="inlineStr"/>
      <c r="AK633" t="inlineStr"/>
      <c r="AL633" t="inlineStr"/>
      <c r="AM633" t="inlineStr">
        <is>
          <t>f</t>
        </is>
      </c>
      <c r="AN633" t="inlineStr"/>
      <c r="AO633" t="inlineStr"/>
      <c r="AP633" t="inlineStr"/>
      <c r="AQ633" t="inlineStr"/>
      <c r="AR633" t="inlineStr"/>
      <c r="AS633" t="inlineStr">
        <is>
          <t>Pa</t>
        </is>
      </c>
      <c r="AT633" t="inlineStr"/>
      <c r="AU633" t="inlineStr"/>
      <c r="AV633" t="inlineStr"/>
      <c r="AW633" t="inlineStr"/>
      <c r="AX633" t="inlineStr"/>
      <c r="AY633" t="inlineStr"/>
      <c r="AZ633" t="inlineStr"/>
      <c r="BA633" t="inlineStr"/>
      <c r="BB633" t="inlineStr"/>
      <c r="BC633" t="inlineStr"/>
      <c r="BD633" t="inlineStr"/>
      <c r="BE633" t="inlineStr"/>
      <c r="BF633" t="inlineStr"/>
      <c r="BG633" t="n">
        <v>60</v>
      </c>
      <c r="BH633" t="inlineStr"/>
      <c r="BI633" t="inlineStr"/>
      <c r="BJ633" t="inlineStr"/>
      <c r="BK633" t="inlineStr"/>
      <c r="BL633" t="inlineStr"/>
      <c r="BM633" t="inlineStr">
        <is>
          <t>ja vor</t>
        </is>
      </c>
      <c r="BN633" t="n">
        <v>2.5</v>
      </c>
      <c r="BO633" t="inlineStr"/>
      <c r="BP633" t="inlineStr"/>
      <c r="BQ633" t="inlineStr"/>
      <c r="BR633" t="inlineStr"/>
      <c r="BS633" t="inlineStr"/>
      <c r="BT633" t="inlineStr">
        <is>
          <t>x sauer</t>
        </is>
      </c>
      <c r="BU633" t="inlineStr">
        <is>
          <t>x</t>
        </is>
      </c>
      <c r="BV633" t="inlineStr"/>
      <c r="BW633" t="inlineStr"/>
      <c r="BX633" t="inlineStr"/>
      <c r="BY633" t="inlineStr">
        <is>
          <t>Box (wegen Einband)</t>
        </is>
      </c>
      <c r="BZ633" t="inlineStr">
        <is>
          <t>x</t>
        </is>
      </c>
      <c r="CA633" t="inlineStr"/>
      <c r="CB633" t="inlineStr">
        <is>
          <t>x</t>
        </is>
      </c>
      <c r="CC633" t="inlineStr"/>
      <c r="CD633" t="inlineStr"/>
      <c r="CE633" t="inlineStr"/>
      <c r="CF633" t="inlineStr"/>
      <c r="CG633" t="inlineStr"/>
      <c r="CH633" t="inlineStr"/>
      <c r="CI633" t="inlineStr"/>
      <c r="CJ633" t="inlineStr"/>
      <c r="CK633" t="inlineStr"/>
      <c r="CL633" t="inlineStr"/>
      <c r="CM633" t="n">
        <v>1</v>
      </c>
      <c r="CN633" t="inlineStr">
        <is>
          <t>Leder niederkleben, Fehlstellen belassen (ist alles stabil)</t>
        </is>
      </c>
      <c r="CO633" t="inlineStr">
        <is>
          <t>x</t>
        </is>
      </c>
      <c r="CP633" t="inlineStr"/>
      <c r="CQ633" t="inlineStr"/>
      <c r="CR633" t="inlineStr"/>
      <c r="CS633" t="inlineStr"/>
      <c r="CT633" t="inlineStr"/>
      <c r="CU633" t="inlineStr"/>
      <c r="CV633" t="inlineStr"/>
      <c r="CW633" t="inlineStr"/>
      <c r="CX633" t="inlineStr">
        <is>
          <t>x (eher Ecken wattiert)</t>
        </is>
      </c>
      <c r="CY633" t="inlineStr"/>
      <c r="CZ633" t="inlineStr"/>
      <c r="DA633" t="inlineStr"/>
      <c r="DB633" t="inlineStr"/>
      <c r="DC633" t="inlineStr"/>
      <c r="DD633" t="inlineStr"/>
      <c r="DE633" t="inlineStr"/>
      <c r="DF633" t="n">
        <v>1.5</v>
      </c>
      <c r="DG633" t="inlineStr">
        <is>
          <t>wattierte Ecken vorn und hinten nachleimen und ggf. mit JP stabilisieren</t>
        </is>
      </c>
    </row>
    <row r="634">
      <c r="A634" t="inlineStr">
        <is>
          <t>III</t>
        </is>
      </c>
      <c r="B634" t="b">
        <v>1</v>
      </c>
      <c r="C634" t="inlineStr"/>
      <c r="D634" t="inlineStr"/>
      <c r="E634" t="n">
        <v>704</v>
      </c>
      <c r="F634">
        <f>HYPERLINK("https://portal.dnb.de/opac.htm?method=simpleSearch&amp;cqlMode=true&amp;query=idn%3D106695741X", "Portal")</f>
        <v/>
      </c>
      <c r="G634" t="inlineStr">
        <is>
          <t>Aaf</t>
        </is>
      </c>
      <c r="H634" t="inlineStr">
        <is>
          <t>L-1551-315488050</t>
        </is>
      </c>
      <c r="I634" t="inlineStr">
        <is>
          <t>106695741X</t>
        </is>
      </c>
      <c r="J634" t="inlineStr">
        <is>
          <t>III 69, 24</t>
        </is>
      </c>
      <c r="K634" t="inlineStr">
        <is>
          <t>III 69, 24</t>
        </is>
      </c>
      <c r="L634" t="inlineStr">
        <is>
          <t>III 69, 24</t>
        </is>
      </c>
      <c r="M634" t="inlineStr"/>
      <c r="N634" t="inlineStr">
        <is>
          <t>OPERA|| Mathematica|| IOANNIS SCHONERI|| CAROLOSTADII IN VNVM VOLVMEN|| CONGESTA, ET PVBLICAE VTILITATI|| studiosorum omnium, ac celebri famae Norici|</t>
        </is>
      </c>
      <c r="O634" t="inlineStr">
        <is>
          <t xml:space="preserve"> : </t>
        </is>
      </c>
      <c r="P634" t="inlineStr">
        <is>
          <t>X</t>
        </is>
      </c>
      <c r="Q634" t="inlineStr"/>
      <c r="R634" t="inlineStr">
        <is>
          <t>Ledereinband, Schließen, erhabene Buchbeschläge</t>
        </is>
      </c>
      <c r="S634" t="inlineStr">
        <is>
          <t>bis 35 cm</t>
        </is>
      </c>
      <c r="T634" t="inlineStr">
        <is>
          <t>80° bis 110°, einseitig digitalisierbar?</t>
        </is>
      </c>
      <c r="U634" t="inlineStr">
        <is>
          <t>fester Rücken mit Schmuckprägung, welliger Buchblock, stark brüchiges Einbandmaterial</t>
        </is>
      </c>
      <c r="V634" t="inlineStr"/>
      <c r="W634" t="inlineStr"/>
      <c r="X634" t="inlineStr"/>
      <c r="Y634" t="n">
        <v>3</v>
      </c>
      <c r="Z634" t="inlineStr"/>
      <c r="AA634" t="inlineStr"/>
      <c r="AB634" t="inlineStr"/>
      <c r="AC634" t="inlineStr"/>
      <c r="AD634" t="inlineStr"/>
      <c r="AE634" t="inlineStr"/>
      <c r="AF634" t="inlineStr"/>
      <c r="AG634" t="inlineStr"/>
      <c r="AH634" t="inlineStr"/>
      <c r="AI634" t="inlineStr"/>
      <c r="AJ634" t="inlineStr"/>
      <c r="AK634" t="inlineStr"/>
      <c r="AL634" t="inlineStr"/>
      <c r="AM634" t="inlineStr"/>
      <c r="AN634" t="inlineStr"/>
      <c r="AO634" t="inlineStr"/>
      <c r="AP634" t="inlineStr"/>
      <c r="AQ634" t="inlineStr"/>
      <c r="AR634" t="inlineStr"/>
      <c r="AS634" t="inlineStr"/>
      <c r="AT634" t="inlineStr"/>
      <c r="AU634" t="inlineStr"/>
      <c r="AV634" t="inlineStr"/>
      <c r="AW634" t="inlineStr"/>
      <c r="AX634" t="inlineStr"/>
      <c r="AY634" t="inlineStr"/>
      <c r="AZ634" t="inlineStr"/>
      <c r="BA634" t="inlineStr"/>
      <c r="BB634" t="inlineStr"/>
      <c r="BC634" t="inlineStr"/>
      <c r="BD634" t="inlineStr"/>
      <c r="BE634" t="inlineStr"/>
      <c r="BF634" t="inlineStr"/>
      <c r="BG634" t="inlineStr"/>
      <c r="BH634" t="inlineStr"/>
      <c r="BI634" t="inlineStr"/>
      <c r="BJ634" t="inlineStr"/>
      <c r="BK634" t="inlineStr"/>
      <c r="BL634" t="inlineStr"/>
      <c r="BM634" t="inlineStr"/>
      <c r="BN634" t="n">
        <v>0</v>
      </c>
      <c r="BO634" t="inlineStr"/>
      <c r="BP634" t="inlineStr"/>
      <c r="BQ634" t="inlineStr"/>
      <c r="BR634" t="inlineStr"/>
      <c r="BS634" t="inlineStr"/>
      <c r="BT634" t="inlineStr"/>
      <c r="BU634" t="inlineStr"/>
      <c r="BV634" t="inlineStr"/>
      <c r="BW634" t="inlineStr"/>
      <c r="BX634" t="inlineStr"/>
      <c r="BY634" t="inlineStr"/>
      <c r="BZ634" t="inlineStr"/>
      <c r="CA634" t="inlineStr"/>
      <c r="CB634" t="inlineStr"/>
      <c r="CC634" t="inlineStr"/>
      <c r="CD634" t="inlineStr"/>
      <c r="CE634" t="inlineStr"/>
      <c r="CF634" t="inlineStr"/>
      <c r="CG634" t="inlineStr"/>
      <c r="CH634" t="inlineStr"/>
      <c r="CI634" t="inlineStr"/>
      <c r="CJ634" t="inlineStr"/>
      <c r="CK634" t="inlineStr"/>
      <c r="CL634" t="inlineStr"/>
      <c r="CM634" t="inlineStr"/>
      <c r="CN634" t="inlineStr"/>
      <c r="CO634" t="inlineStr"/>
      <c r="CP634" t="inlineStr"/>
      <c r="CQ634" t="inlineStr"/>
      <c r="CR634" t="inlineStr"/>
      <c r="CS634" t="inlineStr"/>
      <c r="CT634" t="inlineStr"/>
      <c r="CU634" t="inlineStr"/>
      <c r="CV634" t="inlineStr"/>
      <c r="CW634" t="inlineStr"/>
      <c r="CX634" t="inlineStr"/>
      <c r="CY634" t="inlineStr"/>
      <c r="CZ634" t="inlineStr"/>
      <c r="DA634" t="inlineStr"/>
      <c r="DB634" t="inlineStr"/>
      <c r="DC634" t="inlineStr"/>
      <c r="DD634" t="inlineStr"/>
      <c r="DE634" t="inlineStr"/>
      <c r="DF634" t="inlineStr"/>
      <c r="DG634" t="inlineStr"/>
    </row>
    <row r="635">
      <c r="A635" t="inlineStr">
        <is>
          <t>III</t>
        </is>
      </c>
      <c r="B635" t="b">
        <v>1</v>
      </c>
      <c r="C635" t="inlineStr"/>
      <c r="D635" t="inlineStr"/>
      <c r="E635" t="n">
        <v>705</v>
      </c>
      <c r="F635">
        <f>HYPERLINK("https://portal.dnb.de/opac.htm?method=simpleSearch&amp;cqlMode=true&amp;query=idn%3D106696341X", "Portal")</f>
        <v/>
      </c>
      <c r="G635" t="inlineStr">
        <is>
          <t>Aaf</t>
        </is>
      </c>
      <c r="H635" t="inlineStr">
        <is>
          <t>L-1552-315493666</t>
        </is>
      </c>
      <c r="I635" t="inlineStr">
        <is>
          <t>106696341X</t>
        </is>
      </c>
      <c r="J635" t="inlineStr">
        <is>
          <t>III 69, 25</t>
        </is>
      </c>
      <c r="K635" t="inlineStr">
        <is>
          <t>III 69, 25</t>
        </is>
      </c>
      <c r="L635" t="inlineStr">
        <is>
          <t>III 69, 25</t>
        </is>
      </c>
      <c r="M635" t="inlineStr"/>
      <c r="N635" t="inlineStr">
        <is>
          <t>Spiegel|| der Hauszucht,|| Jesus Syrach genañt: Sampt|| eyner kurtzen Außlegung.|| F#[ue]r die armen Haußu#[ae]tter vnnd|| jhr Gesinde/ Wie sie ein Go</t>
        </is>
      </c>
      <c r="O635" t="inlineStr">
        <is>
          <t xml:space="preserve"> : </t>
        </is>
      </c>
      <c r="P635" t="inlineStr">
        <is>
          <t>X</t>
        </is>
      </c>
      <c r="Q635" t="inlineStr"/>
      <c r="R635" t="inlineStr">
        <is>
          <t>Gewebeeinband, Schließen, erhabene Buchbeschläge</t>
        </is>
      </c>
      <c r="S635" t="inlineStr">
        <is>
          <t>bis 35 cm</t>
        </is>
      </c>
      <c r="T635" t="inlineStr">
        <is>
          <t>80° bis 110°, einseitig digitalisierbar?</t>
        </is>
      </c>
      <c r="U635" t="inlineStr">
        <is>
          <t>hohler Rücken</t>
        </is>
      </c>
      <c r="V635" t="inlineStr"/>
      <c r="W635" t="inlineStr">
        <is>
          <t>Buchschuh</t>
        </is>
      </c>
      <c r="X635" t="inlineStr">
        <is>
          <t>Nein</t>
        </is>
      </c>
      <c r="Y635" t="n">
        <v>0</v>
      </c>
      <c r="Z635" t="inlineStr"/>
      <c r="AA635" t="inlineStr"/>
      <c r="AB635" t="inlineStr"/>
      <c r="AC635" t="inlineStr"/>
      <c r="AD635" t="inlineStr"/>
      <c r="AE635" t="inlineStr"/>
      <c r="AF635" t="inlineStr"/>
      <c r="AG635" t="inlineStr"/>
      <c r="AH635" t="inlineStr"/>
      <c r="AI635" t="inlineStr">
        <is>
          <t>G</t>
        </is>
      </c>
      <c r="AJ635" t="inlineStr"/>
      <c r="AK635" t="inlineStr">
        <is>
          <t>x</t>
        </is>
      </c>
      <c r="AL635" t="inlineStr">
        <is>
          <t>x</t>
        </is>
      </c>
      <c r="AM635" t="inlineStr">
        <is>
          <t>h/E</t>
        </is>
      </c>
      <c r="AN635" t="inlineStr"/>
      <c r="AO635" t="inlineStr"/>
      <c r="AP635" t="inlineStr"/>
      <c r="AQ635" t="inlineStr"/>
      <c r="AR635" t="inlineStr"/>
      <c r="AS635" t="inlineStr">
        <is>
          <t>Pa</t>
        </is>
      </c>
      <c r="AT635" t="inlineStr"/>
      <c r="AU635" t="inlineStr"/>
      <c r="AV635" t="inlineStr"/>
      <c r="AW635" t="inlineStr"/>
      <c r="AX635" t="inlineStr"/>
      <c r="AY635" t="inlineStr"/>
      <c r="AZ635" t="inlineStr"/>
      <c r="BA635" t="inlineStr"/>
      <c r="BB635" t="inlineStr"/>
      <c r="BC635" t="inlineStr"/>
      <c r="BD635" t="inlineStr"/>
      <c r="BE635" t="inlineStr"/>
      <c r="BF635" t="inlineStr"/>
      <c r="BG635" t="n">
        <v>110</v>
      </c>
      <c r="BH635" t="inlineStr"/>
      <c r="BI635" t="inlineStr"/>
      <c r="BJ635" t="inlineStr"/>
      <c r="BK635" t="inlineStr"/>
      <c r="BL635" t="inlineStr"/>
      <c r="BM635" t="inlineStr">
        <is>
          <t>n</t>
        </is>
      </c>
      <c r="BN635" t="n">
        <v>0</v>
      </c>
      <c r="BO635" t="inlineStr"/>
      <c r="BP635" t="inlineStr"/>
      <c r="BQ635" t="inlineStr"/>
      <c r="BR635" t="inlineStr">
        <is>
          <t>x</t>
        </is>
      </c>
      <c r="BS635" t="inlineStr"/>
      <c r="BT635" t="inlineStr"/>
      <c r="BU635" t="inlineStr"/>
      <c r="BV635" t="inlineStr">
        <is>
          <t>Schaden stabil</t>
        </is>
      </c>
      <c r="BW635" t="inlineStr"/>
      <c r="BX635" t="inlineStr"/>
      <c r="BY635" t="inlineStr"/>
      <c r="BZ635" t="inlineStr"/>
      <c r="CA635" t="inlineStr"/>
      <c r="CB635" t="inlineStr"/>
      <c r="CC635" t="inlineStr"/>
      <c r="CD635" t="inlineStr"/>
      <c r="CE635" t="inlineStr"/>
      <c r="CF635" t="inlineStr"/>
      <c r="CG635" t="inlineStr"/>
      <c r="CH635" t="inlineStr"/>
      <c r="CI635" t="inlineStr"/>
      <c r="CJ635" t="inlineStr"/>
      <c r="CK635" t="inlineStr"/>
      <c r="CL635" t="inlineStr"/>
      <c r="CM635" t="inlineStr"/>
      <c r="CN635" t="inlineStr"/>
      <c r="CO635" t="inlineStr"/>
      <c r="CP635" t="inlineStr"/>
      <c r="CQ635" t="inlineStr"/>
      <c r="CR635" t="inlineStr"/>
      <c r="CS635" t="inlineStr"/>
      <c r="CT635" t="inlineStr"/>
      <c r="CU635" t="inlineStr"/>
      <c r="CV635" t="inlineStr"/>
      <c r="CW635" t="inlineStr"/>
      <c r="CX635" t="inlineStr"/>
      <c r="CY635" t="inlineStr"/>
      <c r="CZ635" t="inlineStr"/>
      <c r="DA635" t="inlineStr"/>
      <c r="DB635" t="inlineStr"/>
      <c r="DC635" t="inlineStr"/>
      <c r="DD635" t="inlineStr"/>
      <c r="DE635" t="inlineStr"/>
      <c r="DF635" t="inlineStr"/>
      <c r="DG635" t="inlineStr"/>
    </row>
    <row r="636">
      <c r="A636" t="inlineStr">
        <is>
          <t>III</t>
        </is>
      </c>
      <c r="B636" t="b">
        <v>1</v>
      </c>
      <c r="C636" t="inlineStr"/>
      <c r="D636" t="inlineStr"/>
      <c r="E636" t="n">
        <v>706</v>
      </c>
      <c r="F636">
        <f>HYPERLINK("https://portal.dnb.de/opac.htm?method=simpleSearch&amp;cqlMode=true&amp;query=idn%3D1066961476", "Portal")</f>
        <v/>
      </c>
      <c r="G636" t="inlineStr">
        <is>
          <t>Aaf</t>
        </is>
      </c>
      <c r="H636" t="inlineStr">
        <is>
          <t>L-1553-315491868</t>
        </is>
      </c>
      <c r="I636" t="inlineStr">
        <is>
          <t>1066961476</t>
        </is>
      </c>
      <c r="J636" t="inlineStr">
        <is>
          <t>III 69, 26</t>
        </is>
      </c>
      <c r="K636" t="inlineStr">
        <is>
          <t>III 69, 26</t>
        </is>
      </c>
      <c r="L636" t="inlineStr">
        <is>
          <t>III 69, 26</t>
        </is>
      </c>
      <c r="M636" t="inlineStr"/>
      <c r="N636" t="inlineStr">
        <is>
          <t xml:space="preserve">Der @klagendt Ehren||holdt/ vber Fürsten|| vnd Adel|| Hans Sachs|| : </t>
        </is>
      </c>
      <c r="O636" t="inlineStr">
        <is>
          <t xml:space="preserve"> : </t>
        </is>
      </c>
      <c r="P636" t="inlineStr">
        <is>
          <t>X</t>
        </is>
      </c>
      <c r="Q636" t="inlineStr"/>
      <c r="R636" t="inlineStr">
        <is>
          <t>Papier- oder Pappeinband</t>
        </is>
      </c>
      <c r="S636" t="inlineStr">
        <is>
          <t>bis 25 cm</t>
        </is>
      </c>
      <c r="T636" t="inlineStr">
        <is>
          <t>80° bis 110°, einseitig digitalisierbar?</t>
        </is>
      </c>
      <c r="U636" t="inlineStr">
        <is>
          <t>hohler Rücken</t>
        </is>
      </c>
      <c r="V636" t="inlineStr"/>
      <c r="W636" t="inlineStr"/>
      <c r="X636" t="inlineStr">
        <is>
          <t>Signaturfahne austauschen</t>
        </is>
      </c>
      <c r="Y636" t="n">
        <v>0</v>
      </c>
      <c r="Z636" t="inlineStr"/>
      <c r="AA636" t="inlineStr"/>
      <c r="AB636" t="inlineStr"/>
      <c r="AC636" t="inlineStr"/>
      <c r="AD636" t="inlineStr"/>
      <c r="AE636" t="inlineStr"/>
      <c r="AF636" t="inlineStr"/>
      <c r="AG636" t="inlineStr"/>
      <c r="AH636" t="inlineStr"/>
      <c r="AI636" t="inlineStr"/>
      <c r="AJ636" t="inlineStr"/>
      <c r="AK636" t="inlineStr"/>
      <c r="AL636" t="inlineStr"/>
      <c r="AM636" t="inlineStr"/>
      <c r="AN636" t="inlineStr"/>
      <c r="AO636" t="inlineStr"/>
      <c r="AP636" t="inlineStr"/>
      <c r="AQ636" t="inlineStr"/>
      <c r="AR636" t="inlineStr"/>
      <c r="AS636" t="inlineStr"/>
      <c r="AT636" t="inlineStr"/>
      <c r="AU636" t="inlineStr"/>
      <c r="AV636" t="inlineStr"/>
      <c r="AW636" t="inlineStr"/>
      <c r="AX636" t="inlineStr"/>
      <c r="AY636" t="inlineStr"/>
      <c r="AZ636" t="inlineStr"/>
      <c r="BA636" t="inlineStr"/>
      <c r="BB636" t="inlineStr"/>
      <c r="BC636" t="inlineStr"/>
      <c r="BD636" t="inlineStr"/>
      <c r="BE636" t="inlineStr"/>
      <c r="BF636" t="inlineStr"/>
      <c r="BG636" t="inlineStr"/>
      <c r="BH636" t="inlineStr"/>
      <c r="BI636" t="inlineStr"/>
      <c r="BJ636" t="inlineStr"/>
      <c r="BK636" t="inlineStr"/>
      <c r="BL636" t="inlineStr"/>
      <c r="BM636" t="inlineStr"/>
      <c r="BN636" t="n">
        <v>0</v>
      </c>
      <c r="BO636" t="inlineStr"/>
      <c r="BP636" t="inlineStr"/>
      <c r="BQ636" t="inlineStr"/>
      <c r="BR636" t="inlineStr"/>
      <c r="BS636" t="inlineStr"/>
      <c r="BT636" t="inlineStr"/>
      <c r="BU636" t="inlineStr"/>
      <c r="BV636" t="inlineStr"/>
      <c r="BW636" t="inlineStr"/>
      <c r="BX636" t="inlineStr"/>
      <c r="BY636" t="inlineStr"/>
      <c r="BZ636" t="inlineStr"/>
      <c r="CA636" t="inlineStr"/>
      <c r="CB636" t="inlineStr"/>
      <c r="CC636" t="inlineStr"/>
      <c r="CD636" t="inlineStr"/>
      <c r="CE636" t="inlineStr"/>
      <c r="CF636" t="inlineStr"/>
      <c r="CG636" t="inlineStr"/>
      <c r="CH636" t="inlineStr"/>
      <c r="CI636" t="inlineStr"/>
      <c r="CJ636" t="inlineStr"/>
      <c r="CK636" t="inlineStr"/>
      <c r="CL636" t="inlineStr"/>
      <c r="CM636" t="inlineStr"/>
      <c r="CN636" t="inlineStr"/>
      <c r="CO636" t="inlineStr"/>
      <c r="CP636" t="inlineStr"/>
      <c r="CQ636" t="inlineStr"/>
      <c r="CR636" t="inlineStr"/>
      <c r="CS636" t="inlineStr"/>
      <c r="CT636" t="inlineStr"/>
      <c r="CU636" t="inlineStr"/>
      <c r="CV636" t="inlineStr"/>
      <c r="CW636" t="inlineStr"/>
      <c r="CX636" t="inlineStr"/>
      <c r="CY636" t="inlineStr"/>
      <c r="CZ636" t="inlineStr"/>
      <c r="DA636" t="inlineStr"/>
      <c r="DB636" t="inlineStr"/>
      <c r="DC636" t="inlineStr"/>
      <c r="DD636" t="inlineStr"/>
      <c r="DE636" t="inlineStr"/>
      <c r="DF636" t="inlineStr"/>
      <c r="DG636" t="inlineStr"/>
    </row>
    <row r="637">
      <c r="A637" t="inlineStr">
        <is>
          <t>III</t>
        </is>
      </c>
      <c r="B637" t="b">
        <v>0</v>
      </c>
      <c r="C637" t="inlineStr"/>
      <c r="D637" t="inlineStr"/>
      <c r="E637" t="n">
        <v>707</v>
      </c>
      <c r="F637">
        <f>HYPERLINK("https://portal.dnb.de/opac.htm?method=simpleSearch&amp;cqlMode=true&amp;query=idn%3D1066758840", "Portal")</f>
        <v/>
      </c>
      <c r="G637" t="inlineStr"/>
      <c r="H637" t="inlineStr">
        <is>
          <t>L-1553-315181508</t>
        </is>
      </c>
      <c r="I637" t="inlineStr">
        <is>
          <t>1066758840</t>
        </is>
      </c>
      <c r="J637" t="inlineStr"/>
      <c r="K637" t="inlineStr"/>
      <c r="L637" t="inlineStr">
        <is>
          <t>III 69, 27</t>
        </is>
      </c>
      <c r="M637" t="inlineStr"/>
      <c r="N637" t="inlineStr"/>
      <c r="O637" t="inlineStr"/>
      <c r="P637" t="inlineStr"/>
      <c r="Q637" t="inlineStr"/>
      <c r="R637" t="inlineStr">
        <is>
          <t>Ledereinband</t>
        </is>
      </c>
      <c r="S637" t="inlineStr">
        <is>
          <t>bis 35 cm</t>
        </is>
      </c>
      <c r="T637" t="inlineStr">
        <is>
          <t>180°</t>
        </is>
      </c>
      <c r="U637" t="inlineStr"/>
      <c r="V637" t="inlineStr"/>
      <c r="W637" t="inlineStr">
        <is>
          <t>Archivkarton</t>
        </is>
      </c>
      <c r="X637" t="inlineStr">
        <is>
          <t>Nein</t>
        </is>
      </c>
      <c r="Y637" t="n">
        <v>2</v>
      </c>
      <c r="Z637" t="inlineStr"/>
      <c r="AA637" t="inlineStr">
        <is>
          <t>Band in Ausstellung</t>
        </is>
      </c>
      <c r="AB637" t="inlineStr"/>
      <c r="AC637" t="inlineStr"/>
      <c r="AD637" t="inlineStr"/>
      <c r="AE637" t="inlineStr"/>
      <c r="AF637" t="inlineStr"/>
      <c r="AG637" t="inlineStr"/>
      <c r="AH637" t="inlineStr"/>
      <c r="AI637" t="inlineStr"/>
      <c r="AJ637" t="inlineStr"/>
      <c r="AK637" t="inlineStr"/>
      <c r="AL637" t="inlineStr"/>
      <c r="AM637" t="inlineStr"/>
      <c r="AN637" t="inlineStr"/>
      <c r="AO637" t="inlineStr"/>
      <c r="AP637" t="inlineStr"/>
      <c r="AQ637" t="inlineStr"/>
      <c r="AR637" t="inlineStr"/>
      <c r="AS637" t="inlineStr"/>
      <c r="AT637" t="inlineStr"/>
      <c r="AU637" t="inlineStr"/>
      <c r="AV637" t="inlineStr"/>
      <c r="AW637" t="inlineStr"/>
      <c r="AX637" t="inlineStr"/>
      <c r="AY637" t="inlineStr"/>
      <c r="AZ637" t="inlineStr"/>
      <c r="BA637" t="inlineStr"/>
      <c r="BB637" t="inlineStr"/>
      <c r="BC637" t="inlineStr"/>
      <c r="BD637" t="inlineStr"/>
      <c r="BE637" t="inlineStr"/>
      <c r="BF637" t="inlineStr"/>
      <c r="BG637" t="inlineStr"/>
      <c r="BH637" t="inlineStr"/>
      <c r="BI637" t="inlineStr"/>
      <c r="BJ637" t="inlineStr"/>
      <c r="BK637" t="inlineStr"/>
      <c r="BL637" t="inlineStr"/>
      <c r="BM637" t="inlineStr"/>
      <c r="BN637" t="n">
        <v>0</v>
      </c>
      <c r="BO637" t="inlineStr"/>
      <c r="BP637" t="inlineStr"/>
      <c r="BQ637" t="inlineStr"/>
      <c r="BR637" t="inlineStr"/>
      <c r="BS637" t="inlineStr"/>
      <c r="BT637" t="inlineStr"/>
      <c r="BU637" t="inlineStr"/>
      <c r="BV637" t="inlineStr"/>
      <c r="BW637" t="inlineStr"/>
      <c r="BX637" t="inlineStr"/>
      <c r="BY637" t="inlineStr"/>
      <c r="BZ637" t="inlineStr"/>
      <c r="CA637" t="inlineStr"/>
      <c r="CB637" t="inlineStr"/>
      <c r="CC637" t="inlineStr"/>
      <c r="CD637" t="inlineStr"/>
      <c r="CE637" t="inlineStr"/>
      <c r="CF637" t="inlineStr"/>
      <c r="CG637" t="inlineStr"/>
      <c r="CH637" t="inlineStr"/>
      <c r="CI637" t="inlineStr"/>
      <c r="CJ637" t="inlineStr"/>
      <c r="CK637" t="inlineStr"/>
      <c r="CL637" t="inlineStr"/>
      <c r="CM637" t="inlineStr"/>
      <c r="CN637" t="inlineStr"/>
      <c r="CO637" t="inlineStr"/>
      <c r="CP637" t="inlineStr"/>
      <c r="CQ637" t="inlineStr"/>
      <c r="CR637" t="inlineStr"/>
      <c r="CS637" t="inlineStr"/>
      <c r="CT637" t="inlineStr"/>
      <c r="CU637" t="inlineStr"/>
      <c r="CV637" t="inlineStr"/>
      <c r="CW637" t="inlineStr"/>
      <c r="CX637" t="inlineStr"/>
      <c r="CY637" t="inlineStr"/>
      <c r="CZ637" t="inlineStr"/>
      <c r="DA637" t="inlineStr"/>
      <c r="DB637" t="inlineStr"/>
      <c r="DC637" t="inlineStr"/>
      <c r="DD637" t="inlineStr"/>
      <c r="DE637" t="inlineStr"/>
      <c r="DF637" t="inlineStr"/>
      <c r="DG637" t="inlineStr"/>
    </row>
    <row r="638">
      <c r="A638" t="inlineStr">
        <is>
          <t>III</t>
        </is>
      </c>
      <c r="B638" t="b">
        <v>1</v>
      </c>
      <c r="C638" t="inlineStr"/>
      <c r="D638" t="inlineStr"/>
      <c r="E638" t="n">
        <v>708</v>
      </c>
      <c r="F638">
        <f>HYPERLINK("https://portal.dnb.de/opac.htm?method=simpleSearch&amp;cqlMode=true&amp;query=idn%3D1066777829", "Portal")</f>
        <v/>
      </c>
      <c r="G638" t="inlineStr">
        <is>
          <t>Aaf</t>
        </is>
      </c>
      <c r="H638" t="inlineStr">
        <is>
          <t>L-1554-315199806</t>
        </is>
      </c>
      <c r="I638" t="inlineStr">
        <is>
          <t>1066777829</t>
        </is>
      </c>
      <c r="J638" t="inlineStr">
        <is>
          <t>III 69, 28</t>
        </is>
      </c>
      <c r="K638" t="inlineStr">
        <is>
          <t>III 69, 28</t>
        </is>
      </c>
      <c r="L638" t="inlineStr">
        <is>
          <t>III 69, 28</t>
        </is>
      </c>
      <c r="M638" t="inlineStr"/>
      <c r="N638" t="inlineStr">
        <is>
          <t xml:space="preserve">Die @Judit mit Ho||loferne/ ob der belege-||rung der Stat : </t>
        </is>
      </c>
      <c r="O638" t="inlineStr">
        <is>
          <t xml:space="preserve"> : </t>
        </is>
      </c>
      <c r="P638" t="inlineStr">
        <is>
          <t>X</t>
        </is>
      </c>
      <c r="Q638" t="inlineStr"/>
      <c r="R638" t="inlineStr">
        <is>
          <t>Pergamentband</t>
        </is>
      </c>
      <c r="S638" t="inlineStr">
        <is>
          <t>bis 25 cm</t>
        </is>
      </c>
      <c r="T638" t="inlineStr">
        <is>
          <t>180°</t>
        </is>
      </c>
      <c r="U638" t="inlineStr">
        <is>
          <t>hohler Rücken</t>
        </is>
      </c>
      <c r="V638" t="inlineStr"/>
      <c r="W638" t="inlineStr"/>
      <c r="X638" t="inlineStr">
        <is>
          <t>Signaturfahne austauschen</t>
        </is>
      </c>
      <c r="Y638" t="n">
        <v>0</v>
      </c>
      <c r="Z638" t="inlineStr"/>
      <c r="AA638" t="inlineStr"/>
      <c r="AB638" t="inlineStr"/>
      <c r="AC638" t="inlineStr"/>
      <c r="AD638" t="inlineStr"/>
      <c r="AE638" t="inlineStr"/>
      <c r="AF638" t="inlineStr"/>
      <c r="AG638" t="inlineStr"/>
      <c r="AH638" t="inlineStr"/>
      <c r="AI638" t="inlineStr"/>
      <c r="AJ638" t="inlineStr"/>
      <c r="AK638" t="inlineStr"/>
      <c r="AL638" t="inlineStr"/>
      <c r="AM638" t="inlineStr"/>
      <c r="AN638" t="inlineStr"/>
      <c r="AO638" t="inlineStr"/>
      <c r="AP638" t="inlineStr"/>
      <c r="AQ638" t="inlineStr"/>
      <c r="AR638" t="inlineStr"/>
      <c r="AS638" t="inlineStr"/>
      <c r="AT638" t="inlineStr"/>
      <c r="AU638" t="inlineStr"/>
      <c r="AV638" t="inlineStr"/>
      <c r="AW638" t="inlineStr"/>
      <c r="AX638" t="inlineStr"/>
      <c r="AY638" t="inlineStr"/>
      <c r="AZ638" t="inlineStr"/>
      <c r="BA638" t="inlineStr"/>
      <c r="BB638" t="inlineStr"/>
      <c r="BC638" t="inlineStr"/>
      <c r="BD638" t="inlineStr"/>
      <c r="BE638" t="inlineStr"/>
      <c r="BF638" t="inlineStr"/>
      <c r="BG638" t="inlineStr"/>
      <c r="BH638" t="inlineStr"/>
      <c r="BI638" t="inlineStr"/>
      <c r="BJ638" t="inlineStr"/>
      <c r="BK638" t="inlineStr"/>
      <c r="BL638" t="inlineStr"/>
      <c r="BM638" t="inlineStr"/>
      <c r="BN638" t="n">
        <v>0</v>
      </c>
      <c r="BO638" t="inlineStr"/>
      <c r="BP638" t="inlineStr"/>
      <c r="BQ638" t="inlineStr"/>
      <c r="BR638" t="inlineStr"/>
      <c r="BS638" t="inlineStr"/>
      <c r="BT638" t="inlineStr"/>
      <c r="BU638" t="inlineStr"/>
      <c r="BV638" t="inlineStr"/>
      <c r="BW638" t="inlineStr"/>
      <c r="BX638" t="inlineStr"/>
      <c r="BY638" t="inlineStr"/>
      <c r="BZ638" t="inlineStr"/>
      <c r="CA638" t="inlineStr"/>
      <c r="CB638" t="inlineStr"/>
      <c r="CC638" t="inlineStr"/>
      <c r="CD638" t="inlineStr"/>
      <c r="CE638" t="inlineStr"/>
      <c r="CF638" t="inlineStr"/>
      <c r="CG638" t="inlineStr"/>
      <c r="CH638" t="inlineStr"/>
      <c r="CI638" t="inlineStr"/>
      <c r="CJ638" t="inlineStr"/>
      <c r="CK638" t="inlineStr"/>
      <c r="CL638" t="inlineStr"/>
      <c r="CM638" t="inlineStr"/>
      <c r="CN638" t="inlineStr"/>
      <c r="CO638" t="inlineStr"/>
      <c r="CP638" t="inlineStr"/>
      <c r="CQ638" t="inlineStr"/>
      <c r="CR638" t="inlineStr"/>
      <c r="CS638" t="inlineStr"/>
      <c r="CT638" t="inlineStr"/>
      <c r="CU638" t="inlineStr"/>
      <c r="CV638" t="inlineStr"/>
      <c r="CW638" t="inlineStr"/>
      <c r="CX638" t="inlineStr"/>
      <c r="CY638" t="inlineStr"/>
      <c r="CZ638" t="inlineStr"/>
      <c r="DA638" t="inlineStr"/>
      <c r="DB638" t="inlineStr"/>
      <c r="DC638" t="inlineStr"/>
      <c r="DD638" t="inlineStr"/>
      <c r="DE638" t="inlineStr"/>
      <c r="DF638" t="inlineStr"/>
      <c r="DG638" t="inlineStr"/>
    </row>
    <row r="639">
      <c r="A639" t="inlineStr">
        <is>
          <t>III</t>
        </is>
      </c>
      <c r="B639" t="b">
        <v>1</v>
      </c>
      <c r="C639" t="inlineStr"/>
      <c r="D639" t="inlineStr"/>
      <c r="E639" t="n">
        <v>709</v>
      </c>
      <c r="F639">
        <f>HYPERLINK("https://portal.dnb.de/opac.htm?method=simpleSearch&amp;cqlMode=true&amp;query=idn%3D106695772X", "Portal")</f>
        <v/>
      </c>
      <c r="G639" t="inlineStr">
        <is>
          <t>Aaf</t>
        </is>
      </c>
      <c r="H639" t="inlineStr">
        <is>
          <t>L-1523-315488344</t>
        </is>
      </c>
      <c r="I639" t="inlineStr">
        <is>
          <t>106695772X</t>
        </is>
      </c>
      <c r="J639" t="inlineStr">
        <is>
          <t>III 69, 29</t>
        </is>
      </c>
      <c r="K639" t="inlineStr">
        <is>
          <t>III 69, 29</t>
        </is>
      </c>
      <c r="L639" t="inlineStr">
        <is>
          <t>III 69, 29</t>
        </is>
      </c>
      <c r="M639" t="inlineStr"/>
      <c r="N639" t="inlineStr">
        <is>
          <t xml:space="preserve">Ein @sermon D.M.|| Lutthers/ Auff das|| Ewangelion Luce am.j.ca~p.|| Maria stund auff/ vnnd|| gieng ab eylend in|| das gebirg.|| Wittemberg.|| : </t>
        </is>
      </c>
      <c r="O639" t="inlineStr">
        <is>
          <t xml:space="preserve"> : </t>
        </is>
      </c>
      <c r="P639" t="inlineStr">
        <is>
          <t>X</t>
        </is>
      </c>
      <c r="Q639" t="inlineStr"/>
      <c r="R639" t="inlineStr">
        <is>
          <t>Halbledereinband</t>
        </is>
      </c>
      <c r="S639" t="inlineStr">
        <is>
          <t>bis 25 cm</t>
        </is>
      </c>
      <c r="T639" t="inlineStr">
        <is>
          <t>180°</t>
        </is>
      </c>
      <c r="U639" t="inlineStr"/>
      <c r="V639" t="inlineStr"/>
      <c r="W639" t="inlineStr"/>
      <c r="X639" t="inlineStr">
        <is>
          <t>Signaturfahne austauschen</t>
        </is>
      </c>
      <c r="Y639" t="n">
        <v>0</v>
      </c>
      <c r="Z639" t="inlineStr"/>
      <c r="AA639" t="inlineStr"/>
      <c r="AB639" t="inlineStr"/>
      <c r="AC639" t="inlineStr"/>
      <c r="AD639" t="inlineStr"/>
      <c r="AE639" t="inlineStr"/>
      <c r="AF639" t="inlineStr"/>
      <c r="AG639" t="inlineStr"/>
      <c r="AH639" t="inlineStr"/>
      <c r="AI639" t="inlineStr"/>
      <c r="AJ639" t="inlineStr"/>
      <c r="AK639" t="inlineStr"/>
      <c r="AL639" t="inlineStr"/>
      <c r="AM639" t="inlineStr"/>
      <c r="AN639" t="inlineStr"/>
      <c r="AO639" t="inlineStr"/>
      <c r="AP639" t="inlineStr"/>
      <c r="AQ639" t="inlineStr"/>
      <c r="AR639" t="inlineStr"/>
      <c r="AS639" t="inlineStr"/>
      <c r="AT639" t="inlineStr"/>
      <c r="AU639" t="inlineStr"/>
      <c r="AV639" t="inlineStr"/>
      <c r="AW639" t="inlineStr"/>
      <c r="AX639" t="inlineStr"/>
      <c r="AY639" t="inlineStr"/>
      <c r="AZ639" t="inlineStr"/>
      <c r="BA639" t="inlineStr"/>
      <c r="BB639" t="inlineStr"/>
      <c r="BC639" t="inlineStr"/>
      <c r="BD639" t="inlineStr"/>
      <c r="BE639" t="inlineStr"/>
      <c r="BF639" t="inlineStr"/>
      <c r="BG639" t="inlineStr"/>
      <c r="BH639" t="inlineStr"/>
      <c r="BI639" t="inlineStr"/>
      <c r="BJ639" t="inlineStr"/>
      <c r="BK639" t="inlineStr"/>
      <c r="BL639" t="inlineStr"/>
      <c r="BM639" t="inlineStr"/>
      <c r="BN639" t="n">
        <v>0</v>
      </c>
      <c r="BO639" t="inlineStr"/>
      <c r="BP639" t="inlineStr"/>
      <c r="BQ639" t="inlineStr"/>
      <c r="BR639" t="inlineStr"/>
      <c r="BS639" t="inlineStr"/>
      <c r="BT639" t="inlineStr"/>
      <c r="BU639" t="inlineStr"/>
      <c r="BV639" t="inlineStr"/>
      <c r="BW639" t="inlineStr"/>
      <c r="BX639" t="inlineStr"/>
      <c r="BY639" t="inlineStr"/>
      <c r="BZ639" t="inlineStr"/>
      <c r="CA639" t="inlineStr"/>
      <c r="CB639" t="inlineStr"/>
      <c r="CC639" t="inlineStr"/>
      <c r="CD639" t="inlineStr"/>
      <c r="CE639" t="inlineStr"/>
      <c r="CF639" t="inlineStr"/>
      <c r="CG639" t="inlineStr"/>
      <c r="CH639" t="inlineStr"/>
      <c r="CI639" t="inlineStr"/>
      <c r="CJ639" t="inlineStr"/>
      <c r="CK639" t="inlineStr"/>
      <c r="CL639" t="inlineStr"/>
      <c r="CM639" t="inlineStr"/>
      <c r="CN639" t="inlineStr"/>
      <c r="CO639" t="inlineStr"/>
      <c r="CP639" t="inlineStr"/>
      <c r="CQ639" t="inlineStr"/>
      <c r="CR639" t="inlineStr"/>
      <c r="CS639" t="inlineStr"/>
      <c r="CT639" t="inlineStr"/>
      <c r="CU639" t="inlineStr"/>
      <c r="CV639" t="inlineStr"/>
      <c r="CW639" t="inlineStr"/>
      <c r="CX639" t="inlineStr"/>
      <c r="CY639" t="inlineStr"/>
      <c r="CZ639" t="inlineStr"/>
      <c r="DA639" t="inlineStr"/>
      <c r="DB639" t="inlineStr"/>
      <c r="DC639" t="inlineStr"/>
      <c r="DD639" t="inlineStr"/>
      <c r="DE639" t="inlineStr"/>
      <c r="DF639" t="inlineStr"/>
      <c r="DG639" t="inlineStr"/>
    </row>
    <row r="640">
      <c r="A640" t="inlineStr">
        <is>
          <t>III</t>
        </is>
      </c>
      <c r="B640" t="b">
        <v>1</v>
      </c>
      <c r="C640" t="inlineStr"/>
      <c r="D640" t="inlineStr"/>
      <c r="E640" t="inlineStr"/>
      <c r="F640">
        <f>HYPERLINK("https://portal.dnb.de/opac.htm?method=simpleSearch&amp;cqlMode=true&amp;query=idn%3D1272437973", "Portal")</f>
        <v/>
      </c>
      <c r="G640" t="inlineStr">
        <is>
          <t>Aal</t>
        </is>
      </c>
      <c r="H640" t="inlineStr">
        <is>
          <t>L-1523-847999084</t>
        </is>
      </c>
      <c r="I640" t="inlineStr">
        <is>
          <t>1272437973</t>
        </is>
      </c>
      <c r="J640" t="inlineStr">
        <is>
          <t>III, 69 29 a</t>
        </is>
      </c>
      <c r="K640" t="inlineStr">
        <is>
          <t>III 69, 29 a</t>
        </is>
      </c>
      <c r="L640" t="inlineStr">
        <is>
          <t>III 69, 29 a</t>
        </is>
      </c>
      <c r="M640" t="inlineStr"/>
      <c r="N640" t="inlineStr">
        <is>
          <t>Eyn @Sermon|| Doctor wentzeslai Linck|| Von anr#[ue]ffunge der heyligen. Darneben|| auch vom gebet/ meß h#[oe]ren vnd fürpit|| Geprediget am Suntag de</t>
        </is>
      </c>
      <c r="O640" t="inlineStr">
        <is>
          <t xml:space="preserve"> : </t>
        </is>
      </c>
      <c r="P640" t="inlineStr">
        <is>
          <t>X</t>
        </is>
      </c>
      <c r="Q640" t="inlineStr"/>
      <c r="R640" t="inlineStr">
        <is>
          <t>Halbledereinband</t>
        </is>
      </c>
      <c r="S640" t="inlineStr">
        <is>
          <t>bis 25 cm</t>
        </is>
      </c>
      <c r="T640" t="inlineStr">
        <is>
          <t>80° bis 110°, einseitig digitalisierbar?</t>
        </is>
      </c>
      <c r="U640" t="inlineStr">
        <is>
          <t>fester Rücken mit Schmuckprägung</t>
        </is>
      </c>
      <c r="V640" t="inlineStr"/>
      <c r="W640" t="inlineStr"/>
      <c r="X640" t="inlineStr">
        <is>
          <t>Signaturfahne austauschen</t>
        </is>
      </c>
      <c r="Y640" t="n">
        <v>0</v>
      </c>
      <c r="Z640" t="inlineStr"/>
      <c r="AA640" t="inlineStr">
        <is>
          <t>mit  Blindmaterial</t>
        </is>
      </c>
      <c r="AB640" t="inlineStr"/>
      <c r="AC640" t="inlineStr"/>
      <c r="AD640" t="inlineStr"/>
      <c r="AE640" t="inlineStr"/>
      <c r="AF640" t="inlineStr"/>
      <c r="AG640" t="inlineStr"/>
      <c r="AH640" t="inlineStr"/>
      <c r="AI640" t="inlineStr"/>
      <c r="AJ640" t="inlineStr"/>
      <c r="AK640" t="inlineStr"/>
      <c r="AL640" t="inlineStr"/>
      <c r="AM640" t="inlineStr"/>
      <c r="AN640" t="inlineStr"/>
      <c r="AO640" t="inlineStr"/>
      <c r="AP640" t="inlineStr"/>
      <c r="AQ640" t="inlineStr"/>
      <c r="AR640" t="inlineStr"/>
      <c r="AS640" t="inlineStr"/>
      <c r="AT640" t="inlineStr"/>
      <c r="AU640" t="inlineStr"/>
      <c r="AV640" t="inlineStr"/>
      <c r="AW640" t="inlineStr"/>
      <c r="AX640" t="inlineStr"/>
      <c r="AY640" t="inlineStr"/>
      <c r="AZ640" t="inlineStr"/>
      <c r="BA640" t="inlineStr"/>
      <c r="BB640" t="inlineStr"/>
      <c r="BC640" t="inlineStr"/>
      <c r="BD640" t="inlineStr"/>
      <c r="BE640" t="inlineStr"/>
      <c r="BF640" t="inlineStr"/>
      <c r="BG640" t="inlineStr"/>
      <c r="BH640" t="inlineStr"/>
      <c r="BI640" t="inlineStr"/>
      <c r="BJ640" t="inlineStr"/>
      <c r="BK640" t="inlineStr"/>
      <c r="BL640" t="inlineStr"/>
      <c r="BM640" t="inlineStr"/>
      <c r="BN640" t="n">
        <v>0</v>
      </c>
      <c r="BO640" t="inlineStr"/>
      <c r="BP640" t="inlineStr"/>
      <c r="BQ640" t="inlineStr"/>
      <c r="BR640" t="inlineStr"/>
      <c r="BS640" t="inlineStr"/>
      <c r="BT640" t="inlineStr"/>
      <c r="BU640" t="inlineStr"/>
      <c r="BV640" t="inlineStr"/>
      <c r="BW640" t="inlineStr"/>
      <c r="BX640" t="inlineStr"/>
      <c r="BY640" t="inlineStr"/>
      <c r="BZ640" t="inlineStr"/>
      <c r="CA640" t="inlineStr"/>
      <c r="CB640" t="inlineStr"/>
      <c r="CC640" t="inlineStr"/>
      <c r="CD640" t="inlineStr"/>
      <c r="CE640" t="inlineStr"/>
      <c r="CF640" t="inlineStr"/>
      <c r="CG640" t="inlineStr"/>
      <c r="CH640" t="inlineStr"/>
      <c r="CI640" t="inlineStr"/>
      <c r="CJ640" t="inlineStr"/>
      <c r="CK640" t="inlineStr"/>
      <c r="CL640" t="inlineStr"/>
      <c r="CM640" t="inlineStr"/>
      <c r="CN640" t="inlineStr"/>
      <c r="CO640" t="inlineStr"/>
      <c r="CP640" t="inlineStr"/>
      <c r="CQ640" t="inlineStr"/>
      <c r="CR640" t="inlineStr"/>
      <c r="CS640" t="inlineStr"/>
      <c r="CT640" t="inlineStr"/>
      <c r="CU640" t="inlineStr"/>
      <c r="CV640" t="inlineStr"/>
      <c r="CW640" t="inlineStr"/>
      <c r="CX640" t="inlineStr"/>
      <c r="CY640" t="inlineStr"/>
      <c r="CZ640" t="inlineStr"/>
      <c r="DA640" t="inlineStr"/>
      <c r="DB640" t="inlineStr"/>
      <c r="DC640" t="inlineStr"/>
      <c r="DD640" t="inlineStr"/>
      <c r="DE640" t="inlineStr"/>
      <c r="DF640" t="inlineStr"/>
      <c r="DG640" t="inlineStr"/>
    </row>
    <row r="641">
      <c r="A641" t="inlineStr">
        <is>
          <t>III</t>
        </is>
      </c>
      <c r="B641" t="b">
        <v>1</v>
      </c>
      <c r="C641" t="inlineStr"/>
      <c r="D641" t="inlineStr"/>
      <c r="E641" t="inlineStr"/>
      <c r="F641">
        <f>HYPERLINK("https://portal.dnb.de/opac.htm?method=simpleSearch&amp;cqlMode=true&amp;query=idn%3D127243432X", "Portal")</f>
        <v/>
      </c>
      <c r="G641" t="inlineStr">
        <is>
          <t>Aal</t>
        </is>
      </c>
      <c r="H641" t="inlineStr">
        <is>
          <t>L-1524-84799547X</t>
        </is>
      </c>
      <c r="I641" t="inlineStr">
        <is>
          <t>127243432X</t>
        </is>
      </c>
      <c r="J641" t="inlineStr">
        <is>
          <t>III 69, 29 b</t>
        </is>
      </c>
      <c r="K641" t="inlineStr">
        <is>
          <t>III 69, 29 b</t>
        </is>
      </c>
      <c r="L641" t="inlineStr">
        <is>
          <t>III 69, 29 b</t>
        </is>
      </c>
      <c r="M641" t="inlineStr"/>
      <c r="N641" t="inlineStr">
        <is>
          <t xml:space="preserve">Vom cristlichen|| Adel oder freyheit der kin=||der gottes vnd glau=||bigen menschen.|| : </t>
        </is>
      </c>
      <c r="O641" t="inlineStr">
        <is>
          <t xml:space="preserve"> : </t>
        </is>
      </c>
      <c r="P641" t="inlineStr">
        <is>
          <t>X</t>
        </is>
      </c>
      <c r="Q641" t="inlineStr"/>
      <c r="R641" t="inlineStr">
        <is>
          <t>Broschur</t>
        </is>
      </c>
      <c r="S641" t="inlineStr">
        <is>
          <t>bis 25 cm</t>
        </is>
      </c>
      <c r="T641" t="inlineStr">
        <is>
          <t>180°</t>
        </is>
      </c>
      <c r="U641" t="inlineStr"/>
      <c r="V641" t="inlineStr"/>
      <c r="W641" t="inlineStr">
        <is>
          <t>Archivkarton</t>
        </is>
      </c>
      <c r="X641" t="inlineStr"/>
      <c r="Y641" t="n">
        <v>0</v>
      </c>
      <c r="Z641" t="inlineStr"/>
      <c r="AA641" t="inlineStr"/>
      <c r="AB641" t="inlineStr"/>
      <c r="AC641" t="inlineStr"/>
      <c r="AD641" t="inlineStr"/>
      <c r="AE641" t="inlineStr"/>
      <c r="AF641" t="inlineStr"/>
      <c r="AG641" t="inlineStr"/>
      <c r="AH641" t="inlineStr"/>
      <c r="AI641" t="inlineStr">
        <is>
          <t>Br</t>
        </is>
      </c>
      <c r="AJ641" t="inlineStr"/>
      <c r="AK641" t="inlineStr"/>
      <c r="AL641" t="inlineStr"/>
      <c r="AM641" t="inlineStr"/>
      <c r="AN641" t="inlineStr"/>
      <c r="AO641" t="inlineStr"/>
      <c r="AP641" t="inlineStr"/>
      <c r="AQ641" t="inlineStr"/>
      <c r="AR641" t="inlineStr"/>
      <c r="AS641" t="inlineStr">
        <is>
          <t>Pa</t>
        </is>
      </c>
      <c r="AT641" t="inlineStr"/>
      <c r="AU641" t="inlineStr"/>
      <c r="AV641" t="inlineStr"/>
      <c r="AW641" t="inlineStr"/>
      <c r="AX641" t="inlineStr"/>
      <c r="AY641" t="inlineStr"/>
      <c r="AZ641" t="inlineStr"/>
      <c r="BA641" t="inlineStr"/>
      <c r="BB641" t="inlineStr"/>
      <c r="BC641" t="inlineStr"/>
      <c r="BD641" t="inlineStr"/>
      <c r="BE641" t="inlineStr"/>
      <c r="BF641" t="inlineStr"/>
      <c r="BG641" t="n">
        <v>180</v>
      </c>
      <c r="BH641" t="inlineStr"/>
      <c r="BI641" t="inlineStr"/>
      <c r="BJ641" t="inlineStr"/>
      <c r="BK641" t="inlineStr"/>
      <c r="BL641" t="inlineStr"/>
      <c r="BM641" t="inlineStr">
        <is>
          <t>n</t>
        </is>
      </c>
      <c r="BN641" t="n">
        <v>0</v>
      </c>
      <c r="BO641" t="inlineStr"/>
      <c r="BP641" t="inlineStr"/>
      <c r="BQ641" t="inlineStr"/>
      <c r="BR641" t="inlineStr"/>
      <c r="BS641" t="inlineStr">
        <is>
          <t>x</t>
        </is>
      </c>
      <c r="BT641" t="inlineStr"/>
      <c r="BU641" t="inlineStr"/>
      <c r="BV641" t="inlineStr"/>
      <c r="BW641" t="inlineStr"/>
      <c r="BX641" t="inlineStr"/>
      <c r="BY641" t="inlineStr"/>
      <c r="BZ641" t="inlineStr"/>
      <c r="CA641" t="inlineStr"/>
      <c r="CB641" t="inlineStr"/>
      <c r="CC641" t="inlineStr"/>
      <c r="CD641" t="inlineStr"/>
      <c r="CE641" t="inlineStr"/>
      <c r="CF641" t="inlineStr"/>
      <c r="CG641" t="inlineStr"/>
      <c r="CH641" t="inlineStr"/>
      <c r="CI641" t="inlineStr"/>
      <c r="CJ641" t="inlineStr"/>
      <c r="CK641" t="inlineStr"/>
      <c r="CL641" t="inlineStr"/>
      <c r="CM641" t="inlineStr"/>
      <c r="CN641" t="inlineStr"/>
      <c r="CO641" t="inlineStr"/>
      <c r="CP641" t="inlineStr"/>
      <c r="CQ641" t="inlineStr"/>
      <c r="CR641" t="inlineStr"/>
      <c r="CS641" t="inlineStr"/>
      <c r="CT641" t="inlineStr"/>
      <c r="CU641" t="inlineStr"/>
      <c r="CV641" t="inlineStr"/>
      <c r="CW641" t="inlineStr"/>
      <c r="CX641" t="inlineStr"/>
      <c r="CY641" t="inlineStr"/>
      <c r="CZ641" t="inlineStr"/>
      <c r="DA641" t="inlineStr"/>
      <c r="DB641" t="inlineStr"/>
      <c r="DC641" t="inlineStr"/>
      <c r="DD641" t="inlineStr"/>
      <c r="DE641" t="inlineStr"/>
      <c r="DF641" t="inlineStr"/>
      <c r="DG641" t="inlineStr"/>
    </row>
    <row r="642">
      <c r="A642" t="inlineStr">
        <is>
          <t>III</t>
        </is>
      </c>
      <c r="B642" t="b">
        <v>1</v>
      </c>
      <c r="C642" t="inlineStr"/>
      <c r="D642" t="inlineStr"/>
      <c r="E642" t="n">
        <v>710</v>
      </c>
      <c r="F642">
        <f>HYPERLINK("https://portal.dnb.de/opac.htm?method=simpleSearch&amp;cqlMode=true&amp;query=idn%3D1066958424", "Portal")</f>
        <v/>
      </c>
      <c r="G642" t="inlineStr">
        <is>
          <t>Aaf</t>
        </is>
      </c>
      <c r="H642" t="inlineStr">
        <is>
          <t>L-1519-315489049</t>
        </is>
      </c>
      <c r="I642" t="inlineStr">
        <is>
          <t>1066958424</t>
        </is>
      </c>
      <c r="J642" t="inlineStr">
        <is>
          <t>III 69, 30</t>
        </is>
      </c>
      <c r="K642" t="inlineStr">
        <is>
          <t>III 69, 30</t>
        </is>
      </c>
      <c r="L642" t="inlineStr">
        <is>
          <t>III 69, 30</t>
        </is>
      </c>
      <c r="M642" t="inlineStr"/>
      <c r="N642" t="inlineStr">
        <is>
          <t xml:space="preserve">Eyn @sermon von der|| betrachtug des heyligen leydens christi.|| Doctor Martini Luther Augustiner zu Wittenbergk.|| : </t>
        </is>
      </c>
      <c r="O642" t="inlineStr">
        <is>
          <t xml:space="preserve"> : </t>
        </is>
      </c>
      <c r="P642" t="inlineStr">
        <is>
          <t>X</t>
        </is>
      </c>
      <c r="Q642" t="inlineStr"/>
      <c r="R642" t="inlineStr">
        <is>
          <t>Halbledereinband</t>
        </is>
      </c>
      <c r="S642" t="inlineStr">
        <is>
          <t>bis 25 cm</t>
        </is>
      </c>
      <c r="T642" t="inlineStr">
        <is>
          <t>180°</t>
        </is>
      </c>
      <c r="U642" t="inlineStr">
        <is>
          <t>fester Rücken mit Schmuckprägung</t>
        </is>
      </c>
      <c r="V642" t="inlineStr"/>
      <c r="W642" t="inlineStr"/>
      <c r="X642" t="inlineStr"/>
      <c r="Y642" t="n">
        <v>0</v>
      </c>
      <c r="Z642" t="inlineStr"/>
      <c r="AA642" t="inlineStr">
        <is>
          <t>mit Blindmaterial</t>
        </is>
      </c>
      <c r="AB642" t="inlineStr"/>
      <c r="AC642" t="inlineStr"/>
      <c r="AD642" t="inlineStr"/>
      <c r="AE642" t="inlineStr"/>
      <c r="AF642" t="inlineStr"/>
      <c r="AG642" t="inlineStr"/>
      <c r="AH642" t="inlineStr"/>
      <c r="AI642" t="inlineStr"/>
      <c r="AJ642" t="inlineStr"/>
      <c r="AK642" t="inlineStr"/>
      <c r="AL642" t="inlineStr"/>
      <c r="AM642" t="inlineStr"/>
      <c r="AN642" t="inlineStr"/>
      <c r="AO642" t="inlineStr"/>
      <c r="AP642" t="inlineStr"/>
      <c r="AQ642" t="inlineStr"/>
      <c r="AR642" t="inlineStr"/>
      <c r="AS642" t="inlineStr"/>
      <c r="AT642" t="inlineStr"/>
      <c r="AU642" t="inlineStr"/>
      <c r="AV642" t="inlineStr"/>
      <c r="AW642" t="inlineStr"/>
      <c r="AX642" t="inlineStr"/>
      <c r="AY642" t="inlineStr"/>
      <c r="AZ642" t="inlineStr"/>
      <c r="BA642" t="inlineStr"/>
      <c r="BB642" t="inlineStr"/>
      <c r="BC642" t="inlineStr"/>
      <c r="BD642" t="inlineStr"/>
      <c r="BE642" t="inlineStr"/>
      <c r="BF642" t="inlineStr"/>
      <c r="BG642" t="inlineStr"/>
      <c r="BH642" t="inlineStr"/>
      <c r="BI642" t="inlineStr"/>
      <c r="BJ642" t="inlineStr"/>
      <c r="BK642" t="inlineStr"/>
      <c r="BL642" t="inlineStr"/>
      <c r="BM642" t="inlineStr"/>
      <c r="BN642" t="n">
        <v>0</v>
      </c>
      <c r="BO642" t="inlineStr"/>
      <c r="BP642" t="inlineStr"/>
      <c r="BQ642" t="inlineStr"/>
      <c r="BR642" t="inlineStr"/>
      <c r="BS642" t="inlineStr"/>
      <c r="BT642" t="inlineStr"/>
      <c r="BU642" t="inlineStr"/>
      <c r="BV642" t="inlineStr"/>
      <c r="BW642" t="inlineStr"/>
      <c r="BX642" t="inlineStr"/>
      <c r="BY642" t="inlineStr"/>
      <c r="BZ642" t="inlineStr"/>
      <c r="CA642" t="inlineStr"/>
      <c r="CB642" t="inlineStr"/>
      <c r="CC642" t="inlineStr"/>
      <c r="CD642" t="inlineStr"/>
      <c r="CE642" t="inlineStr"/>
      <c r="CF642" t="inlineStr"/>
      <c r="CG642" t="inlineStr"/>
      <c r="CH642" t="inlineStr"/>
      <c r="CI642" t="inlineStr"/>
      <c r="CJ642" t="inlineStr"/>
      <c r="CK642" t="inlineStr"/>
      <c r="CL642" t="inlineStr"/>
      <c r="CM642" t="inlineStr"/>
      <c r="CN642" t="inlineStr"/>
      <c r="CO642" t="inlineStr"/>
      <c r="CP642" t="inlineStr"/>
      <c r="CQ642" t="inlineStr"/>
      <c r="CR642" t="inlineStr"/>
      <c r="CS642" t="inlineStr"/>
      <c r="CT642" t="inlineStr"/>
      <c r="CU642" t="inlineStr"/>
      <c r="CV642" t="inlineStr"/>
      <c r="CW642" t="inlineStr"/>
      <c r="CX642" t="inlineStr"/>
      <c r="CY642" t="inlineStr"/>
      <c r="CZ642" t="inlineStr"/>
      <c r="DA642" t="inlineStr"/>
      <c r="DB642" t="inlineStr"/>
      <c r="DC642" t="inlineStr"/>
      <c r="DD642" t="inlineStr"/>
      <c r="DE642" t="inlineStr"/>
      <c r="DF642" t="inlineStr"/>
      <c r="DG642" t="inlineStr"/>
    </row>
    <row r="643">
      <c r="A643" t="inlineStr">
        <is>
          <t>III</t>
        </is>
      </c>
      <c r="B643" t="b">
        <v>1</v>
      </c>
      <c r="C643" t="inlineStr"/>
      <c r="D643" t="inlineStr"/>
      <c r="E643" t="inlineStr"/>
      <c r="F643">
        <f>HYPERLINK("https://portal.dnb.de/opac.htm?method=simpleSearch&amp;cqlMode=true&amp;query=idn%3D1268674788", "Portal")</f>
        <v/>
      </c>
      <c r="G643" t="inlineStr">
        <is>
          <t>Aa</t>
        </is>
      </c>
      <c r="H643" t="inlineStr">
        <is>
          <t>L-1524-833770225</t>
        </is>
      </c>
      <c r="I643" t="inlineStr">
        <is>
          <t>1268674788</t>
        </is>
      </c>
      <c r="J643" t="inlineStr">
        <is>
          <t>III 69, 31</t>
        </is>
      </c>
      <c r="K643" t="inlineStr">
        <is>
          <t>III 69, 31</t>
        </is>
      </c>
      <c r="L643" t="inlineStr">
        <is>
          <t>III 69, 31</t>
        </is>
      </c>
      <c r="M643" t="inlineStr"/>
      <c r="N643" t="inlineStr">
        <is>
          <t xml:space="preserve">Von Testamẽ=||ten der sterbenden mẽschen/|| wie die geschehen vnd volzogen sol=||len werden nach G#[oe]tlichem ge=||setz/ : </t>
        </is>
      </c>
      <c r="O643" t="inlineStr">
        <is>
          <t xml:space="preserve"> : </t>
        </is>
      </c>
      <c r="P643" t="inlineStr">
        <is>
          <t>X</t>
        </is>
      </c>
      <c r="Q643" t="inlineStr">
        <is>
          <t>500,00 EUR</t>
        </is>
      </c>
      <c r="R643" t="inlineStr">
        <is>
          <t>Gewebeeinband</t>
        </is>
      </c>
      <c r="S643" t="inlineStr">
        <is>
          <t>bis 25 cm</t>
        </is>
      </c>
      <c r="T643" t="inlineStr">
        <is>
          <t>80° bis 110°, einseitig digitalisierbar?</t>
        </is>
      </c>
      <c r="U643" t="inlineStr">
        <is>
          <t>hohler Rücken</t>
        </is>
      </c>
      <c r="V643" t="inlineStr"/>
      <c r="W643" t="inlineStr"/>
      <c r="X643" t="inlineStr">
        <is>
          <t>Signaturfahne austauschen</t>
        </is>
      </c>
      <c r="Y643" t="n">
        <v>0</v>
      </c>
      <c r="Z643" t="inlineStr"/>
      <c r="AA643" t="inlineStr">
        <is>
          <t>mit Blindmaterial</t>
        </is>
      </c>
      <c r="AB643" t="inlineStr"/>
      <c r="AC643" t="inlineStr"/>
      <c r="AD643" t="inlineStr"/>
      <c r="AE643" t="inlineStr"/>
      <c r="AF643" t="inlineStr"/>
      <c r="AG643" t="inlineStr"/>
      <c r="AH643" t="inlineStr"/>
      <c r="AI643" t="inlineStr">
        <is>
          <t>G</t>
        </is>
      </c>
      <c r="AJ643" t="inlineStr"/>
      <c r="AK643" t="inlineStr">
        <is>
          <t>x</t>
        </is>
      </c>
      <c r="AL643" t="inlineStr"/>
      <c r="AM643" t="inlineStr">
        <is>
          <t>h/E</t>
        </is>
      </c>
      <c r="AN643" t="inlineStr"/>
      <c r="AO643" t="inlineStr"/>
      <c r="AP643" t="inlineStr"/>
      <c r="AQ643" t="inlineStr"/>
      <c r="AR643" t="inlineStr"/>
      <c r="AS643" t="inlineStr">
        <is>
          <t>Pa</t>
        </is>
      </c>
      <c r="AT643" t="inlineStr">
        <is>
          <t>x</t>
        </is>
      </c>
      <c r="AU643" t="inlineStr"/>
      <c r="AV643" t="inlineStr"/>
      <c r="AW643" t="inlineStr"/>
      <c r="AX643" t="inlineStr"/>
      <c r="AY643" t="inlineStr"/>
      <c r="AZ643" t="inlineStr"/>
      <c r="BA643" t="inlineStr"/>
      <c r="BB643" t="inlineStr"/>
      <c r="BC643" t="inlineStr"/>
      <c r="BD643" t="inlineStr"/>
      <c r="BE643" t="inlineStr"/>
      <c r="BF643" t="inlineStr"/>
      <c r="BG643" t="n">
        <v>110</v>
      </c>
      <c r="BH643" t="inlineStr"/>
      <c r="BI643" t="inlineStr"/>
      <c r="BJ643" t="inlineStr"/>
      <c r="BK643" t="inlineStr"/>
      <c r="BL643" t="inlineStr"/>
      <c r="BM643" t="inlineStr">
        <is>
          <t>n</t>
        </is>
      </c>
      <c r="BN643" t="n">
        <v>0</v>
      </c>
      <c r="BO643" t="inlineStr"/>
      <c r="BP643" t="inlineStr"/>
      <c r="BQ643" t="inlineStr"/>
      <c r="BR643" t="inlineStr"/>
      <c r="BS643" t="inlineStr"/>
      <c r="BT643" t="inlineStr"/>
      <c r="BU643" t="inlineStr"/>
      <c r="BV643" t="inlineStr">
        <is>
          <t>Schaden stabil</t>
        </is>
      </c>
      <c r="BW643" t="inlineStr"/>
      <c r="BX643" t="inlineStr"/>
      <c r="BY643" t="inlineStr"/>
      <c r="BZ643" t="inlineStr"/>
      <c r="CA643" t="inlineStr"/>
      <c r="CB643" t="inlineStr"/>
      <c r="CC643" t="inlineStr"/>
      <c r="CD643" t="inlineStr"/>
      <c r="CE643" t="inlineStr"/>
      <c r="CF643" t="inlineStr"/>
      <c r="CG643" t="inlineStr"/>
      <c r="CH643" t="inlineStr"/>
      <c r="CI643" t="inlineStr"/>
      <c r="CJ643" t="inlineStr"/>
      <c r="CK643" t="inlineStr"/>
      <c r="CL643" t="inlineStr"/>
      <c r="CM643" t="inlineStr"/>
      <c r="CN643" t="inlineStr"/>
      <c r="CO643" t="inlineStr"/>
      <c r="CP643" t="inlineStr"/>
      <c r="CQ643" t="inlineStr"/>
      <c r="CR643" t="inlineStr"/>
      <c r="CS643" t="inlineStr"/>
      <c r="CT643" t="inlineStr"/>
      <c r="CU643" t="inlineStr"/>
      <c r="CV643" t="inlineStr"/>
      <c r="CW643" t="inlineStr"/>
      <c r="CX643" t="inlineStr"/>
      <c r="CY643" t="inlineStr"/>
      <c r="CZ643" t="inlineStr"/>
      <c r="DA643" t="inlineStr"/>
      <c r="DB643" t="inlineStr"/>
      <c r="DC643" t="inlineStr"/>
      <c r="DD643" t="inlineStr"/>
      <c r="DE643" t="inlineStr"/>
      <c r="DF643" t="inlineStr"/>
      <c r="DG643" t="inlineStr"/>
    </row>
    <row r="644">
      <c r="A644" t="inlineStr">
        <is>
          <t>III</t>
        </is>
      </c>
      <c r="B644" t="b">
        <v>0</v>
      </c>
      <c r="C644" t="inlineStr"/>
      <c r="D644" t="inlineStr"/>
      <c r="E644" t="inlineStr"/>
      <c r="F644">
        <f>HYPERLINK("https://portal.dnb.de/opac.htm?method=simpleSearch&amp;cqlMode=true&amp;query=idn%3D", "Portal")</f>
        <v/>
      </c>
      <c r="G644" t="inlineStr"/>
      <c r="H644" t="inlineStr"/>
      <c r="I644" t="inlineStr"/>
      <c r="J644" t="inlineStr"/>
      <c r="K644" t="inlineStr"/>
      <c r="L644" t="inlineStr">
        <is>
          <t>III 69, 32</t>
        </is>
      </c>
      <c r="M644" t="inlineStr"/>
      <c r="N644" t="inlineStr"/>
      <c r="O644" t="inlineStr"/>
      <c r="P644" t="inlineStr"/>
      <c r="Q644" t="inlineStr"/>
      <c r="R644" t="inlineStr"/>
      <c r="S644" t="inlineStr"/>
      <c r="T644" t="inlineStr"/>
      <c r="U644" t="inlineStr"/>
      <c r="V644" t="inlineStr"/>
      <c r="W644" t="inlineStr">
        <is>
          <t>Archivkarton</t>
        </is>
      </c>
      <c r="X644" t="inlineStr">
        <is>
          <t>Nein</t>
        </is>
      </c>
      <c r="Y644" t="n">
        <v>0</v>
      </c>
      <c r="Z644" t="inlineStr"/>
      <c r="AA644" t="inlineStr">
        <is>
          <t>Band in Ausstellung</t>
        </is>
      </c>
      <c r="AB644" t="inlineStr"/>
      <c r="AC644" t="inlineStr"/>
      <c r="AD644" t="inlineStr">
        <is>
          <t>DA</t>
        </is>
      </c>
      <c r="AE644" t="inlineStr"/>
      <c r="AF644" t="inlineStr"/>
      <c r="AG644" t="inlineStr"/>
      <c r="AH644" t="inlineStr"/>
      <c r="AI644" t="inlineStr"/>
      <c r="AJ644" t="inlineStr"/>
      <c r="AK644" t="inlineStr"/>
      <c r="AL644" t="inlineStr"/>
      <c r="AM644" t="inlineStr"/>
      <c r="AN644" t="inlineStr"/>
      <c r="AO644" t="inlineStr"/>
      <c r="AP644" t="inlineStr"/>
      <c r="AQ644" t="inlineStr"/>
      <c r="AR644" t="inlineStr"/>
      <c r="AS644" t="inlineStr"/>
      <c r="AT644" t="inlineStr"/>
      <c r="AU644" t="inlineStr"/>
      <c r="AV644" t="inlineStr"/>
      <c r="AW644" t="inlineStr"/>
      <c r="AX644" t="inlineStr"/>
      <c r="AY644" t="inlineStr"/>
      <c r="AZ644" t="inlineStr"/>
      <c r="BA644" t="inlineStr"/>
      <c r="BB644" t="inlineStr"/>
      <c r="BC644" t="inlineStr"/>
      <c r="BD644" t="inlineStr"/>
      <c r="BE644" t="inlineStr"/>
      <c r="BF644" t="inlineStr"/>
      <c r="BG644" t="inlineStr"/>
      <c r="BH644" t="inlineStr"/>
      <c r="BI644" t="inlineStr"/>
      <c r="BJ644" t="inlineStr"/>
      <c r="BK644" t="inlineStr"/>
      <c r="BL644" t="inlineStr"/>
      <c r="BM644" t="inlineStr"/>
      <c r="BN644" t="n">
        <v>0</v>
      </c>
      <c r="BO644" t="inlineStr"/>
      <c r="BP644" t="inlineStr"/>
      <c r="BQ644" t="inlineStr"/>
      <c r="BR644" t="inlineStr"/>
      <c r="BS644" t="inlineStr"/>
      <c r="BT644" t="inlineStr"/>
      <c r="BU644" t="inlineStr"/>
      <c r="BV644" t="inlineStr"/>
      <c r="BW644" t="inlineStr"/>
      <c r="BX644" t="inlineStr"/>
      <c r="BY644" t="inlineStr"/>
      <c r="BZ644" t="inlineStr"/>
      <c r="CA644" t="inlineStr"/>
      <c r="CB644" t="inlineStr"/>
      <c r="CC644" t="inlineStr"/>
      <c r="CD644" t="inlineStr"/>
      <c r="CE644" t="inlineStr"/>
      <c r="CF644" t="inlineStr"/>
      <c r="CG644" t="inlineStr"/>
      <c r="CH644" t="inlineStr"/>
      <c r="CI644" t="inlineStr"/>
      <c r="CJ644" t="inlineStr"/>
      <c r="CK644" t="inlineStr"/>
      <c r="CL644" t="inlineStr"/>
      <c r="CM644" t="inlineStr"/>
      <c r="CN644" t="inlineStr"/>
      <c r="CO644" t="inlineStr"/>
      <c r="CP644" t="inlineStr"/>
      <c r="CQ644" t="inlineStr"/>
      <c r="CR644" t="inlineStr"/>
      <c r="CS644" t="inlineStr"/>
      <c r="CT644" t="inlineStr"/>
      <c r="CU644" t="inlineStr"/>
      <c r="CV644" t="inlineStr"/>
      <c r="CW644" t="inlineStr"/>
      <c r="CX644" t="inlineStr"/>
      <c r="CY644" t="inlineStr"/>
      <c r="CZ644" t="inlineStr"/>
      <c r="DA644" t="inlineStr"/>
      <c r="DB644" t="inlineStr"/>
      <c r="DC644" t="inlineStr"/>
      <c r="DD644" t="inlineStr"/>
      <c r="DE644" t="inlineStr"/>
      <c r="DF644" t="inlineStr"/>
      <c r="DG644" t="inlineStr"/>
    </row>
    <row r="645">
      <c r="A645" t="inlineStr">
        <is>
          <t>III</t>
        </is>
      </c>
      <c r="B645" t="b">
        <v>1</v>
      </c>
      <c r="C645" t="inlineStr"/>
      <c r="D645" t="inlineStr"/>
      <c r="E645" t="n">
        <v>711</v>
      </c>
      <c r="F645">
        <f>HYPERLINK("https://portal.dnb.de/opac.htm?method=simpleSearch&amp;cqlMode=true&amp;query=idn%3D997077026", "Portal")</f>
        <v/>
      </c>
      <c r="G645" t="inlineStr">
        <is>
          <t>Aal</t>
        </is>
      </c>
      <c r="H645" t="inlineStr">
        <is>
          <t>L-1557-16331375X</t>
        </is>
      </c>
      <c r="I645" t="inlineStr">
        <is>
          <t>997077026</t>
        </is>
      </c>
      <c r="J645" t="inlineStr">
        <is>
          <t>III 69, 33</t>
        </is>
      </c>
      <c r="K645" t="inlineStr">
        <is>
          <t>III 69, 33</t>
        </is>
      </c>
      <c r="L645" t="inlineStr">
        <is>
          <t>III 69, 33</t>
        </is>
      </c>
      <c r="M645" t="inlineStr"/>
      <c r="N645" t="inlineStr">
        <is>
          <t xml:space="preserve">Schreybkalender aufs M.D.LVII. Jar|| : Darinn der Römische vnd Gemeine Kalender|| sampt den Euangelien|| Festen vnd Erwelungen|| ordentlich angezeygt </t>
        </is>
      </c>
      <c r="O645" t="inlineStr">
        <is>
          <t xml:space="preserve"> : </t>
        </is>
      </c>
      <c r="P645" t="inlineStr">
        <is>
          <t>X</t>
        </is>
      </c>
      <c r="Q645" t="inlineStr"/>
      <c r="R645" t="inlineStr">
        <is>
          <t>Halbpergamentband</t>
        </is>
      </c>
      <c r="S645" t="inlineStr">
        <is>
          <t>bis 25 cm</t>
        </is>
      </c>
      <c r="T645" t="inlineStr">
        <is>
          <t>180°</t>
        </is>
      </c>
      <c r="U645" t="inlineStr">
        <is>
          <t>hohler Rücken</t>
        </is>
      </c>
      <c r="V645" t="inlineStr"/>
      <c r="W645" t="inlineStr"/>
      <c r="X645" t="inlineStr"/>
      <c r="Y645" t="n">
        <v>0</v>
      </c>
      <c r="Z645" t="inlineStr"/>
      <c r="AA645" t="inlineStr"/>
      <c r="AB645" t="inlineStr"/>
      <c r="AC645" t="inlineStr"/>
      <c r="AD645" t="inlineStr"/>
      <c r="AE645" t="inlineStr"/>
      <c r="AF645" t="inlineStr"/>
      <c r="AG645" t="inlineStr"/>
      <c r="AH645" t="inlineStr"/>
      <c r="AI645" t="inlineStr"/>
      <c r="AJ645" t="inlineStr"/>
      <c r="AK645" t="inlineStr"/>
      <c r="AL645" t="inlineStr"/>
      <c r="AM645" t="inlineStr"/>
      <c r="AN645" t="inlineStr"/>
      <c r="AO645" t="inlineStr"/>
      <c r="AP645" t="inlineStr"/>
      <c r="AQ645" t="inlineStr"/>
      <c r="AR645" t="inlineStr"/>
      <c r="AS645" t="inlineStr"/>
      <c r="AT645" t="inlineStr"/>
      <c r="AU645" t="inlineStr"/>
      <c r="AV645" t="inlineStr"/>
      <c r="AW645" t="inlineStr"/>
      <c r="AX645" t="inlineStr"/>
      <c r="AY645" t="inlineStr"/>
      <c r="AZ645" t="inlineStr"/>
      <c r="BA645" t="inlineStr"/>
      <c r="BB645" t="inlineStr"/>
      <c r="BC645" t="inlineStr"/>
      <c r="BD645" t="inlineStr"/>
      <c r="BE645" t="inlineStr"/>
      <c r="BF645" t="inlineStr"/>
      <c r="BG645" t="inlineStr"/>
      <c r="BH645" t="inlineStr"/>
      <c r="BI645" t="inlineStr"/>
      <c r="BJ645" t="inlineStr"/>
      <c r="BK645" t="inlineStr"/>
      <c r="BL645" t="inlineStr"/>
      <c r="BM645" t="inlineStr"/>
      <c r="BN645" t="n">
        <v>0</v>
      </c>
      <c r="BO645" t="inlineStr"/>
      <c r="BP645" t="inlineStr"/>
      <c r="BQ645" t="inlineStr"/>
      <c r="BR645" t="inlineStr"/>
      <c r="BS645" t="inlineStr"/>
      <c r="BT645" t="inlineStr"/>
      <c r="BU645" t="inlineStr"/>
      <c r="BV645" t="inlineStr"/>
      <c r="BW645" t="inlineStr"/>
      <c r="BX645" t="inlineStr"/>
      <c r="BY645" t="inlineStr"/>
      <c r="BZ645" t="inlineStr"/>
      <c r="CA645" t="inlineStr"/>
      <c r="CB645" t="inlineStr"/>
      <c r="CC645" t="inlineStr"/>
      <c r="CD645" t="inlineStr"/>
      <c r="CE645" t="inlineStr"/>
      <c r="CF645" t="inlineStr"/>
      <c r="CG645" t="inlineStr"/>
      <c r="CH645" t="inlineStr"/>
      <c r="CI645" t="inlineStr"/>
      <c r="CJ645" t="inlineStr"/>
      <c r="CK645" t="inlineStr"/>
      <c r="CL645" t="inlineStr"/>
      <c r="CM645" t="inlineStr"/>
      <c r="CN645" t="inlineStr"/>
      <c r="CO645" t="inlineStr"/>
      <c r="CP645" t="inlineStr"/>
      <c r="CQ645" t="inlineStr"/>
      <c r="CR645" t="inlineStr"/>
      <c r="CS645" t="inlineStr"/>
      <c r="CT645" t="inlineStr"/>
      <c r="CU645" t="inlineStr"/>
      <c r="CV645" t="inlineStr"/>
      <c r="CW645" t="inlineStr"/>
      <c r="CX645" t="inlineStr"/>
      <c r="CY645" t="inlineStr"/>
      <c r="CZ645" t="inlineStr"/>
      <c r="DA645" t="inlineStr"/>
      <c r="DB645" t="inlineStr"/>
      <c r="DC645" t="inlineStr"/>
      <c r="DD645" t="inlineStr"/>
      <c r="DE645" t="inlineStr"/>
      <c r="DF645" t="inlineStr"/>
      <c r="DG645" t="inlineStr"/>
    </row>
    <row r="646">
      <c r="A646" t="inlineStr">
        <is>
          <t>III</t>
        </is>
      </c>
      <c r="B646" t="b">
        <v>1</v>
      </c>
      <c r="C646" t="inlineStr">
        <is>
          <t>x</t>
        </is>
      </c>
      <c r="D646" t="inlineStr"/>
      <c r="E646" t="inlineStr"/>
      <c r="F646">
        <f>HYPERLINK("https://portal.dnb.de/opac.htm?method=simpleSearch&amp;cqlMode=true&amp;query=idn%3D1268135534", "Portal")</f>
        <v/>
      </c>
      <c r="G646" t="inlineStr">
        <is>
          <t>Aa</t>
        </is>
      </c>
      <c r="H646" t="inlineStr">
        <is>
          <t>L-1502-822833050</t>
        </is>
      </c>
      <c r="I646" t="inlineStr">
        <is>
          <t>1268135534</t>
        </is>
      </c>
      <c r="J646" t="inlineStr">
        <is>
          <t>III 70, 1</t>
        </is>
      </c>
      <c r="K646" t="inlineStr">
        <is>
          <t>III 70, 1</t>
        </is>
      </c>
      <c r="L646" t="inlineStr">
        <is>
          <t>III 70, 1</t>
        </is>
      </c>
      <c r="M646" t="inlineStr"/>
      <c r="N646" t="inlineStr">
        <is>
          <t xml:space="preserve">Sancte Romane ecclesie fidei defensionis clippeu[m] aduersus walde[n]sium seu pickardoru[m] heresim. certas Germanie Bohemieq[ue] nationes in odiu[m] </t>
        </is>
      </c>
      <c r="O646" t="inlineStr">
        <is>
          <t xml:space="preserve"> : </t>
        </is>
      </c>
      <c r="P646" t="inlineStr"/>
      <c r="Q646" t="inlineStr">
        <is>
          <t>8000,00 EUR</t>
        </is>
      </c>
      <c r="R646" t="inlineStr"/>
      <c r="S646" t="inlineStr">
        <is>
          <t>bis 35 cm</t>
        </is>
      </c>
      <c r="T646" t="inlineStr"/>
      <c r="U646" t="inlineStr"/>
      <c r="V646" t="inlineStr"/>
      <c r="W646" t="inlineStr"/>
      <c r="X646" t="inlineStr"/>
      <c r="Y646" t="inlineStr"/>
      <c r="Z646" t="inlineStr"/>
      <c r="AA646" t="inlineStr"/>
      <c r="AB646" t="inlineStr"/>
      <c r="AC646" t="inlineStr"/>
      <c r="AD646" t="inlineStr"/>
      <c r="AE646" t="inlineStr"/>
      <c r="AF646" t="inlineStr"/>
      <c r="AG646" t="inlineStr"/>
      <c r="AH646" t="inlineStr"/>
      <c r="AI646" t="inlineStr">
        <is>
          <t>HD</t>
        </is>
      </c>
      <c r="AJ646" t="inlineStr"/>
      <c r="AK646" t="inlineStr">
        <is>
          <t>x</t>
        </is>
      </c>
      <c r="AL646" t="inlineStr"/>
      <c r="AM646" t="inlineStr">
        <is>
          <t>f/V</t>
        </is>
      </c>
      <c r="AN646" t="inlineStr"/>
      <c r="AO646" t="inlineStr"/>
      <c r="AP646" t="inlineStr"/>
      <c r="AQ646" t="inlineStr"/>
      <c r="AR646" t="inlineStr"/>
      <c r="AS646" t="inlineStr">
        <is>
          <t>Pa</t>
        </is>
      </c>
      <c r="AT646" t="inlineStr"/>
      <c r="AU646" t="inlineStr"/>
      <c r="AV646" t="inlineStr"/>
      <c r="AW646" t="inlineStr"/>
      <c r="AX646" t="inlineStr"/>
      <c r="AY646" t="inlineStr"/>
      <c r="AZ646" t="inlineStr"/>
      <c r="BA646" t="inlineStr"/>
      <c r="BB646" t="inlineStr"/>
      <c r="BC646" t="inlineStr"/>
      <c r="BD646" t="inlineStr"/>
      <c r="BE646" t="inlineStr"/>
      <c r="BF646" t="inlineStr"/>
      <c r="BG646" t="n">
        <v>45</v>
      </c>
      <c r="BH646" t="inlineStr"/>
      <c r="BI646" t="inlineStr"/>
      <c r="BJ646" t="inlineStr"/>
      <c r="BK646" t="inlineStr"/>
      <c r="BL646" t="inlineStr"/>
      <c r="BM646" t="inlineStr">
        <is>
          <t>ja vor</t>
        </is>
      </c>
      <c r="BN646" t="n">
        <v>6</v>
      </c>
      <c r="BO646" t="inlineStr"/>
      <c r="BP646" t="inlineStr"/>
      <c r="BQ646" t="inlineStr"/>
      <c r="BR646" t="inlineStr">
        <is>
          <t>x</t>
        </is>
      </c>
      <c r="BS646" t="inlineStr"/>
      <c r="BT646" t="inlineStr"/>
      <c r="BU646" t="inlineStr"/>
      <c r="BV646" t="inlineStr"/>
      <c r="BW646" t="inlineStr"/>
      <c r="BX646" t="inlineStr"/>
      <c r="BY646" t="inlineStr"/>
      <c r="BZ646" t="inlineStr">
        <is>
          <t>x</t>
        </is>
      </c>
      <c r="CA646" t="inlineStr">
        <is>
          <t>x</t>
        </is>
      </c>
      <c r="CB646" t="inlineStr">
        <is>
          <t>x</t>
        </is>
      </c>
      <c r="CC646" t="inlineStr"/>
      <c r="CD646" t="inlineStr">
        <is>
          <t>v/h</t>
        </is>
      </c>
      <c r="CE646" t="n">
        <v>3</v>
      </c>
      <c r="CF646" t="inlineStr"/>
      <c r="CG646" t="inlineStr"/>
      <c r="CH646" t="inlineStr"/>
      <c r="CI646" t="inlineStr"/>
      <c r="CJ646" t="inlineStr"/>
      <c r="CK646" t="inlineStr"/>
      <c r="CL646" t="inlineStr"/>
      <c r="CM646" t="n">
        <v>6</v>
      </c>
      <c r="CN646" t="inlineStr">
        <is>
          <t>am ehesten Gelenke mit JP+Gewebe unterlegen (Bünde selbst nicht stabilisieren), ob Leder sich gut anheben lässt?, am Rücken die Kapitale sichern durch überkleben mit JP</t>
        </is>
      </c>
      <c r="CO646" t="inlineStr"/>
      <c r="CP646" t="inlineStr"/>
      <c r="CQ646" t="inlineStr"/>
      <c r="CR646" t="inlineStr"/>
      <c r="CS646" t="inlineStr"/>
      <c r="CT646" t="inlineStr"/>
      <c r="CU646" t="inlineStr"/>
      <c r="CV646" t="inlineStr"/>
      <c r="CW646" t="inlineStr"/>
      <c r="CX646" t="inlineStr"/>
      <c r="CY646" t="inlineStr"/>
      <c r="CZ646" t="inlineStr"/>
      <c r="DA646" t="inlineStr"/>
      <c r="DB646" t="inlineStr"/>
      <c r="DC646" t="inlineStr"/>
      <c r="DD646" t="inlineStr"/>
      <c r="DE646" t="inlineStr"/>
      <c r="DF646" t="inlineStr"/>
      <c r="DG646" t="inlineStr"/>
    </row>
    <row r="647">
      <c r="A647" t="inlineStr">
        <is>
          <t>III</t>
        </is>
      </c>
      <c r="B647" t="b">
        <v>1</v>
      </c>
      <c r="C647" t="inlineStr"/>
      <c r="D647" t="inlineStr"/>
      <c r="E647" t="n">
        <v>729</v>
      </c>
      <c r="F647">
        <f>HYPERLINK("https://portal.dnb.de/opac.htm?method=simpleSearch&amp;cqlMode=true&amp;query=idn%3D1066962448", "Portal")</f>
        <v/>
      </c>
      <c r="G647" t="inlineStr">
        <is>
          <t>Aaf</t>
        </is>
      </c>
      <c r="H647" t="inlineStr">
        <is>
          <t>L-1518-315492805</t>
        </is>
      </c>
      <c r="I647" t="inlineStr">
        <is>
          <t>1066962448</t>
        </is>
      </c>
      <c r="J647" t="inlineStr">
        <is>
          <t>III 71, 1</t>
        </is>
      </c>
      <c r="K647" t="inlineStr">
        <is>
          <t>III 71, 1</t>
        </is>
      </c>
      <c r="L647" t="inlineStr">
        <is>
          <t>III 71, 1</t>
        </is>
      </c>
      <c r="M647" t="inlineStr"/>
      <c r="N647" t="inlineStr">
        <is>
          <t xml:space="preserve">CALENDARIVM|| ROMANVM MA/||gnum, Caesaree maiestati dicatum, D.Ioanne|| Stoeffler iustingensi Mathematico|| authore.|| ...|| : </t>
        </is>
      </c>
      <c r="O647" t="inlineStr">
        <is>
          <t xml:space="preserve"> : </t>
        </is>
      </c>
      <c r="P647" t="inlineStr"/>
      <c r="Q647" t="inlineStr"/>
      <c r="R647" t="inlineStr"/>
      <c r="S647" t="inlineStr"/>
      <c r="T647" t="inlineStr"/>
      <c r="U647" t="inlineStr"/>
      <c r="V647" t="inlineStr"/>
      <c r="W647" t="inlineStr"/>
      <c r="X647" t="inlineStr"/>
      <c r="Y647" t="inlineStr"/>
      <c r="Z647" t="inlineStr"/>
      <c r="AA647" t="inlineStr"/>
      <c r="AB647" t="inlineStr"/>
      <c r="AC647" t="inlineStr"/>
      <c r="AD647" t="inlineStr"/>
      <c r="AE647" t="inlineStr"/>
      <c r="AF647" t="inlineStr"/>
      <c r="AG647" t="inlineStr"/>
      <c r="AH647" t="inlineStr"/>
      <c r="AI647" t="inlineStr"/>
      <c r="AJ647" t="inlineStr"/>
      <c r="AK647" t="inlineStr"/>
      <c r="AL647" t="inlineStr"/>
      <c r="AM647" t="inlineStr"/>
      <c r="AN647" t="inlineStr"/>
      <c r="AO647" t="inlineStr"/>
      <c r="AP647" t="inlineStr"/>
      <c r="AQ647" t="inlineStr"/>
      <c r="AR647" t="inlineStr"/>
      <c r="AS647" t="inlineStr"/>
      <c r="AT647" t="inlineStr"/>
      <c r="AU647" t="inlineStr"/>
      <c r="AV647" t="inlineStr"/>
      <c r="AW647" t="inlineStr"/>
      <c r="AX647" t="inlineStr"/>
      <c r="AY647" t="inlineStr"/>
      <c r="AZ647" t="inlineStr"/>
      <c r="BA647" t="inlineStr"/>
      <c r="BB647" t="inlineStr"/>
      <c r="BC647" t="inlineStr"/>
      <c r="BD647" t="inlineStr"/>
      <c r="BE647" t="inlineStr"/>
      <c r="BF647" t="inlineStr"/>
      <c r="BG647" t="inlineStr"/>
      <c r="BH647" t="inlineStr"/>
      <c r="BI647" t="inlineStr"/>
      <c r="BJ647" t="inlineStr"/>
      <c r="BK647" t="inlineStr"/>
      <c r="BL647" t="inlineStr"/>
      <c r="BM647" t="inlineStr"/>
      <c r="BN647" t="n">
        <v>0</v>
      </c>
      <c r="BO647" t="inlineStr"/>
      <c r="BP647" t="inlineStr"/>
      <c r="BQ647" t="inlineStr"/>
      <c r="BR647" t="inlineStr"/>
      <c r="BS647" t="inlineStr"/>
      <c r="BT647" t="inlineStr"/>
      <c r="BU647" t="inlineStr"/>
      <c r="BV647" t="inlineStr"/>
      <c r="BW647" t="inlineStr"/>
      <c r="BX647" t="inlineStr"/>
      <c r="BY647" t="inlineStr"/>
      <c r="BZ647" t="inlineStr"/>
      <c r="CA647" t="inlineStr"/>
      <c r="CB647" t="inlineStr"/>
      <c r="CC647" t="inlineStr"/>
      <c r="CD647" t="inlineStr"/>
      <c r="CE647" t="inlineStr"/>
      <c r="CF647" t="inlineStr"/>
      <c r="CG647" t="inlineStr"/>
      <c r="CH647" t="inlineStr"/>
      <c r="CI647" t="inlineStr"/>
      <c r="CJ647" t="inlineStr"/>
      <c r="CK647" t="inlineStr"/>
      <c r="CL647" t="inlineStr"/>
      <c r="CM647" t="inlineStr"/>
      <c r="CN647" t="inlineStr"/>
      <c r="CO647" t="inlineStr"/>
      <c r="CP647" t="inlineStr"/>
      <c r="CQ647" t="inlineStr"/>
      <c r="CR647" t="inlineStr"/>
      <c r="CS647" t="inlineStr"/>
      <c r="CT647" t="inlineStr"/>
      <c r="CU647" t="inlineStr"/>
      <c r="CV647" t="inlineStr"/>
      <c r="CW647" t="inlineStr"/>
      <c r="CX647" t="inlineStr"/>
      <c r="CY647" t="inlineStr"/>
      <c r="CZ647" t="inlineStr"/>
      <c r="DA647" t="inlineStr"/>
      <c r="DB647" t="inlineStr"/>
      <c r="DC647" t="inlineStr"/>
      <c r="DD647" t="inlineStr"/>
      <c r="DE647" t="inlineStr"/>
      <c r="DF647" t="inlineStr"/>
      <c r="DG647" t="inlineStr"/>
    </row>
    <row r="648">
      <c r="A648" t="inlineStr">
        <is>
          <t>III</t>
        </is>
      </c>
      <c r="B648" t="b">
        <v>1</v>
      </c>
      <c r="C648" t="inlineStr"/>
      <c r="D648" t="inlineStr"/>
      <c r="E648" t="n">
        <v>730</v>
      </c>
      <c r="F648">
        <f>HYPERLINK("https://portal.dnb.de/opac.htm?method=simpleSearch&amp;cqlMode=true&amp;query=idn%3D106676882X", "Portal")</f>
        <v/>
      </c>
      <c r="G648" t="inlineStr">
        <is>
          <t>Aaf</t>
        </is>
      </c>
      <c r="H648" t="inlineStr">
        <is>
          <t>L-1518-315191333</t>
        </is>
      </c>
      <c r="I648" t="inlineStr">
        <is>
          <t>106676882X</t>
        </is>
      </c>
      <c r="J648" t="inlineStr">
        <is>
          <t>III 72, 1</t>
        </is>
      </c>
      <c r="K648" t="inlineStr">
        <is>
          <t>III 72, 1</t>
        </is>
      </c>
      <c r="L648" t="inlineStr">
        <is>
          <t>III 72, 1</t>
        </is>
      </c>
      <c r="M648" t="inlineStr"/>
      <c r="N648" t="inlineStr">
        <is>
          <t xml:space="preserve">Opus toti christiane reipublice maxime utile, de arcanis catholice ueritatis, contra obstinatissimam Iudeorum nostre tempestatis perfidiam ex Talmud, </t>
        </is>
      </c>
      <c r="O648" t="inlineStr">
        <is>
          <t xml:space="preserve"> : </t>
        </is>
      </c>
      <c r="P648" t="inlineStr"/>
      <c r="Q648" t="inlineStr"/>
      <c r="R648" t="inlineStr"/>
      <c r="S648" t="inlineStr"/>
      <c r="T648" t="inlineStr"/>
      <c r="U648" t="inlineStr"/>
      <c r="V648" t="inlineStr"/>
      <c r="W648" t="inlineStr"/>
      <c r="X648" t="inlineStr"/>
      <c r="Y648" t="inlineStr"/>
      <c r="Z648" t="inlineStr"/>
      <c r="AA648" t="inlineStr"/>
      <c r="AB648" t="inlineStr"/>
      <c r="AC648" t="inlineStr"/>
      <c r="AD648" t="inlineStr"/>
      <c r="AE648" t="inlineStr"/>
      <c r="AF648" t="inlineStr"/>
      <c r="AG648" t="inlineStr"/>
      <c r="AH648" t="inlineStr"/>
      <c r="AI648" t="inlineStr"/>
      <c r="AJ648" t="inlineStr"/>
      <c r="AK648" t="inlineStr"/>
      <c r="AL648" t="inlineStr"/>
      <c r="AM648" t="inlineStr"/>
      <c r="AN648" t="inlineStr"/>
      <c r="AO648" t="inlineStr"/>
      <c r="AP648" t="inlineStr"/>
      <c r="AQ648" t="inlineStr"/>
      <c r="AR648" t="inlineStr"/>
      <c r="AS648" t="inlineStr"/>
      <c r="AT648" t="inlineStr"/>
      <c r="AU648" t="inlineStr"/>
      <c r="AV648" t="inlineStr"/>
      <c r="AW648" t="inlineStr"/>
      <c r="AX648" t="inlineStr"/>
      <c r="AY648" t="inlineStr"/>
      <c r="AZ648" t="inlineStr"/>
      <c r="BA648" t="inlineStr"/>
      <c r="BB648" t="inlineStr"/>
      <c r="BC648" t="inlineStr"/>
      <c r="BD648" t="inlineStr"/>
      <c r="BE648" t="inlineStr"/>
      <c r="BF648" t="inlineStr"/>
      <c r="BG648" t="inlineStr"/>
      <c r="BH648" t="inlineStr"/>
      <c r="BI648" t="inlineStr"/>
      <c r="BJ648" t="inlineStr"/>
      <c r="BK648" t="inlineStr"/>
      <c r="BL648" t="inlineStr"/>
      <c r="BM648" t="inlineStr"/>
      <c r="BN648" t="n">
        <v>0</v>
      </c>
      <c r="BO648" t="inlineStr"/>
      <c r="BP648" t="inlineStr"/>
      <c r="BQ648" t="inlineStr"/>
      <c r="BR648" t="inlineStr"/>
      <c r="BS648" t="inlineStr"/>
      <c r="BT648" t="inlineStr"/>
      <c r="BU648" t="inlineStr"/>
      <c r="BV648" t="inlineStr"/>
      <c r="BW648" t="inlineStr"/>
      <c r="BX648" t="inlineStr"/>
      <c r="BY648" t="inlineStr"/>
      <c r="BZ648" t="inlineStr"/>
      <c r="CA648" t="inlineStr"/>
      <c r="CB648" t="inlineStr"/>
      <c r="CC648" t="inlineStr"/>
      <c r="CD648" t="inlineStr"/>
      <c r="CE648" t="inlineStr"/>
      <c r="CF648" t="inlineStr"/>
      <c r="CG648" t="inlineStr"/>
      <c r="CH648" t="inlineStr"/>
      <c r="CI648" t="inlineStr"/>
      <c r="CJ648" t="inlineStr"/>
      <c r="CK648" t="inlineStr"/>
      <c r="CL648" t="inlineStr"/>
      <c r="CM648" t="inlineStr"/>
      <c r="CN648" t="inlineStr"/>
      <c r="CO648" t="inlineStr"/>
      <c r="CP648" t="inlineStr"/>
      <c r="CQ648" t="inlineStr"/>
      <c r="CR648" t="inlineStr"/>
      <c r="CS648" t="inlineStr"/>
      <c r="CT648" t="inlineStr"/>
      <c r="CU648" t="inlineStr"/>
      <c r="CV648" t="inlineStr"/>
      <c r="CW648" t="inlineStr"/>
      <c r="CX648" t="inlineStr"/>
      <c r="CY648" t="inlineStr"/>
      <c r="CZ648" t="inlineStr"/>
      <c r="DA648" t="inlineStr"/>
      <c r="DB648" t="inlineStr"/>
      <c r="DC648" t="inlineStr"/>
      <c r="DD648" t="inlineStr"/>
      <c r="DE648" t="inlineStr"/>
      <c r="DF648" t="inlineStr"/>
      <c r="DG648" t="inlineStr"/>
    </row>
    <row r="649">
      <c r="A649" t="inlineStr">
        <is>
          <t>III</t>
        </is>
      </c>
      <c r="B649" t="b">
        <v>1</v>
      </c>
      <c r="C649" t="inlineStr"/>
      <c r="D649" t="inlineStr"/>
      <c r="E649" t="n">
        <v>1205</v>
      </c>
      <c r="F649">
        <f>HYPERLINK("https://portal.dnb.de/opac.htm?method=simpleSearch&amp;cqlMode=true&amp;query=idn%3D996697721", "Portal")</f>
        <v/>
      </c>
      <c r="G649" t="inlineStr">
        <is>
          <t>Aal</t>
        </is>
      </c>
      <c r="H649" t="inlineStr">
        <is>
          <t>L-1516-162612133</t>
        </is>
      </c>
      <c r="I649" t="inlineStr">
        <is>
          <t>996697721</t>
        </is>
      </c>
      <c r="J649" t="inlineStr">
        <is>
          <t>III 73A, 1</t>
        </is>
      </c>
      <c r="K649" t="inlineStr">
        <is>
          <t>III 73A, 1</t>
        </is>
      </c>
      <c r="L649" t="inlineStr">
        <is>
          <t>III 73 A, 1</t>
        </is>
      </c>
      <c r="M649" t="inlineStr"/>
      <c r="N649" t="inlineStr">
        <is>
          <t>Francisci Marii Grapaldi: poetae Laureati : de Partibus Aedium: Addita|| modo: Verborum explicatione: Quae in eodem libro: continen||tur: ...</t>
        </is>
      </c>
      <c r="O649" t="inlineStr">
        <is>
          <t xml:space="preserve"> : </t>
        </is>
      </c>
      <c r="P649" t="inlineStr">
        <is>
          <t>X</t>
        </is>
      </c>
      <c r="Q649" t="inlineStr"/>
      <c r="R649" t="inlineStr">
        <is>
          <t>Halbpergamentband</t>
        </is>
      </c>
      <c r="S649" t="inlineStr">
        <is>
          <t>bis 25 cm</t>
        </is>
      </c>
      <c r="T649" t="inlineStr">
        <is>
          <t>180°</t>
        </is>
      </c>
      <c r="U649" t="inlineStr">
        <is>
          <t>hohler Rücken, gefaltete Blätter</t>
        </is>
      </c>
      <c r="V649" t="inlineStr"/>
      <c r="W649" t="inlineStr"/>
      <c r="X649" t="inlineStr"/>
      <c r="Y649" t="n">
        <v>0</v>
      </c>
      <c r="Z649" t="inlineStr"/>
      <c r="AA649" t="inlineStr"/>
      <c r="AB649" t="inlineStr"/>
      <c r="AC649" t="inlineStr"/>
      <c r="AD649" t="inlineStr"/>
      <c r="AE649" t="inlineStr"/>
      <c r="AF649" t="inlineStr"/>
      <c r="AG649" t="inlineStr"/>
      <c r="AH649" t="inlineStr"/>
      <c r="AI649" t="inlineStr"/>
      <c r="AJ649" t="inlineStr"/>
      <c r="AK649" t="inlineStr"/>
      <c r="AL649" t="inlineStr"/>
      <c r="AM649" t="inlineStr"/>
      <c r="AN649" t="inlineStr"/>
      <c r="AO649" t="inlineStr"/>
      <c r="AP649" t="inlineStr"/>
      <c r="AQ649" t="inlineStr"/>
      <c r="AR649" t="inlineStr"/>
      <c r="AS649" t="inlineStr"/>
      <c r="AT649" t="inlineStr"/>
      <c r="AU649" t="inlineStr"/>
      <c r="AV649" t="inlineStr"/>
      <c r="AW649" t="inlineStr"/>
      <c r="AX649" t="inlineStr"/>
      <c r="AY649" t="inlineStr"/>
      <c r="AZ649" t="inlineStr"/>
      <c r="BA649" t="inlineStr"/>
      <c r="BB649" t="inlineStr"/>
      <c r="BC649" t="inlineStr"/>
      <c r="BD649" t="inlineStr"/>
      <c r="BE649" t="inlineStr"/>
      <c r="BF649" t="inlineStr"/>
      <c r="BG649" t="inlineStr"/>
      <c r="BH649" t="inlineStr"/>
      <c r="BI649" t="inlineStr"/>
      <c r="BJ649" t="inlineStr"/>
      <c r="BK649" t="inlineStr"/>
      <c r="BL649" t="inlineStr"/>
      <c r="BM649" t="inlineStr"/>
      <c r="BN649" t="n">
        <v>0</v>
      </c>
      <c r="BO649" t="inlineStr"/>
      <c r="BP649" t="inlineStr"/>
      <c r="BQ649" t="inlineStr"/>
      <c r="BR649" t="inlineStr"/>
      <c r="BS649" t="inlineStr"/>
      <c r="BT649" t="inlineStr"/>
      <c r="BU649" t="inlineStr"/>
      <c r="BV649" t="inlineStr"/>
      <c r="BW649" t="inlineStr"/>
      <c r="BX649" t="inlineStr"/>
      <c r="BY649" t="inlineStr"/>
      <c r="BZ649" t="inlineStr"/>
      <c r="CA649" t="inlineStr"/>
      <c r="CB649" t="inlineStr"/>
      <c r="CC649" t="inlineStr"/>
      <c r="CD649" t="inlineStr"/>
      <c r="CE649" t="inlineStr"/>
      <c r="CF649" t="inlineStr"/>
      <c r="CG649" t="inlineStr"/>
      <c r="CH649" t="inlineStr"/>
      <c r="CI649" t="inlineStr"/>
      <c r="CJ649" t="inlineStr"/>
      <c r="CK649" t="inlineStr"/>
      <c r="CL649" t="inlineStr"/>
      <c r="CM649" t="inlineStr"/>
      <c r="CN649" t="inlineStr"/>
      <c r="CO649" t="inlineStr"/>
      <c r="CP649" t="inlineStr"/>
      <c r="CQ649" t="inlineStr"/>
      <c r="CR649" t="inlineStr"/>
      <c r="CS649" t="inlineStr"/>
      <c r="CT649" t="inlineStr"/>
      <c r="CU649" t="inlineStr"/>
      <c r="CV649" t="inlineStr"/>
      <c r="CW649" t="inlineStr"/>
      <c r="CX649" t="inlineStr"/>
      <c r="CY649" t="inlineStr"/>
      <c r="CZ649" t="inlineStr"/>
      <c r="DA649" t="inlineStr"/>
      <c r="DB649" t="inlineStr"/>
      <c r="DC649" t="inlineStr"/>
      <c r="DD649" t="inlineStr"/>
      <c r="DE649" t="inlineStr"/>
      <c r="DF649" t="inlineStr"/>
      <c r="DG649" t="inlineStr"/>
    </row>
    <row r="650">
      <c r="A650" t="inlineStr">
        <is>
          <t>III</t>
        </is>
      </c>
      <c r="B650" t="b">
        <v>1</v>
      </c>
      <c r="C650" t="inlineStr"/>
      <c r="D650" t="inlineStr"/>
      <c r="E650" t="n">
        <v>731</v>
      </c>
      <c r="F650">
        <f>HYPERLINK("https://portal.dnb.de/opac.htm?method=simpleSearch&amp;cqlMode=true&amp;query=idn%3D1066763372", "Portal")</f>
        <v/>
      </c>
      <c r="G650" t="inlineStr">
        <is>
          <t>Aaf</t>
        </is>
      </c>
      <c r="H650" t="inlineStr">
        <is>
          <t>L-1502-315186100</t>
        </is>
      </c>
      <c r="I650" t="inlineStr">
        <is>
          <t>1066763372</t>
        </is>
      </c>
      <c r="J650" t="inlineStr">
        <is>
          <t>III 73, 1</t>
        </is>
      </c>
      <c r="K650" t="inlineStr">
        <is>
          <t>III 73, 1</t>
        </is>
      </c>
      <c r="L650" t="inlineStr">
        <is>
          <t>III 73, 1</t>
        </is>
      </c>
      <c r="M650" t="inlineStr"/>
      <c r="N650" t="inlineStr">
        <is>
          <t>Baptiste Mantuani Bucolica : seu adolescentia in decem aeglogas divisa</t>
        </is>
      </c>
      <c r="O650" t="inlineStr">
        <is>
          <t xml:space="preserve"> : </t>
        </is>
      </c>
      <c r="P650" t="inlineStr"/>
      <c r="Q650" t="inlineStr"/>
      <c r="R650" t="inlineStr"/>
      <c r="S650" t="inlineStr"/>
      <c r="T650" t="inlineStr"/>
      <c r="U650" t="inlineStr"/>
      <c r="V650" t="inlineStr"/>
      <c r="W650" t="inlineStr"/>
      <c r="X650" t="inlineStr"/>
      <c r="Y650" t="inlineStr"/>
      <c r="Z650" t="inlineStr"/>
      <c r="AA650" t="inlineStr"/>
      <c r="AB650" t="inlineStr"/>
      <c r="AC650" t="inlineStr"/>
      <c r="AD650" t="inlineStr"/>
      <c r="AE650" t="inlineStr"/>
      <c r="AF650" t="inlineStr"/>
      <c r="AG650" t="inlineStr"/>
      <c r="AH650" t="inlineStr"/>
      <c r="AI650" t="inlineStr"/>
      <c r="AJ650" t="inlineStr"/>
      <c r="AK650" t="inlineStr"/>
      <c r="AL650" t="inlineStr"/>
      <c r="AM650" t="inlineStr"/>
      <c r="AN650" t="inlineStr"/>
      <c r="AO650" t="inlineStr"/>
      <c r="AP650" t="inlineStr"/>
      <c r="AQ650" t="inlineStr"/>
      <c r="AR650" t="inlineStr"/>
      <c r="AS650" t="inlineStr"/>
      <c r="AT650" t="inlineStr"/>
      <c r="AU650" t="inlineStr"/>
      <c r="AV650" t="inlineStr"/>
      <c r="AW650" t="inlineStr"/>
      <c r="AX650" t="inlineStr"/>
      <c r="AY650" t="inlineStr"/>
      <c r="AZ650" t="inlineStr"/>
      <c r="BA650" t="inlineStr"/>
      <c r="BB650" t="inlineStr"/>
      <c r="BC650" t="inlineStr"/>
      <c r="BD650" t="inlineStr"/>
      <c r="BE650" t="inlineStr"/>
      <c r="BF650" t="inlineStr"/>
      <c r="BG650" t="inlineStr"/>
      <c r="BH650" t="inlineStr"/>
      <c r="BI650" t="inlineStr"/>
      <c r="BJ650" t="inlineStr"/>
      <c r="BK650" t="inlineStr"/>
      <c r="BL650" t="inlineStr"/>
      <c r="BM650" t="inlineStr"/>
      <c r="BN650" t="n">
        <v>0</v>
      </c>
      <c r="BO650" t="inlineStr"/>
      <c r="BP650" t="inlineStr"/>
      <c r="BQ650" t="inlineStr"/>
      <c r="BR650" t="inlineStr"/>
      <c r="BS650" t="inlineStr"/>
      <c r="BT650" t="inlineStr"/>
      <c r="BU650" t="inlineStr"/>
      <c r="BV650" t="inlineStr"/>
      <c r="BW650" t="inlineStr"/>
      <c r="BX650" t="inlineStr"/>
      <c r="BY650" t="inlineStr"/>
      <c r="BZ650" t="inlineStr"/>
      <c r="CA650" t="inlineStr"/>
      <c r="CB650" t="inlineStr"/>
      <c r="CC650" t="inlineStr"/>
      <c r="CD650" t="inlineStr"/>
      <c r="CE650" t="inlineStr"/>
      <c r="CF650" t="inlineStr"/>
      <c r="CG650" t="inlineStr"/>
      <c r="CH650" t="inlineStr"/>
      <c r="CI650" t="inlineStr"/>
      <c r="CJ650" t="inlineStr"/>
      <c r="CK650" t="inlineStr"/>
      <c r="CL650" t="inlineStr"/>
      <c r="CM650" t="inlineStr"/>
      <c r="CN650" t="inlineStr"/>
      <c r="CO650" t="inlineStr"/>
      <c r="CP650" t="inlineStr"/>
      <c r="CQ650" t="inlineStr"/>
      <c r="CR650" t="inlineStr"/>
      <c r="CS650" t="inlineStr"/>
      <c r="CT650" t="inlineStr"/>
      <c r="CU650" t="inlineStr"/>
      <c r="CV650" t="inlineStr"/>
      <c r="CW650" t="inlineStr"/>
      <c r="CX650" t="inlineStr"/>
      <c r="CY650" t="inlineStr"/>
      <c r="CZ650" t="inlineStr"/>
      <c r="DA650" t="inlineStr"/>
      <c r="DB650" t="inlineStr"/>
      <c r="DC650" t="inlineStr"/>
      <c r="DD650" t="inlineStr"/>
      <c r="DE650" t="inlineStr"/>
      <c r="DF650" t="inlineStr"/>
      <c r="DG650" t="inlineStr"/>
    </row>
    <row r="651">
      <c r="A651" t="inlineStr">
        <is>
          <t>III</t>
        </is>
      </c>
      <c r="B651" t="b">
        <v>1</v>
      </c>
      <c r="C651" t="inlineStr"/>
      <c r="D651" t="inlineStr"/>
      <c r="E651" t="n">
        <v>732</v>
      </c>
      <c r="F651">
        <f>HYPERLINK("https://portal.dnb.de/opac.htm?method=simpleSearch&amp;cqlMode=true&amp;query=idn%3D1066835012", "Portal")</f>
        <v/>
      </c>
      <c r="G651" t="inlineStr">
        <is>
          <t>Aaf</t>
        </is>
      </c>
      <c r="H651" t="inlineStr">
        <is>
          <t>L-1514-315294973</t>
        </is>
      </c>
      <c r="I651" t="inlineStr">
        <is>
          <t>1066835012</t>
        </is>
      </c>
      <c r="J651" t="inlineStr">
        <is>
          <t>III 73, 2</t>
        </is>
      </c>
      <c r="K651" t="inlineStr">
        <is>
          <t>III 73, 2</t>
        </is>
      </c>
      <c r="L651" t="inlineStr">
        <is>
          <t>III 73, 2</t>
        </is>
      </c>
      <c r="M651" t="inlineStr"/>
      <c r="N651" t="inlineStr">
        <is>
          <t>Danorum Regum heroumque historiae stilo elegantia Saxone Grammatico natione Sialandico necnon Roskildensis ecclesie preposito : abbinc supra trecentos</t>
        </is>
      </c>
      <c r="O651" t="inlineStr">
        <is>
          <t xml:space="preserve"> : </t>
        </is>
      </c>
      <c r="P651" t="inlineStr"/>
      <c r="Q651" t="inlineStr"/>
      <c r="R651" t="inlineStr"/>
      <c r="S651" t="inlineStr"/>
      <c r="T651" t="inlineStr"/>
      <c r="U651" t="inlineStr"/>
      <c r="V651" t="inlineStr"/>
      <c r="W651" t="inlineStr"/>
      <c r="X651" t="inlineStr"/>
      <c r="Y651" t="inlineStr"/>
      <c r="Z651" t="inlineStr"/>
      <c r="AA651" t="inlineStr"/>
      <c r="AB651" t="inlineStr"/>
      <c r="AC651" t="inlineStr"/>
      <c r="AD651" t="inlineStr"/>
      <c r="AE651" t="inlineStr"/>
      <c r="AF651" t="inlineStr"/>
      <c r="AG651" t="inlineStr"/>
      <c r="AH651" t="inlineStr"/>
      <c r="AI651" t="inlineStr"/>
      <c r="AJ651" t="inlineStr"/>
      <c r="AK651" t="inlineStr"/>
      <c r="AL651" t="inlineStr"/>
      <c r="AM651" t="inlineStr"/>
      <c r="AN651" t="inlineStr"/>
      <c r="AO651" t="inlineStr"/>
      <c r="AP651" t="inlineStr"/>
      <c r="AQ651" t="inlineStr"/>
      <c r="AR651" t="inlineStr"/>
      <c r="AS651" t="inlineStr"/>
      <c r="AT651" t="inlineStr"/>
      <c r="AU651" t="inlineStr"/>
      <c r="AV651" t="inlineStr"/>
      <c r="AW651" t="inlineStr"/>
      <c r="AX651" t="inlineStr"/>
      <c r="AY651" t="inlineStr"/>
      <c r="AZ651" t="inlineStr"/>
      <c r="BA651" t="inlineStr"/>
      <c r="BB651" t="inlineStr"/>
      <c r="BC651" t="inlineStr"/>
      <c r="BD651" t="inlineStr"/>
      <c r="BE651" t="inlineStr"/>
      <c r="BF651" t="inlineStr"/>
      <c r="BG651" t="inlineStr"/>
      <c r="BH651" t="inlineStr"/>
      <c r="BI651" t="inlineStr"/>
      <c r="BJ651" t="inlineStr"/>
      <c r="BK651" t="inlineStr"/>
      <c r="BL651" t="inlineStr"/>
      <c r="BM651" t="inlineStr"/>
      <c r="BN651" t="n">
        <v>0</v>
      </c>
      <c r="BO651" t="inlineStr"/>
      <c r="BP651" t="inlineStr"/>
      <c r="BQ651" t="inlineStr"/>
      <c r="BR651" t="inlineStr"/>
      <c r="BS651" t="inlineStr"/>
      <c r="BT651" t="inlineStr"/>
      <c r="BU651" t="inlineStr"/>
      <c r="BV651" t="inlineStr"/>
      <c r="BW651" t="inlineStr"/>
      <c r="BX651" t="inlineStr"/>
      <c r="BY651" t="inlineStr"/>
      <c r="BZ651" t="inlineStr"/>
      <c r="CA651" t="inlineStr"/>
      <c r="CB651" t="inlineStr"/>
      <c r="CC651" t="inlineStr"/>
      <c r="CD651" t="inlineStr"/>
      <c r="CE651" t="inlineStr"/>
      <c r="CF651" t="inlineStr"/>
      <c r="CG651" t="inlineStr"/>
      <c r="CH651" t="inlineStr"/>
      <c r="CI651" t="inlineStr"/>
      <c r="CJ651" t="inlineStr"/>
      <c r="CK651" t="inlineStr"/>
      <c r="CL651" t="inlineStr"/>
      <c r="CM651" t="inlineStr"/>
      <c r="CN651" t="inlineStr"/>
      <c r="CO651" t="inlineStr"/>
      <c r="CP651" t="inlineStr"/>
      <c r="CQ651" t="inlineStr"/>
      <c r="CR651" t="inlineStr"/>
      <c r="CS651" t="inlineStr"/>
      <c r="CT651" t="inlineStr"/>
      <c r="CU651" t="inlineStr"/>
      <c r="CV651" t="inlineStr"/>
      <c r="CW651" t="inlineStr"/>
      <c r="CX651" t="inlineStr"/>
      <c r="CY651" t="inlineStr"/>
      <c r="CZ651" t="inlineStr"/>
      <c r="DA651" t="inlineStr"/>
      <c r="DB651" t="inlineStr"/>
      <c r="DC651" t="inlineStr"/>
      <c r="DD651" t="inlineStr"/>
      <c r="DE651" t="inlineStr"/>
      <c r="DF651" t="inlineStr"/>
      <c r="DG651" t="inlineStr"/>
    </row>
    <row r="652">
      <c r="A652" t="inlineStr">
        <is>
          <t>III</t>
        </is>
      </c>
      <c r="B652" t="b">
        <v>1</v>
      </c>
      <c r="C652" t="inlineStr"/>
      <c r="D652" t="inlineStr"/>
      <c r="E652" t="n">
        <v>799</v>
      </c>
      <c r="F652">
        <f>HYPERLINK("https://portal.dnb.de/opac.htm?method=simpleSearch&amp;cqlMode=true&amp;query=idn%3D1066694702", "Portal")</f>
        <v/>
      </c>
      <c r="G652" t="inlineStr">
        <is>
          <t>Aaf</t>
        </is>
      </c>
      <c r="H652" t="inlineStr">
        <is>
          <t>L-1521-315082267</t>
        </is>
      </c>
      <c r="I652" t="inlineStr">
        <is>
          <t>1066694702</t>
        </is>
      </c>
      <c r="J652" t="inlineStr">
        <is>
          <t>III 73, 2 a</t>
        </is>
      </c>
      <c r="K652" t="inlineStr">
        <is>
          <t>III 73, 2 a</t>
        </is>
      </c>
      <c r="L652" t="inlineStr">
        <is>
          <t>III 73, 2 a</t>
        </is>
      </c>
      <c r="M652" t="inlineStr"/>
      <c r="N652" t="inlineStr">
        <is>
          <t>Alberti Pii Carporum Comitis illustrissimi, ad Erasmi Roterodami expostulationem resposio accurata &amp; paraenetica, Martini Lutheri &amp; asseclarum eius ha</t>
        </is>
      </c>
      <c r="O652" t="inlineStr">
        <is>
          <t xml:space="preserve"> : </t>
        </is>
      </c>
      <c r="P652" t="inlineStr"/>
      <c r="Q652" t="inlineStr"/>
      <c r="R652" t="inlineStr"/>
      <c r="S652" t="inlineStr"/>
      <c r="T652" t="inlineStr"/>
      <c r="U652" t="inlineStr"/>
      <c r="V652" t="inlineStr"/>
      <c r="W652" t="inlineStr"/>
      <c r="X652" t="inlineStr"/>
      <c r="Y652" t="inlineStr"/>
      <c r="Z652" t="inlineStr"/>
      <c r="AA652" t="inlineStr"/>
      <c r="AB652" t="inlineStr"/>
      <c r="AC652" t="inlineStr"/>
      <c r="AD652" t="inlineStr"/>
      <c r="AE652" t="inlineStr"/>
      <c r="AF652" t="inlineStr"/>
      <c r="AG652" t="inlineStr"/>
      <c r="AH652" t="inlineStr"/>
      <c r="AI652" t="inlineStr"/>
      <c r="AJ652" t="inlineStr"/>
      <c r="AK652" t="inlineStr"/>
      <c r="AL652" t="inlineStr"/>
      <c r="AM652" t="inlineStr"/>
      <c r="AN652" t="inlineStr"/>
      <c r="AO652" t="inlineStr"/>
      <c r="AP652" t="inlineStr"/>
      <c r="AQ652" t="inlineStr"/>
      <c r="AR652" t="inlineStr"/>
      <c r="AS652" t="inlineStr"/>
      <c r="AT652" t="inlineStr"/>
      <c r="AU652" t="inlineStr"/>
      <c r="AV652" t="inlineStr"/>
      <c r="AW652" t="inlineStr"/>
      <c r="AX652" t="inlineStr"/>
      <c r="AY652" t="inlineStr"/>
      <c r="AZ652" t="inlineStr"/>
      <c r="BA652" t="inlineStr"/>
      <c r="BB652" t="inlineStr"/>
      <c r="BC652" t="inlineStr"/>
      <c r="BD652" t="inlineStr"/>
      <c r="BE652" t="inlineStr"/>
      <c r="BF652" t="inlineStr"/>
      <c r="BG652" t="inlineStr"/>
      <c r="BH652" t="inlineStr"/>
      <c r="BI652" t="inlineStr"/>
      <c r="BJ652" t="inlineStr"/>
      <c r="BK652" t="inlineStr"/>
      <c r="BL652" t="inlineStr"/>
      <c r="BM652" t="inlineStr"/>
      <c r="BN652" t="n">
        <v>0</v>
      </c>
      <c r="BO652" t="inlineStr"/>
      <c r="BP652" t="inlineStr"/>
      <c r="BQ652" t="inlineStr"/>
      <c r="BR652" t="inlineStr"/>
      <c r="BS652" t="inlineStr"/>
      <c r="BT652" t="inlineStr"/>
      <c r="BU652" t="inlineStr"/>
      <c r="BV652" t="inlineStr"/>
      <c r="BW652" t="inlineStr"/>
      <c r="BX652" t="inlineStr"/>
      <c r="BY652" t="inlineStr"/>
      <c r="BZ652" t="inlineStr"/>
      <c r="CA652" t="inlineStr"/>
      <c r="CB652" t="inlineStr"/>
      <c r="CC652" t="inlineStr"/>
      <c r="CD652" t="inlineStr"/>
      <c r="CE652" t="inlineStr"/>
      <c r="CF652" t="inlineStr"/>
      <c r="CG652" t="inlineStr"/>
      <c r="CH652" t="inlineStr"/>
      <c r="CI652" t="inlineStr"/>
      <c r="CJ652" t="inlineStr"/>
      <c r="CK652" t="inlineStr"/>
      <c r="CL652" t="inlineStr"/>
      <c r="CM652" t="inlineStr"/>
      <c r="CN652" t="inlineStr"/>
      <c r="CO652" t="inlineStr"/>
      <c r="CP652" t="inlineStr"/>
      <c r="CQ652" t="inlineStr"/>
      <c r="CR652" t="inlineStr"/>
      <c r="CS652" t="inlineStr"/>
      <c r="CT652" t="inlineStr"/>
      <c r="CU652" t="inlineStr"/>
      <c r="CV652" t="inlineStr"/>
      <c r="CW652" t="inlineStr"/>
      <c r="CX652" t="inlineStr"/>
      <c r="CY652" t="inlineStr"/>
      <c r="CZ652" t="inlineStr"/>
      <c r="DA652" t="inlineStr"/>
      <c r="DB652" t="inlineStr"/>
      <c r="DC652" t="inlineStr"/>
      <c r="DD652" t="inlineStr"/>
      <c r="DE652" t="inlineStr"/>
      <c r="DF652" t="inlineStr"/>
      <c r="DG652" t="inlineStr"/>
    </row>
    <row r="653">
      <c r="A653" t="inlineStr">
        <is>
          <t>III</t>
        </is>
      </c>
      <c r="B653" t="b">
        <v>1</v>
      </c>
      <c r="C653" t="inlineStr"/>
      <c r="D653" t="inlineStr"/>
      <c r="E653" t="n">
        <v>800</v>
      </c>
      <c r="F653">
        <f>HYPERLINK("https://portal.dnb.de/opac.htm?method=simpleSearch&amp;cqlMode=true&amp;query=idn%3D99882707X", "Portal")</f>
        <v/>
      </c>
      <c r="G653" t="inlineStr">
        <is>
          <t>Aal</t>
        </is>
      </c>
      <c r="H653" t="inlineStr">
        <is>
          <t>L-1514-167032437</t>
        </is>
      </c>
      <c r="I653" t="inlineStr">
        <is>
          <t>99882707X</t>
        </is>
      </c>
      <c r="J653" t="inlineStr">
        <is>
          <t>III 73, 2 b</t>
        </is>
      </c>
      <c r="K653" t="inlineStr">
        <is>
          <t>III 73, 2 b</t>
        </is>
      </c>
      <c r="L653" t="inlineStr">
        <is>
          <t>III 73, 2 b</t>
        </is>
      </c>
      <c r="M653" t="inlineStr"/>
      <c r="N653" t="inlineStr">
        <is>
          <t xml:space="preserve">M[arci] Annei Lucani Lordubensis Pharsalia diligentissime per G. Versellanum recognita : </t>
        </is>
      </c>
      <c r="O653" t="inlineStr">
        <is>
          <t xml:space="preserve"> : </t>
        </is>
      </c>
      <c r="P653" t="inlineStr"/>
      <c r="Q653" t="inlineStr"/>
      <c r="R653" t="inlineStr"/>
      <c r="S653" t="inlineStr"/>
      <c r="T653" t="inlineStr"/>
      <c r="U653" t="inlineStr"/>
      <c r="V653" t="inlineStr"/>
      <c r="W653" t="inlineStr"/>
      <c r="X653" t="inlineStr"/>
      <c r="Y653" t="inlineStr"/>
      <c r="Z653" t="inlineStr"/>
      <c r="AA653" t="inlineStr"/>
      <c r="AB653" t="inlineStr"/>
      <c r="AC653" t="inlineStr"/>
      <c r="AD653" t="inlineStr"/>
      <c r="AE653" t="inlineStr"/>
      <c r="AF653" t="inlineStr"/>
      <c r="AG653" t="inlineStr"/>
      <c r="AH653" t="inlineStr"/>
      <c r="AI653" t="inlineStr"/>
      <c r="AJ653" t="inlineStr"/>
      <c r="AK653" t="inlineStr"/>
      <c r="AL653" t="inlineStr"/>
      <c r="AM653" t="inlineStr"/>
      <c r="AN653" t="inlineStr"/>
      <c r="AO653" t="inlineStr"/>
      <c r="AP653" t="inlineStr"/>
      <c r="AQ653" t="inlineStr"/>
      <c r="AR653" t="inlineStr"/>
      <c r="AS653" t="inlineStr"/>
      <c r="AT653" t="inlineStr"/>
      <c r="AU653" t="inlineStr"/>
      <c r="AV653" t="inlineStr"/>
      <c r="AW653" t="inlineStr"/>
      <c r="AX653" t="inlineStr"/>
      <c r="AY653" t="inlineStr"/>
      <c r="AZ653" t="inlineStr"/>
      <c r="BA653" t="inlineStr"/>
      <c r="BB653" t="inlineStr"/>
      <c r="BC653" t="inlineStr"/>
      <c r="BD653" t="inlineStr"/>
      <c r="BE653" t="inlineStr"/>
      <c r="BF653" t="inlineStr"/>
      <c r="BG653" t="inlineStr"/>
      <c r="BH653" t="inlineStr"/>
      <c r="BI653" t="inlineStr"/>
      <c r="BJ653" t="inlineStr"/>
      <c r="BK653" t="inlineStr"/>
      <c r="BL653" t="inlineStr"/>
      <c r="BM653" t="inlineStr"/>
      <c r="BN653" t="n">
        <v>0</v>
      </c>
      <c r="BO653" t="inlineStr"/>
      <c r="BP653" t="inlineStr"/>
      <c r="BQ653" t="inlineStr"/>
      <c r="BR653" t="inlineStr"/>
      <c r="BS653" t="inlineStr"/>
      <c r="BT653" t="inlineStr"/>
      <c r="BU653" t="inlineStr"/>
      <c r="BV653" t="inlineStr"/>
      <c r="BW653" t="inlineStr"/>
      <c r="BX653" t="inlineStr"/>
      <c r="BY653" t="inlineStr"/>
      <c r="BZ653" t="inlineStr"/>
      <c r="CA653" t="inlineStr"/>
      <c r="CB653" t="inlineStr"/>
      <c r="CC653" t="inlineStr"/>
      <c r="CD653" t="inlineStr"/>
      <c r="CE653" t="inlineStr"/>
      <c r="CF653" t="inlineStr"/>
      <c r="CG653" t="inlineStr"/>
      <c r="CH653" t="inlineStr"/>
      <c r="CI653" t="inlineStr"/>
      <c r="CJ653" t="inlineStr"/>
      <c r="CK653" t="inlineStr"/>
      <c r="CL653" t="inlineStr"/>
      <c r="CM653" t="inlineStr"/>
      <c r="CN653" t="inlineStr"/>
      <c r="CO653" t="inlineStr"/>
      <c r="CP653" t="inlineStr"/>
      <c r="CQ653" t="inlineStr"/>
      <c r="CR653" t="inlineStr"/>
      <c r="CS653" t="inlineStr"/>
      <c r="CT653" t="inlineStr"/>
      <c r="CU653" t="inlineStr"/>
      <c r="CV653" t="inlineStr"/>
      <c r="CW653" t="inlineStr"/>
      <c r="CX653" t="inlineStr"/>
      <c r="CY653" t="inlineStr"/>
      <c r="CZ653" t="inlineStr"/>
      <c r="DA653" t="inlineStr"/>
      <c r="DB653" t="inlineStr"/>
      <c r="DC653" t="inlineStr"/>
      <c r="DD653" t="inlineStr"/>
      <c r="DE653" t="inlineStr"/>
      <c r="DF653" t="inlineStr"/>
      <c r="DG653" t="inlineStr"/>
    </row>
    <row r="654">
      <c r="A654" t="inlineStr">
        <is>
          <t>III</t>
        </is>
      </c>
      <c r="B654" t="b">
        <v>1</v>
      </c>
      <c r="C654" t="inlineStr"/>
      <c r="D654" t="inlineStr"/>
      <c r="E654" t="n">
        <v>801</v>
      </c>
      <c r="F654">
        <f>HYPERLINK("https://portal.dnb.de/opac.htm?method=simpleSearch&amp;cqlMode=true&amp;query=idn%3D1000047687", "Portal")</f>
        <v/>
      </c>
      <c r="G654" t="inlineStr">
        <is>
          <t>Aal</t>
        </is>
      </c>
      <c r="H654" t="inlineStr">
        <is>
          <t>L-1518-16992209X</t>
        </is>
      </c>
      <c r="I654" t="inlineStr">
        <is>
          <t>1000047687</t>
        </is>
      </c>
      <c r="J654" t="inlineStr">
        <is>
          <t>III 73, 2 c</t>
        </is>
      </c>
      <c r="K654" t="inlineStr">
        <is>
          <t>III 73, 2 c</t>
        </is>
      </c>
      <c r="L654" t="inlineStr">
        <is>
          <t>III 73, 2 c</t>
        </is>
      </c>
      <c r="M654" t="inlineStr"/>
      <c r="N654" t="inlineStr">
        <is>
          <t>Platonis opera a Marsilio|| Ficino traducta: adiectus ad eius vitae &amp; operū enar||rationem Axiocho ab Rodulpho [!] Agricola &amp; Alcyo||ne ab Augustino D</t>
        </is>
      </c>
      <c r="O654" t="inlineStr">
        <is>
          <t xml:space="preserve"> : </t>
        </is>
      </c>
      <c r="P654" t="inlineStr"/>
      <c r="Q654" t="inlineStr"/>
      <c r="R654" t="inlineStr"/>
      <c r="S654" t="inlineStr">
        <is>
          <t>bis 42 cm</t>
        </is>
      </c>
      <c r="T654" t="inlineStr"/>
      <c r="U654" t="inlineStr"/>
      <c r="V654" t="inlineStr"/>
      <c r="W654" t="inlineStr"/>
      <c r="X654" t="inlineStr"/>
      <c r="Y654" t="inlineStr"/>
      <c r="Z654" t="inlineStr"/>
      <c r="AA654" t="inlineStr"/>
      <c r="AB654" t="inlineStr"/>
      <c r="AC654" t="inlineStr"/>
      <c r="AD654" t="inlineStr"/>
      <c r="AE654" t="inlineStr"/>
      <c r="AF654" t="inlineStr"/>
      <c r="AG654" t="inlineStr"/>
      <c r="AH654" t="inlineStr"/>
      <c r="AI654" t="inlineStr">
        <is>
          <t>HD</t>
        </is>
      </c>
      <c r="AJ654" t="inlineStr"/>
      <c r="AK654" t="inlineStr"/>
      <c r="AL654" t="inlineStr"/>
      <c r="AM654" t="inlineStr">
        <is>
          <t>f</t>
        </is>
      </c>
      <c r="AN654" t="inlineStr"/>
      <c r="AO654" t="inlineStr"/>
      <c r="AP654" t="inlineStr"/>
      <c r="AQ654" t="inlineStr"/>
      <c r="AR654" t="inlineStr">
        <is>
          <t>x</t>
        </is>
      </c>
      <c r="AS654" t="inlineStr">
        <is>
          <t>Pa</t>
        </is>
      </c>
      <c r="AT654" t="inlineStr"/>
      <c r="AU654" t="inlineStr"/>
      <c r="AV654" t="inlineStr"/>
      <c r="AW654" t="inlineStr"/>
      <c r="AX654" t="inlineStr"/>
      <c r="AY654" t="inlineStr"/>
      <c r="AZ654" t="inlineStr"/>
      <c r="BA654" t="inlineStr"/>
      <c r="BB654" t="inlineStr"/>
      <c r="BC654" t="inlineStr"/>
      <c r="BD654" t="inlineStr"/>
      <c r="BE654" t="inlineStr"/>
      <c r="BF654" t="inlineStr"/>
      <c r="BG654" t="n">
        <v>80</v>
      </c>
      <c r="BH654" t="inlineStr"/>
      <c r="BI654" t="inlineStr"/>
      <c r="BJ654" t="inlineStr"/>
      <c r="BK654" t="inlineStr"/>
      <c r="BL654" t="inlineStr"/>
      <c r="BM654" t="inlineStr">
        <is>
          <t>n</t>
        </is>
      </c>
      <c r="BN654" t="n">
        <v>0</v>
      </c>
      <c r="BO654" t="inlineStr"/>
      <c r="BP654" t="inlineStr"/>
      <c r="BQ654" t="inlineStr"/>
      <c r="BR654" t="inlineStr"/>
      <c r="BS654" t="inlineStr"/>
      <c r="BT654" t="inlineStr">
        <is>
          <t>x sauer</t>
        </is>
      </c>
      <c r="BU654" t="inlineStr">
        <is>
          <t>x</t>
        </is>
      </c>
      <c r="BV654" t="inlineStr"/>
      <c r="BW654" t="inlineStr"/>
      <c r="BX654" t="inlineStr"/>
      <c r="BY654" t="inlineStr"/>
      <c r="BZ654" t="inlineStr"/>
      <c r="CA654" t="inlineStr"/>
      <c r="CB654" t="inlineStr"/>
      <c r="CC654" t="inlineStr"/>
      <c r="CD654" t="inlineStr"/>
      <c r="CE654" t="inlineStr"/>
      <c r="CF654" t="inlineStr"/>
      <c r="CG654" t="inlineStr"/>
      <c r="CH654" t="inlineStr"/>
      <c r="CI654" t="inlineStr"/>
      <c r="CJ654" t="inlineStr"/>
      <c r="CK654" t="inlineStr"/>
      <c r="CL654" t="inlineStr"/>
      <c r="CM654" t="inlineStr"/>
      <c r="CN654" t="inlineStr"/>
      <c r="CO654" t="inlineStr"/>
      <c r="CP654" t="inlineStr"/>
      <c r="CQ654" t="inlineStr"/>
      <c r="CR654" t="inlineStr"/>
      <c r="CS654" t="inlineStr"/>
      <c r="CT654" t="inlineStr"/>
      <c r="CU654" t="inlineStr"/>
      <c r="CV654" t="inlineStr"/>
      <c r="CW654" t="inlineStr"/>
      <c r="CX654" t="inlineStr"/>
      <c r="CY654" t="inlineStr"/>
      <c r="CZ654" t="inlineStr"/>
      <c r="DA654" t="inlineStr"/>
      <c r="DB654" t="inlineStr"/>
      <c r="DC654" t="inlineStr"/>
      <c r="DD654" t="inlineStr"/>
      <c r="DE654" t="inlineStr"/>
      <c r="DF654" t="inlineStr"/>
      <c r="DG654" t="inlineStr"/>
    </row>
    <row r="655">
      <c r="A655" t="inlineStr">
        <is>
          <t>III</t>
        </is>
      </c>
      <c r="B655" t="b">
        <v>1</v>
      </c>
      <c r="C655" t="inlineStr">
        <is>
          <t>x</t>
        </is>
      </c>
      <c r="D655" t="inlineStr"/>
      <c r="E655" t="n">
        <v>733</v>
      </c>
      <c r="F655">
        <f>HYPERLINK("https://portal.dnb.de/opac.htm?method=simpleSearch&amp;cqlMode=true&amp;query=idn%3D1066800642", "Portal")</f>
        <v/>
      </c>
      <c r="G655" t="inlineStr">
        <is>
          <t>Aaf</t>
        </is>
      </c>
      <c r="H655" t="inlineStr">
        <is>
          <t>L-1510-315220503</t>
        </is>
      </c>
      <c r="I655" t="inlineStr">
        <is>
          <t>1066800642</t>
        </is>
      </c>
      <c r="J655" t="inlineStr">
        <is>
          <t>III 73, 3</t>
        </is>
      </c>
      <c r="K655" t="inlineStr">
        <is>
          <t>III 73, 3</t>
        </is>
      </c>
      <c r="L655" t="inlineStr">
        <is>
          <t>III 73, 3</t>
        </is>
      </c>
      <c r="M655" t="inlineStr"/>
      <c r="N655" t="inlineStr">
        <is>
          <t xml:space="preserve">Historici clarissimi: que extant Decades cum Epitome L. Flori inomneis libros : </t>
        </is>
      </c>
      <c r="O655" t="inlineStr">
        <is>
          <t xml:space="preserve"> : </t>
        </is>
      </c>
      <c r="P655" t="inlineStr"/>
      <c r="Q655" t="inlineStr"/>
      <c r="R655" t="inlineStr"/>
      <c r="S655" t="inlineStr">
        <is>
          <t>bis 35 cm</t>
        </is>
      </c>
      <c r="T655" t="inlineStr"/>
      <c r="U655" t="inlineStr"/>
      <c r="V655" t="inlineStr"/>
      <c r="W655" t="inlineStr"/>
      <c r="X655" t="inlineStr"/>
      <c r="Y655" t="inlineStr"/>
      <c r="Z655" t="inlineStr"/>
      <c r="AA655" t="inlineStr"/>
      <c r="AB655" t="inlineStr"/>
      <c r="AC655" t="inlineStr"/>
      <c r="AD655" t="inlineStr"/>
      <c r="AE655" t="inlineStr"/>
      <c r="AF655" t="inlineStr"/>
      <c r="AG655" t="inlineStr"/>
      <c r="AH655" t="inlineStr"/>
      <c r="AI655" t="inlineStr">
        <is>
          <t>HL</t>
        </is>
      </c>
      <c r="AJ655" t="inlineStr"/>
      <c r="AK655" t="inlineStr">
        <is>
          <t>x</t>
        </is>
      </c>
      <c r="AL655" t="inlineStr"/>
      <c r="AM655" t="inlineStr">
        <is>
          <t>f/V</t>
        </is>
      </c>
      <c r="AN655" t="inlineStr"/>
      <c r="AO655" t="inlineStr"/>
      <c r="AP655" t="inlineStr"/>
      <c r="AQ655" t="inlineStr"/>
      <c r="AR655" t="inlineStr"/>
      <c r="AS655" t="inlineStr">
        <is>
          <t>Pa</t>
        </is>
      </c>
      <c r="AT655" t="inlineStr"/>
      <c r="AU655" t="inlineStr"/>
      <c r="AV655" t="inlineStr"/>
      <c r="AW655" t="inlineStr"/>
      <c r="AX655" t="inlineStr"/>
      <c r="AY655" t="inlineStr"/>
      <c r="AZ655" t="inlineStr"/>
      <c r="BA655" t="inlineStr"/>
      <c r="BB655" t="inlineStr"/>
      <c r="BC655" t="inlineStr"/>
      <c r="BD655" t="inlineStr"/>
      <c r="BE655" t="inlineStr"/>
      <c r="BF655" t="inlineStr"/>
      <c r="BG655" t="n">
        <v>60</v>
      </c>
      <c r="BH655" t="inlineStr"/>
      <c r="BI655" t="inlineStr"/>
      <c r="BJ655" t="inlineStr"/>
      <c r="BK655" t="inlineStr"/>
      <c r="BL655" t="inlineStr"/>
      <c r="BM655" t="inlineStr">
        <is>
          <t>ja vor</t>
        </is>
      </c>
      <c r="BN655" t="n">
        <v>2</v>
      </c>
      <c r="BO655" t="inlineStr"/>
      <c r="BP655" t="inlineStr"/>
      <c r="BQ655" t="inlineStr"/>
      <c r="BR655" t="inlineStr">
        <is>
          <t>x</t>
        </is>
      </c>
      <c r="BS655" t="inlineStr"/>
      <c r="BT655" t="inlineStr"/>
      <c r="BU655" t="inlineStr"/>
      <c r="BV655" t="inlineStr"/>
      <c r="BW655" t="inlineStr"/>
      <c r="BX655" t="inlineStr"/>
      <c r="BY655" t="inlineStr"/>
      <c r="BZ655" t="inlineStr">
        <is>
          <t>x</t>
        </is>
      </c>
      <c r="CA655" t="inlineStr">
        <is>
          <t>x</t>
        </is>
      </c>
      <c r="CB655" t="inlineStr">
        <is>
          <t>x</t>
        </is>
      </c>
      <c r="CC655" t="inlineStr"/>
      <c r="CD655" t="inlineStr">
        <is>
          <t>v/h</t>
        </is>
      </c>
      <c r="CE655" t="inlineStr"/>
      <c r="CF655" t="inlineStr"/>
      <c r="CG655" t="inlineStr"/>
      <c r="CH655" t="inlineStr"/>
      <c r="CI655" t="inlineStr"/>
      <c r="CJ655" t="inlineStr"/>
      <c r="CK655" t="inlineStr"/>
      <c r="CL655" t="inlineStr"/>
      <c r="CM655" t="n">
        <v>2</v>
      </c>
      <c r="CN655" t="inlineStr">
        <is>
          <t>loses Leder fixieren, Gelenke ggf. mit JP überfangen</t>
        </is>
      </c>
      <c r="CO655" t="inlineStr"/>
      <c r="CP655" t="inlineStr"/>
      <c r="CQ655" t="inlineStr"/>
      <c r="CR655" t="inlineStr"/>
      <c r="CS655" t="inlineStr"/>
      <c r="CT655" t="inlineStr"/>
      <c r="CU655" t="inlineStr"/>
      <c r="CV655" t="inlineStr"/>
      <c r="CW655" t="inlineStr"/>
      <c r="CX655" t="inlineStr"/>
      <c r="CY655" t="inlineStr"/>
      <c r="CZ655" t="inlineStr"/>
      <c r="DA655" t="inlineStr"/>
      <c r="DB655" t="inlineStr"/>
      <c r="DC655" t="inlineStr"/>
      <c r="DD655" t="inlineStr"/>
      <c r="DE655" t="inlineStr"/>
      <c r="DF655" t="inlineStr"/>
      <c r="DG655" t="inlineStr"/>
    </row>
    <row r="656">
      <c r="A656" t="inlineStr">
        <is>
          <t>III</t>
        </is>
      </c>
      <c r="B656" t="b">
        <v>1</v>
      </c>
      <c r="C656" t="inlineStr"/>
      <c r="D656" t="inlineStr"/>
      <c r="E656" t="n">
        <v>734</v>
      </c>
      <c r="F656">
        <f>HYPERLINK("https://portal.dnb.de/opac.htm?method=simpleSearch&amp;cqlMode=true&amp;query=idn%3D1132641950", "Portal")</f>
        <v/>
      </c>
      <c r="G656" t="inlineStr">
        <is>
          <t>Af</t>
        </is>
      </c>
      <c r="H656" t="inlineStr">
        <is>
          <t>L-1512-40695920X</t>
        </is>
      </c>
      <c r="I656" t="inlineStr">
        <is>
          <t>1132641950</t>
        </is>
      </c>
      <c r="J656" t="inlineStr">
        <is>
          <t>III 73, 4</t>
        </is>
      </c>
      <c r="K656" t="inlineStr">
        <is>
          <t>III 73, 4</t>
        </is>
      </c>
      <c r="L656" t="inlineStr">
        <is>
          <t>III 73, 4</t>
        </is>
      </c>
      <c r="M656" t="inlineStr"/>
      <c r="N656" t="inlineStr">
        <is>
          <t>Opera</t>
        </is>
      </c>
      <c r="O656" t="inlineStr">
        <is>
          <t>T. 1. : Primus Tomus opreum Origenis Adamantij</t>
        </is>
      </c>
      <c r="P656" t="inlineStr"/>
      <c r="Q656" t="inlineStr"/>
      <c r="R656" t="inlineStr"/>
      <c r="S656" t="inlineStr">
        <is>
          <t>bis 35 cm</t>
        </is>
      </c>
      <c r="T656" t="inlineStr"/>
      <c r="U656" t="inlineStr"/>
      <c r="V656" t="inlineStr"/>
      <c r="W656" t="inlineStr"/>
      <c r="X656" t="inlineStr"/>
      <c r="Y656" t="inlineStr"/>
      <c r="Z656" t="inlineStr"/>
      <c r="AA656" t="inlineStr"/>
      <c r="AB656" t="inlineStr"/>
      <c r="AC656" t="inlineStr"/>
      <c r="AD656" t="inlineStr"/>
      <c r="AE656" t="inlineStr"/>
      <c r="AF656" t="inlineStr"/>
      <c r="AG656" t="inlineStr"/>
      <c r="AH656" t="inlineStr"/>
      <c r="AI656" t="inlineStr">
        <is>
          <t>HD</t>
        </is>
      </c>
      <c r="AJ656" t="inlineStr"/>
      <c r="AK656" t="inlineStr">
        <is>
          <t>x</t>
        </is>
      </c>
      <c r="AL656" t="inlineStr"/>
      <c r="AM656" t="inlineStr">
        <is>
          <t>f</t>
        </is>
      </c>
      <c r="AN656" t="inlineStr"/>
      <c r="AO656" t="inlineStr"/>
      <c r="AP656" t="inlineStr"/>
      <c r="AQ656" t="inlineStr"/>
      <c r="AR656" t="inlineStr"/>
      <c r="AS656" t="inlineStr">
        <is>
          <t>Pa</t>
        </is>
      </c>
      <c r="AT656" t="inlineStr"/>
      <c r="AU656" t="inlineStr"/>
      <c r="AV656" t="inlineStr"/>
      <c r="AW656" t="inlineStr"/>
      <c r="AX656" t="inlineStr"/>
      <c r="AY656" t="inlineStr"/>
      <c r="AZ656" t="inlineStr"/>
      <c r="BA656" t="inlineStr"/>
      <c r="BB656" t="inlineStr"/>
      <c r="BC656" t="inlineStr"/>
      <c r="BD656" t="inlineStr"/>
      <c r="BE656" t="inlineStr"/>
      <c r="BF656" t="inlineStr"/>
      <c r="BG656" t="n">
        <v>45</v>
      </c>
      <c r="BH656" t="inlineStr"/>
      <c r="BI656" t="inlineStr"/>
      <c r="BJ656" t="inlineStr"/>
      <c r="BK656" t="inlineStr"/>
      <c r="BL656" t="inlineStr"/>
      <c r="BM656" t="inlineStr">
        <is>
          <t>n</t>
        </is>
      </c>
      <c r="BN656" t="n">
        <v>0</v>
      </c>
      <c r="BO656" t="inlineStr"/>
      <c r="BP656" t="inlineStr"/>
      <c r="BQ656" t="inlineStr"/>
      <c r="BR656" t="inlineStr"/>
      <c r="BS656" t="inlineStr"/>
      <c r="BT656" t="inlineStr"/>
      <c r="BU656" t="inlineStr"/>
      <c r="BV656" t="inlineStr"/>
      <c r="BW656" t="inlineStr"/>
      <c r="BX656" t="inlineStr"/>
      <c r="BY656" t="inlineStr"/>
      <c r="BZ656" t="inlineStr"/>
      <c r="CA656" t="inlineStr"/>
      <c r="CB656" t="inlineStr"/>
      <c r="CC656" t="inlineStr"/>
      <c r="CD656" t="inlineStr"/>
      <c r="CE656" t="inlineStr"/>
      <c r="CF656" t="inlineStr"/>
      <c r="CG656" t="inlineStr"/>
      <c r="CH656" t="inlineStr"/>
      <c r="CI656" t="inlineStr"/>
      <c r="CJ656" t="inlineStr"/>
      <c r="CK656" t="inlineStr"/>
      <c r="CL656" t="inlineStr"/>
      <c r="CM656" t="inlineStr"/>
      <c r="CN656" t="inlineStr"/>
      <c r="CO656" t="inlineStr"/>
      <c r="CP656" t="inlineStr"/>
      <c r="CQ656" t="inlineStr"/>
      <c r="CR656" t="inlineStr"/>
      <c r="CS656" t="inlineStr"/>
      <c r="CT656" t="inlineStr"/>
      <c r="CU656" t="inlineStr"/>
      <c r="CV656" t="inlineStr"/>
      <c r="CW656" t="inlineStr"/>
      <c r="CX656" t="inlineStr"/>
      <c r="CY656" t="inlineStr"/>
      <c r="CZ656" t="inlineStr"/>
      <c r="DA656" t="inlineStr"/>
      <c r="DB656" t="inlineStr"/>
      <c r="DC656" t="inlineStr"/>
      <c r="DD656" t="inlineStr"/>
      <c r="DE656" t="inlineStr"/>
      <c r="DF656" t="inlineStr"/>
      <c r="DG656" t="inlineStr"/>
    </row>
    <row r="657">
      <c r="A657" t="inlineStr">
        <is>
          <t>III</t>
        </is>
      </c>
      <c r="B657" t="b">
        <v>1</v>
      </c>
      <c r="C657" t="inlineStr"/>
      <c r="D657" t="inlineStr"/>
      <c r="E657" t="inlineStr"/>
      <c r="F657">
        <f>HYPERLINK("https://portal.dnb.de/opac.htm?method=simpleSearch&amp;cqlMode=true&amp;query=idn%3D1132641969", "Portal")</f>
        <v/>
      </c>
      <c r="G657" t="inlineStr"/>
      <c r="H657" t="inlineStr">
        <is>
          <t>L-1512-406959226</t>
        </is>
      </c>
      <c r="I657" t="inlineStr">
        <is>
          <t>1132641969</t>
        </is>
      </c>
      <c r="J657" t="inlineStr"/>
      <c r="K657" t="inlineStr">
        <is>
          <t>III 73, 4</t>
        </is>
      </c>
      <c r="L657" t="inlineStr">
        <is>
          <t>III 73, 4</t>
        </is>
      </c>
      <c r="M657" t="inlineStr"/>
      <c r="N657" t="inlineStr">
        <is>
          <t>Opera</t>
        </is>
      </c>
      <c r="O657" t="inlineStr">
        <is>
          <t>T. 2. : Secundus tomus operum Origenis Adamantij</t>
        </is>
      </c>
      <c r="P657" t="inlineStr"/>
      <c r="Q657" t="inlineStr"/>
      <c r="R657" t="inlineStr"/>
      <c r="S657" t="inlineStr"/>
      <c r="T657" t="inlineStr"/>
      <c r="U657" t="inlineStr"/>
      <c r="V657" t="inlineStr"/>
      <c r="W657" t="inlineStr"/>
      <c r="X657" t="inlineStr"/>
      <c r="Y657" t="inlineStr"/>
      <c r="Z657" t="inlineStr"/>
      <c r="AA657" t="inlineStr"/>
      <c r="AB657" t="inlineStr"/>
      <c r="AC657" t="inlineStr"/>
      <c r="AD657" t="inlineStr"/>
      <c r="AE657" t="inlineStr"/>
      <c r="AF657" t="inlineStr"/>
      <c r="AG657" t="inlineStr"/>
      <c r="AH657" t="inlineStr"/>
      <c r="AI657" t="inlineStr"/>
      <c r="AJ657" t="inlineStr"/>
      <c r="AK657" t="inlineStr"/>
      <c r="AL657" t="inlineStr"/>
      <c r="AM657" t="inlineStr"/>
      <c r="AN657" t="inlineStr"/>
      <c r="AO657" t="inlineStr"/>
      <c r="AP657" t="inlineStr"/>
      <c r="AQ657" t="inlineStr"/>
      <c r="AR657" t="inlineStr"/>
      <c r="AS657" t="inlineStr"/>
      <c r="AT657" t="inlineStr"/>
      <c r="AU657" t="inlineStr"/>
      <c r="AV657" t="inlineStr"/>
      <c r="AW657" t="inlineStr"/>
      <c r="AX657" t="inlineStr"/>
      <c r="AY657" t="inlineStr"/>
      <c r="AZ657" t="inlineStr"/>
      <c r="BA657" t="inlineStr"/>
      <c r="BB657" t="inlineStr"/>
      <c r="BC657" t="inlineStr"/>
      <c r="BD657" t="inlineStr"/>
      <c r="BE657" t="inlineStr"/>
      <c r="BF657" t="inlineStr"/>
      <c r="BG657" t="inlineStr"/>
      <c r="BH657" t="inlineStr"/>
      <c r="BI657" t="inlineStr"/>
      <c r="BJ657" t="inlineStr"/>
      <c r="BK657" t="inlineStr"/>
      <c r="BL657" t="inlineStr"/>
      <c r="BM657" t="inlineStr"/>
      <c r="BN657" t="inlineStr"/>
      <c r="BO657" t="inlineStr"/>
      <c r="BP657" t="inlineStr"/>
      <c r="BQ657" t="inlineStr"/>
      <c r="BR657" t="inlineStr"/>
      <c r="BS657" t="inlineStr"/>
      <c r="BT657" t="inlineStr"/>
      <c r="BU657" t="inlineStr"/>
      <c r="BV657" t="inlineStr"/>
      <c r="BW657" t="inlineStr"/>
      <c r="BX657" t="inlineStr"/>
      <c r="BY657" t="inlineStr"/>
      <c r="BZ657" t="inlineStr"/>
      <c r="CA657" t="inlineStr"/>
      <c r="CB657" t="inlineStr"/>
      <c r="CC657" t="inlineStr"/>
      <c r="CD657" t="inlineStr"/>
      <c r="CE657" t="inlineStr"/>
      <c r="CF657" t="inlineStr"/>
      <c r="CG657" t="inlineStr"/>
      <c r="CH657" t="inlineStr"/>
      <c r="CI657" t="inlineStr"/>
      <c r="CJ657" t="inlineStr"/>
      <c r="CK657" t="inlineStr"/>
      <c r="CL657" t="inlineStr"/>
      <c r="CM657" t="inlineStr"/>
      <c r="CN657" t="inlineStr"/>
      <c r="CO657" t="inlineStr"/>
      <c r="CP657" t="inlineStr"/>
      <c r="CQ657" t="inlineStr"/>
      <c r="CR657" t="inlineStr"/>
      <c r="CS657" t="inlineStr"/>
      <c r="CT657" t="inlineStr"/>
      <c r="CU657" t="inlineStr"/>
      <c r="CV657" t="inlineStr"/>
      <c r="CW657" t="inlineStr"/>
      <c r="CX657" t="inlineStr"/>
      <c r="CY657" t="inlineStr"/>
      <c r="CZ657" t="inlineStr"/>
      <c r="DA657" t="inlineStr"/>
      <c r="DB657" t="inlineStr"/>
      <c r="DC657" t="inlineStr"/>
      <c r="DD657" t="inlineStr"/>
      <c r="DE657" t="inlineStr"/>
      <c r="DF657" t="inlineStr"/>
      <c r="DG657" t="inlineStr"/>
    </row>
    <row r="658">
      <c r="A658" t="inlineStr">
        <is>
          <t>III</t>
        </is>
      </c>
      <c r="B658" t="b">
        <v>1</v>
      </c>
      <c r="C658" t="inlineStr"/>
      <c r="D658" t="inlineStr"/>
      <c r="E658" t="n">
        <v>736</v>
      </c>
      <c r="F658">
        <f>HYPERLINK("https://portal.dnb.de/opac.htm?method=simpleSearch&amp;cqlMode=true&amp;query=idn%3D1066937516", "Portal")</f>
        <v/>
      </c>
      <c r="G658" t="inlineStr">
        <is>
          <t>Aaf</t>
        </is>
      </c>
      <c r="H658" t="inlineStr">
        <is>
          <t>L-1507-315465352</t>
        </is>
      </c>
      <c r="I658" t="inlineStr">
        <is>
          <t>1066937516</t>
        </is>
      </c>
      <c r="J658" t="inlineStr">
        <is>
          <t>III 73, 5</t>
        </is>
      </c>
      <c r="K658" t="inlineStr">
        <is>
          <t>III 73, 5</t>
        </is>
      </c>
      <c r="L658" t="inlineStr">
        <is>
          <t>III 73, 5</t>
        </is>
      </c>
      <c r="M658" t="inlineStr"/>
      <c r="N658" t="inlineStr">
        <is>
          <t xml:space="preserve">Novem F. Baptiste Mantuani Carmelitae ... opera praeter caetera moralia : </t>
        </is>
      </c>
      <c r="O658" t="inlineStr">
        <is>
          <t xml:space="preserve"> : </t>
        </is>
      </c>
      <c r="P658" t="inlineStr"/>
      <c r="Q658" t="inlineStr"/>
      <c r="R658" t="inlineStr"/>
      <c r="S658" t="inlineStr"/>
      <c r="T658" t="inlineStr"/>
      <c r="U658" t="inlineStr"/>
      <c r="V658" t="inlineStr"/>
      <c r="W658" t="inlineStr"/>
      <c r="X658" t="inlineStr"/>
      <c r="Y658" t="inlineStr"/>
      <c r="Z658" t="inlineStr"/>
      <c r="AA658" t="inlineStr"/>
      <c r="AB658" t="inlineStr"/>
      <c r="AC658" t="inlineStr"/>
      <c r="AD658" t="inlineStr"/>
      <c r="AE658" t="inlineStr"/>
      <c r="AF658" t="inlineStr"/>
      <c r="AG658" t="inlineStr"/>
      <c r="AH658" t="inlineStr"/>
      <c r="AI658" t="inlineStr"/>
      <c r="AJ658" t="inlineStr"/>
      <c r="AK658" t="inlineStr"/>
      <c r="AL658" t="inlineStr"/>
      <c r="AM658" t="inlineStr"/>
      <c r="AN658" t="inlineStr"/>
      <c r="AO658" t="inlineStr"/>
      <c r="AP658" t="inlineStr"/>
      <c r="AQ658" t="inlineStr"/>
      <c r="AR658" t="inlineStr"/>
      <c r="AS658" t="inlineStr"/>
      <c r="AT658" t="inlineStr"/>
      <c r="AU658" t="inlineStr"/>
      <c r="AV658" t="inlineStr"/>
      <c r="AW658" t="inlineStr"/>
      <c r="AX658" t="inlineStr"/>
      <c r="AY658" t="inlineStr"/>
      <c r="AZ658" t="inlineStr"/>
      <c r="BA658" t="inlineStr"/>
      <c r="BB658" t="inlineStr"/>
      <c r="BC658" t="inlineStr"/>
      <c r="BD658" t="inlineStr"/>
      <c r="BE658" t="inlineStr"/>
      <c r="BF658" t="inlineStr"/>
      <c r="BG658" t="inlineStr"/>
      <c r="BH658" t="inlineStr"/>
      <c r="BI658" t="inlineStr"/>
      <c r="BJ658" t="inlineStr"/>
      <c r="BK658" t="inlineStr"/>
      <c r="BL658" t="inlineStr"/>
      <c r="BM658" t="inlineStr"/>
      <c r="BN658" t="n">
        <v>0</v>
      </c>
      <c r="BO658" t="inlineStr"/>
      <c r="BP658" t="inlineStr"/>
      <c r="BQ658" t="inlineStr"/>
      <c r="BR658" t="inlineStr"/>
      <c r="BS658" t="inlineStr"/>
      <c r="BT658" t="inlineStr"/>
      <c r="BU658" t="inlineStr"/>
      <c r="BV658" t="inlineStr"/>
      <c r="BW658" t="inlineStr"/>
      <c r="BX658" t="inlineStr"/>
      <c r="BY658" t="inlineStr"/>
      <c r="BZ658" t="inlineStr"/>
      <c r="CA658" t="inlineStr"/>
      <c r="CB658" t="inlineStr"/>
      <c r="CC658" t="inlineStr"/>
      <c r="CD658" t="inlineStr"/>
      <c r="CE658" t="inlineStr"/>
      <c r="CF658" t="inlineStr"/>
      <c r="CG658" t="inlineStr"/>
      <c r="CH658" t="inlineStr"/>
      <c r="CI658" t="inlineStr"/>
      <c r="CJ658" t="inlineStr"/>
      <c r="CK658" t="inlineStr"/>
      <c r="CL658" t="inlineStr"/>
      <c r="CM658" t="inlineStr"/>
      <c r="CN658" t="inlineStr"/>
      <c r="CO658" t="inlineStr"/>
      <c r="CP658" t="inlineStr"/>
      <c r="CQ658" t="inlineStr"/>
      <c r="CR658" t="inlineStr"/>
      <c r="CS658" t="inlineStr"/>
      <c r="CT658" t="inlineStr"/>
      <c r="CU658" t="inlineStr"/>
      <c r="CV658" t="inlineStr"/>
      <c r="CW658" t="inlineStr"/>
      <c r="CX658" t="inlineStr"/>
      <c r="CY658" t="inlineStr"/>
      <c r="CZ658" t="inlineStr"/>
      <c r="DA658" t="inlineStr"/>
      <c r="DB658" t="inlineStr"/>
      <c r="DC658" t="inlineStr"/>
      <c r="DD658" t="inlineStr"/>
      <c r="DE658" t="inlineStr"/>
      <c r="DF658" t="inlineStr"/>
      <c r="DG658" t="inlineStr"/>
    </row>
    <row r="659">
      <c r="A659" t="inlineStr">
        <is>
          <t>III</t>
        </is>
      </c>
      <c r="B659" t="b">
        <v>1</v>
      </c>
      <c r="C659" t="inlineStr"/>
      <c r="D659" t="inlineStr"/>
      <c r="E659" t="n">
        <v>737</v>
      </c>
      <c r="F659">
        <f>HYPERLINK("https://portal.dnb.de/opac.htm?method=simpleSearch&amp;cqlMode=true&amp;query=idn%3D1066778833", "Portal")</f>
        <v/>
      </c>
      <c r="G659" t="inlineStr">
        <is>
          <t>Aaf</t>
        </is>
      </c>
      <c r="H659" t="inlineStr">
        <is>
          <t>L-1548-315200790</t>
        </is>
      </c>
      <c r="I659" t="inlineStr">
        <is>
          <t>1066778833</t>
        </is>
      </c>
      <c r="J659" t="inlineStr">
        <is>
          <t>III 73, 6</t>
        </is>
      </c>
      <c r="K659" t="inlineStr">
        <is>
          <t>III 73, 6</t>
        </is>
      </c>
      <c r="L659" t="inlineStr">
        <is>
          <t>III 73, 6</t>
        </is>
      </c>
      <c r="M659" t="inlineStr"/>
      <c r="N659" t="inlineStr">
        <is>
          <t>In sacrosanctum Iesu Christi Euangelivm secvndum Ioannem enarrationes : ivxta ervditotvm sententiam factae ; cum indice copiosissimo</t>
        </is>
      </c>
      <c r="O659" t="inlineStr">
        <is>
          <t xml:space="preserve"> : </t>
        </is>
      </c>
      <c r="P659" t="inlineStr"/>
      <c r="Q659" t="inlineStr"/>
      <c r="R659" t="inlineStr"/>
      <c r="S659" t="inlineStr">
        <is>
          <t>bis 35 cm</t>
        </is>
      </c>
      <c r="T659" t="inlineStr"/>
      <c r="U659" t="inlineStr"/>
      <c r="V659" t="inlineStr"/>
      <c r="W659" t="inlineStr"/>
      <c r="X659" t="inlineStr"/>
      <c r="Y659" t="inlineStr"/>
      <c r="Z659" t="inlineStr"/>
      <c r="AA659" t="inlineStr"/>
      <c r="AB659" t="inlineStr"/>
      <c r="AC659" t="inlineStr"/>
      <c r="AD659" t="inlineStr"/>
      <c r="AE659" t="inlineStr"/>
      <c r="AF659" t="inlineStr"/>
      <c r="AG659" t="inlineStr"/>
      <c r="AH659" t="inlineStr"/>
      <c r="AI659" t="inlineStr">
        <is>
          <t>HD</t>
        </is>
      </c>
      <c r="AJ659" t="inlineStr"/>
      <c r="AK659" t="inlineStr"/>
      <c r="AL659" t="inlineStr">
        <is>
          <t>x</t>
        </is>
      </c>
      <c r="AM659" t="inlineStr">
        <is>
          <t>f</t>
        </is>
      </c>
      <c r="AN659" t="inlineStr"/>
      <c r="AO659" t="inlineStr"/>
      <c r="AP659" t="inlineStr"/>
      <c r="AQ659" t="inlineStr"/>
      <c r="AR659" t="inlineStr"/>
      <c r="AS659" t="inlineStr">
        <is>
          <t>Pa</t>
        </is>
      </c>
      <c r="AT659" t="inlineStr"/>
      <c r="AU659" t="inlineStr"/>
      <c r="AV659" t="inlineStr"/>
      <c r="AW659" t="inlineStr"/>
      <c r="AX659" t="inlineStr"/>
      <c r="AY659" t="inlineStr"/>
      <c r="AZ659" t="inlineStr"/>
      <c r="BA659" t="inlineStr"/>
      <c r="BB659" t="inlineStr"/>
      <c r="BC659" t="inlineStr"/>
      <c r="BD659" t="inlineStr"/>
      <c r="BE659" t="inlineStr"/>
      <c r="BF659" t="inlineStr"/>
      <c r="BG659" t="n">
        <v>110</v>
      </c>
      <c r="BH659" t="inlineStr"/>
      <c r="BI659" t="inlineStr"/>
      <c r="BJ659" t="inlineStr"/>
      <c r="BK659" t="inlineStr"/>
      <c r="BL659" t="inlineStr"/>
      <c r="BM659" t="inlineStr">
        <is>
          <t>n</t>
        </is>
      </c>
      <c r="BN659" t="n">
        <v>0</v>
      </c>
      <c r="BO659" t="inlineStr"/>
      <c r="BP659" t="inlineStr">
        <is>
          <t>Gewebe</t>
        </is>
      </c>
      <c r="BQ659" t="inlineStr"/>
      <c r="BR659" t="inlineStr"/>
      <c r="BS659" t="inlineStr"/>
      <c r="BT659" t="inlineStr"/>
      <c r="BU659" t="inlineStr"/>
      <c r="BV659" t="inlineStr"/>
      <c r="BW659" t="inlineStr"/>
      <c r="BX659" t="inlineStr"/>
      <c r="BY659" t="inlineStr"/>
      <c r="BZ659" t="inlineStr"/>
      <c r="CA659" t="inlineStr"/>
      <c r="CB659" t="inlineStr"/>
      <c r="CC659" t="inlineStr"/>
      <c r="CD659" t="inlineStr"/>
      <c r="CE659" t="inlineStr"/>
      <c r="CF659" t="inlineStr"/>
      <c r="CG659" t="inlineStr"/>
      <c r="CH659" t="inlineStr"/>
      <c r="CI659" t="inlineStr"/>
      <c r="CJ659" t="inlineStr"/>
      <c r="CK659" t="inlineStr"/>
      <c r="CL659" t="inlineStr"/>
      <c r="CM659" t="inlineStr"/>
      <c r="CN659" t="inlineStr"/>
      <c r="CO659" t="inlineStr"/>
      <c r="CP659" t="inlineStr"/>
      <c r="CQ659" t="inlineStr"/>
      <c r="CR659" t="inlineStr"/>
      <c r="CS659" t="inlineStr"/>
      <c r="CT659" t="inlineStr"/>
      <c r="CU659" t="inlineStr"/>
      <c r="CV659" t="inlineStr"/>
      <c r="CW659" t="inlineStr"/>
      <c r="CX659" t="inlineStr"/>
      <c r="CY659" t="inlineStr"/>
      <c r="CZ659" t="inlineStr"/>
      <c r="DA659" t="inlineStr"/>
      <c r="DB659" t="inlineStr"/>
      <c r="DC659" t="inlineStr"/>
      <c r="DD659" t="inlineStr"/>
      <c r="DE659" t="inlineStr"/>
      <c r="DF659" t="inlineStr"/>
      <c r="DG659" t="inlineStr"/>
    </row>
    <row r="660">
      <c r="A660" t="inlineStr">
        <is>
          <t>III</t>
        </is>
      </c>
      <c r="B660" t="b">
        <v>1</v>
      </c>
      <c r="C660" t="inlineStr"/>
      <c r="D660" t="inlineStr"/>
      <c r="E660" t="n">
        <v>820</v>
      </c>
      <c r="F660">
        <f>HYPERLINK("https://portal.dnb.de/opac.htm?method=simpleSearch&amp;cqlMode=true&amp;query=idn%3D994098219", "Portal")</f>
        <v/>
      </c>
      <c r="G660" t="inlineStr">
        <is>
          <t>Afl</t>
        </is>
      </c>
      <c r="H660" t="inlineStr">
        <is>
          <t>L-1545-154505285</t>
        </is>
      </c>
      <c r="I660" t="inlineStr">
        <is>
          <t>994098219</t>
        </is>
      </c>
      <c r="J660" t="inlineStr">
        <is>
          <t>III 73, 6 a</t>
        </is>
      </c>
      <c r="K660" t="inlineStr">
        <is>
          <t>III 73, 6 a</t>
        </is>
      </c>
      <c r="L660" t="inlineStr">
        <is>
          <t>III 73, 6 a</t>
        </is>
      </c>
      <c r="M660" t="inlineStr"/>
      <c r="N660" t="inlineStr">
        <is>
          <t>Venerabilis Bedae|| presbyteri theologi doctissimi iuxta|| ac Sanctissimi, Commentationum in Sa||cras literas</t>
        </is>
      </c>
      <c r="O660" t="inlineStr">
        <is>
          <t xml:space="preserve">1 : </t>
        </is>
      </c>
      <c r="P660" t="inlineStr"/>
      <c r="Q660" t="inlineStr"/>
      <c r="R660" t="inlineStr"/>
      <c r="S660" t="inlineStr">
        <is>
          <t>bis 35 cm</t>
        </is>
      </c>
      <c r="T660" t="inlineStr"/>
      <c r="U660" t="inlineStr"/>
      <c r="V660" t="inlineStr"/>
      <c r="W660" t="inlineStr"/>
      <c r="X660" t="inlineStr"/>
      <c r="Y660" t="inlineStr"/>
      <c r="Z660" t="inlineStr"/>
      <c r="AA660" t="inlineStr"/>
      <c r="AB660" t="inlineStr"/>
      <c r="AC660" t="inlineStr"/>
      <c r="AD660" t="inlineStr"/>
      <c r="AE660" t="inlineStr"/>
      <c r="AF660" t="inlineStr"/>
      <c r="AG660" t="inlineStr"/>
      <c r="AH660" t="inlineStr"/>
      <c r="AI660" t="inlineStr">
        <is>
          <t>HD</t>
        </is>
      </c>
      <c r="AJ660" t="inlineStr"/>
      <c r="AK660" t="inlineStr"/>
      <c r="AL660" t="inlineStr">
        <is>
          <t>x</t>
        </is>
      </c>
      <c r="AM660" t="inlineStr">
        <is>
          <t>f</t>
        </is>
      </c>
      <c r="AN660" t="inlineStr"/>
      <c r="AO660" t="inlineStr"/>
      <c r="AP660" t="inlineStr"/>
      <c r="AQ660" t="inlineStr"/>
      <c r="AR660" t="inlineStr"/>
      <c r="AS660" t="inlineStr">
        <is>
          <t>Pa</t>
        </is>
      </c>
      <c r="AT660" t="inlineStr"/>
      <c r="AU660" t="inlineStr"/>
      <c r="AV660" t="inlineStr"/>
      <c r="AW660" t="inlineStr"/>
      <c r="AX660" t="inlineStr"/>
      <c r="AY660" t="inlineStr"/>
      <c r="AZ660" t="inlineStr"/>
      <c r="BA660" t="inlineStr"/>
      <c r="BB660" t="inlineStr"/>
      <c r="BC660" t="inlineStr"/>
      <c r="BD660" t="inlineStr"/>
      <c r="BE660" t="inlineStr"/>
      <c r="BF660" t="inlineStr"/>
      <c r="BG660" t="n">
        <v>80</v>
      </c>
      <c r="BH660" t="inlineStr"/>
      <c r="BI660" t="inlineStr"/>
      <c r="BJ660" t="inlineStr"/>
      <c r="BK660" t="inlineStr"/>
      <c r="BL660" t="inlineStr"/>
      <c r="BM660" t="inlineStr">
        <is>
          <t>n</t>
        </is>
      </c>
      <c r="BN660" t="n">
        <v>0</v>
      </c>
      <c r="BO660" t="inlineStr"/>
      <c r="BP660" t="inlineStr">
        <is>
          <t>Gewebe</t>
        </is>
      </c>
      <c r="BQ660" t="inlineStr"/>
      <c r="BR660" t="inlineStr"/>
      <c r="BS660" t="inlineStr"/>
      <c r="BT660" t="inlineStr"/>
      <c r="BU660" t="inlineStr"/>
      <c r="BV660" t="inlineStr"/>
      <c r="BW660" t="inlineStr"/>
      <c r="BX660" t="inlineStr"/>
      <c r="BY660" t="inlineStr"/>
      <c r="BZ660" t="inlineStr"/>
      <c r="CA660" t="inlineStr"/>
      <c r="CB660" t="inlineStr"/>
      <c r="CC660" t="inlineStr"/>
      <c r="CD660" t="inlineStr"/>
      <c r="CE660" t="inlineStr"/>
      <c r="CF660" t="inlineStr"/>
      <c r="CG660" t="inlineStr"/>
      <c r="CH660" t="inlineStr"/>
      <c r="CI660" t="inlineStr"/>
      <c r="CJ660" t="inlineStr"/>
      <c r="CK660" t="inlineStr"/>
      <c r="CL660" t="inlineStr"/>
      <c r="CM660" t="inlineStr"/>
      <c r="CN660" t="inlineStr"/>
      <c r="CO660" t="inlineStr"/>
      <c r="CP660" t="inlineStr"/>
      <c r="CQ660" t="inlineStr"/>
      <c r="CR660" t="inlineStr"/>
      <c r="CS660" t="inlineStr"/>
      <c r="CT660" t="inlineStr"/>
      <c r="CU660" t="inlineStr"/>
      <c r="CV660" t="inlineStr"/>
      <c r="CW660" t="inlineStr"/>
      <c r="CX660" t="inlineStr"/>
      <c r="CY660" t="inlineStr"/>
      <c r="CZ660" t="inlineStr"/>
      <c r="DA660" t="inlineStr"/>
      <c r="DB660" t="inlineStr"/>
      <c r="DC660" t="inlineStr"/>
      <c r="DD660" t="inlineStr"/>
      <c r="DE660" t="inlineStr"/>
      <c r="DF660" t="inlineStr"/>
      <c r="DG660" t="inlineStr"/>
    </row>
    <row r="661">
      <c r="A661" t="inlineStr">
        <is>
          <t>III</t>
        </is>
      </c>
      <c r="B661" t="b">
        <v>1</v>
      </c>
      <c r="C661" t="inlineStr"/>
      <c r="D661" t="inlineStr"/>
      <c r="E661" t="inlineStr"/>
      <c r="F661">
        <f>HYPERLINK("https://portal.dnb.de/opac.htm?method=simpleSearch&amp;cqlMode=true&amp;query=idn%3D99409843X", "Portal")</f>
        <v/>
      </c>
      <c r="G661" t="inlineStr"/>
      <c r="H661" t="inlineStr">
        <is>
          <t>L-1544-154505633</t>
        </is>
      </c>
      <c r="I661" t="inlineStr">
        <is>
          <t>99409843X</t>
        </is>
      </c>
      <c r="J661" t="inlineStr"/>
      <c r="K661" t="inlineStr">
        <is>
          <t>III 73, 6 a</t>
        </is>
      </c>
      <c r="L661" t="inlineStr">
        <is>
          <t>III 73, 6 a</t>
        </is>
      </c>
      <c r="M661" t="inlineStr"/>
      <c r="N661" t="inlineStr">
        <is>
          <t>Venerabilis Bedae|| presbyteri theologi doctissimi iuxta|| ac Sanctissimi, Commentationum in Sa||cras literas</t>
        </is>
      </c>
      <c r="O661" t="inlineStr">
        <is>
          <t xml:space="preserve">2 : </t>
        </is>
      </c>
      <c r="P661" t="inlineStr"/>
      <c r="Q661" t="inlineStr"/>
      <c r="R661" t="inlineStr"/>
      <c r="S661" t="inlineStr"/>
      <c r="T661" t="inlineStr"/>
      <c r="U661" t="inlineStr"/>
      <c r="V661" t="inlineStr"/>
      <c r="W661" t="inlineStr"/>
      <c r="X661" t="inlineStr"/>
      <c r="Y661" t="inlineStr"/>
      <c r="Z661" t="inlineStr"/>
      <c r="AA661" t="inlineStr"/>
      <c r="AB661" t="inlineStr"/>
      <c r="AC661" t="inlineStr"/>
      <c r="AD661" t="inlineStr"/>
      <c r="AE661" t="inlineStr"/>
      <c r="AF661" t="inlineStr"/>
      <c r="AG661" t="inlineStr"/>
      <c r="AH661" t="inlineStr"/>
      <c r="AI661" t="inlineStr"/>
      <c r="AJ661" t="inlineStr"/>
      <c r="AK661" t="inlineStr"/>
      <c r="AL661" t="inlineStr"/>
      <c r="AM661" t="inlineStr"/>
      <c r="AN661" t="inlineStr"/>
      <c r="AO661" t="inlineStr"/>
      <c r="AP661" t="inlineStr"/>
      <c r="AQ661" t="inlineStr"/>
      <c r="AR661" t="inlineStr"/>
      <c r="AS661" t="inlineStr"/>
      <c r="AT661" t="inlineStr"/>
      <c r="AU661" t="inlineStr"/>
      <c r="AV661" t="inlineStr"/>
      <c r="AW661" t="inlineStr"/>
      <c r="AX661" t="inlineStr"/>
      <c r="AY661" t="inlineStr"/>
      <c r="AZ661" t="inlineStr"/>
      <c r="BA661" t="inlineStr"/>
      <c r="BB661" t="inlineStr"/>
      <c r="BC661" t="inlineStr"/>
      <c r="BD661" t="inlineStr"/>
      <c r="BE661" t="inlineStr"/>
      <c r="BF661" t="inlineStr"/>
      <c r="BG661" t="inlineStr"/>
      <c r="BH661" t="inlineStr"/>
      <c r="BI661" t="inlineStr"/>
      <c r="BJ661" t="inlineStr"/>
      <c r="BK661" t="inlineStr"/>
      <c r="BL661" t="inlineStr"/>
      <c r="BM661" t="inlineStr"/>
      <c r="BN661" t="inlineStr"/>
      <c r="BO661" t="inlineStr"/>
      <c r="BP661" t="inlineStr"/>
      <c r="BQ661" t="inlineStr"/>
      <c r="BR661" t="inlineStr"/>
      <c r="BS661" t="inlineStr"/>
      <c r="BT661" t="inlineStr"/>
      <c r="BU661" t="inlineStr"/>
      <c r="BV661" t="inlineStr"/>
      <c r="BW661" t="inlineStr"/>
      <c r="BX661" t="inlineStr"/>
      <c r="BY661" t="inlineStr"/>
      <c r="BZ661" t="inlineStr"/>
      <c r="CA661" t="inlineStr"/>
      <c r="CB661" t="inlineStr"/>
      <c r="CC661" t="inlineStr"/>
      <c r="CD661" t="inlineStr"/>
      <c r="CE661" t="inlineStr"/>
      <c r="CF661" t="inlineStr"/>
      <c r="CG661" t="inlineStr"/>
      <c r="CH661" t="inlineStr"/>
      <c r="CI661" t="inlineStr"/>
      <c r="CJ661" t="inlineStr"/>
      <c r="CK661" t="inlineStr"/>
      <c r="CL661" t="inlineStr"/>
      <c r="CM661" t="inlineStr"/>
      <c r="CN661" t="inlineStr"/>
      <c r="CO661" t="inlineStr"/>
      <c r="CP661" t="inlineStr"/>
      <c r="CQ661" t="inlineStr"/>
      <c r="CR661" t="inlineStr"/>
      <c r="CS661" t="inlineStr"/>
      <c r="CT661" t="inlineStr"/>
      <c r="CU661" t="inlineStr"/>
      <c r="CV661" t="inlineStr"/>
      <c r="CW661" t="inlineStr"/>
      <c r="CX661" t="inlineStr"/>
      <c r="CY661" t="inlineStr"/>
      <c r="CZ661" t="inlineStr"/>
      <c r="DA661" t="inlineStr"/>
      <c r="DB661" t="inlineStr"/>
      <c r="DC661" t="inlineStr"/>
      <c r="DD661" t="inlineStr"/>
      <c r="DE661" t="inlineStr"/>
      <c r="DF661" t="inlineStr"/>
      <c r="DG661" t="inlineStr"/>
    </row>
    <row r="662">
      <c r="A662" t="inlineStr">
        <is>
          <t>III</t>
        </is>
      </c>
      <c r="B662" t="b">
        <v>1</v>
      </c>
      <c r="C662" t="inlineStr"/>
      <c r="D662" t="inlineStr"/>
      <c r="E662" t="n">
        <v>738</v>
      </c>
      <c r="F662">
        <f>HYPERLINK("https://portal.dnb.de/opac.htm?method=simpleSearch&amp;cqlMode=true&amp;query=idn%3D993994350", "Portal")</f>
        <v/>
      </c>
      <c r="G662" t="inlineStr">
        <is>
          <t>Afl</t>
        </is>
      </c>
      <c r="H662" t="inlineStr">
        <is>
          <t>L-1502-154136255</t>
        </is>
      </c>
      <c r="I662" t="inlineStr">
        <is>
          <t>993994350</t>
        </is>
      </c>
      <c r="J662" t="inlineStr">
        <is>
          <t>III 73, 7</t>
        </is>
      </c>
      <c r="K662" t="inlineStr">
        <is>
          <t>III 73, 7</t>
        </is>
      </c>
      <c r="L662" t="inlineStr">
        <is>
          <t>III 73, 7</t>
        </is>
      </c>
      <c r="M662" t="inlineStr"/>
      <c r="N662" t="inlineStr">
        <is>
          <t>Opuscula diui Augu||stini longe prestantissima cum duplici||indicio rursus parrhisiis coimpressa||</t>
        </is>
      </c>
      <c r="O662" t="inlineStr">
        <is>
          <t xml:space="preserve">2 : </t>
        </is>
      </c>
      <c r="P662" t="inlineStr"/>
      <c r="Q662" t="inlineStr"/>
      <c r="R662" t="inlineStr"/>
      <c r="S662" t="inlineStr"/>
      <c r="T662" t="inlineStr"/>
      <c r="U662" t="inlineStr"/>
      <c r="V662" t="inlineStr"/>
      <c r="W662" t="inlineStr"/>
      <c r="X662" t="inlineStr"/>
      <c r="Y662" t="inlineStr"/>
      <c r="Z662" t="inlineStr"/>
      <c r="AA662" t="inlineStr"/>
      <c r="AB662" t="inlineStr"/>
      <c r="AC662" t="inlineStr"/>
      <c r="AD662" t="inlineStr"/>
      <c r="AE662" t="inlineStr"/>
      <c r="AF662" t="inlineStr"/>
      <c r="AG662" t="inlineStr"/>
      <c r="AH662" t="inlineStr"/>
      <c r="AI662" t="inlineStr"/>
      <c r="AJ662" t="inlineStr"/>
      <c r="AK662" t="inlineStr"/>
      <c r="AL662" t="inlineStr"/>
      <c r="AM662" t="inlineStr"/>
      <c r="AN662" t="inlineStr"/>
      <c r="AO662" t="inlineStr"/>
      <c r="AP662" t="inlineStr"/>
      <c r="AQ662" t="inlineStr"/>
      <c r="AR662" t="inlineStr"/>
      <c r="AS662" t="inlineStr"/>
      <c r="AT662" t="inlineStr"/>
      <c r="AU662" t="inlineStr"/>
      <c r="AV662" t="inlineStr"/>
      <c r="AW662" t="inlineStr"/>
      <c r="AX662" t="inlineStr"/>
      <c r="AY662" t="inlineStr"/>
      <c r="AZ662" t="inlineStr"/>
      <c r="BA662" t="inlineStr"/>
      <c r="BB662" t="inlineStr"/>
      <c r="BC662" t="inlineStr"/>
      <c r="BD662" t="inlineStr"/>
      <c r="BE662" t="inlineStr"/>
      <c r="BF662" t="inlineStr"/>
      <c r="BG662" t="inlineStr"/>
      <c r="BH662" t="inlineStr"/>
      <c r="BI662" t="inlineStr"/>
      <c r="BJ662" t="inlineStr"/>
      <c r="BK662" t="inlineStr"/>
      <c r="BL662" t="inlineStr"/>
      <c r="BM662" t="inlineStr"/>
      <c r="BN662" t="n">
        <v>0</v>
      </c>
      <c r="BO662" t="inlineStr"/>
      <c r="BP662" t="inlineStr"/>
      <c r="BQ662" t="inlineStr"/>
      <c r="BR662" t="inlineStr"/>
      <c r="BS662" t="inlineStr"/>
      <c r="BT662" t="inlineStr"/>
      <c r="BU662" t="inlineStr"/>
      <c r="BV662" t="inlineStr"/>
      <c r="BW662" t="inlineStr"/>
      <c r="BX662" t="inlineStr"/>
      <c r="BY662" t="inlineStr"/>
      <c r="BZ662" t="inlineStr"/>
      <c r="CA662" t="inlineStr"/>
      <c r="CB662" t="inlineStr"/>
      <c r="CC662" t="inlineStr"/>
      <c r="CD662" t="inlineStr"/>
      <c r="CE662" t="inlineStr"/>
      <c r="CF662" t="inlineStr"/>
      <c r="CG662" t="inlineStr"/>
      <c r="CH662" t="inlineStr"/>
      <c r="CI662" t="inlineStr"/>
      <c r="CJ662" t="inlineStr"/>
      <c r="CK662" t="inlineStr"/>
      <c r="CL662" t="inlineStr"/>
      <c r="CM662" t="inlineStr"/>
      <c r="CN662" t="inlineStr"/>
      <c r="CO662" t="inlineStr"/>
      <c r="CP662" t="inlineStr"/>
      <c r="CQ662" t="inlineStr"/>
      <c r="CR662" t="inlineStr"/>
      <c r="CS662" t="inlineStr"/>
      <c r="CT662" t="inlineStr"/>
      <c r="CU662" t="inlineStr"/>
      <c r="CV662" t="inlineStr"/>
      <c r="CW662" t="inlineStr"/>
      <c r="CX662" t="inlineStr"/>
      <c r="CY662" t="inlineStr"/>
      <c r="CZ662" t="inlineStr"/>
      <c r="DA662" t="inlineStr"/>
      <c r="DB662" t="inlineStr"/>
      <c r="DC662" t="inlineStr"/>
      <c r="DD662" t="inlineStr"/>
      <c r="DE662" t="inlineStr"/>
      <c r="DF662" t="inlineStr"/>
      <c r="DG662" t="inlineStr"/>
    </row>
    <row r="663">
      <c r="A663" t="inlineStr">
        <is>
          <t>III</t>
        </is>
      </c>
      <c r="B663" t="b">
        <v>1</v>
      </c>
      <c r="C663" t="inlineStr"/>
      <c r="D663" t="inlineStr"/>
      <c r="E663" t="n">
        <v>739</v>
      </c>
      <c r="F663">
        <f>HYPERLINK("https://portal.dnb.de/opac.htm?method=simpleSearch&amp;cqlMode=true&amp;query=idn%3D993994253", "Portal")</f>
        <v/>
      </c>
      <c r="G663" t="inlineStr">
        <is>
          <t>Afl</t>
        </is>
      </c>
      <c r="H663" t="inlineStr">
        <is>
          <t>L-1502-154136115</t>
        </is>
      </c>
      <c r="I663" t="inlineStr">
        <is>
          <t>993994253</t>
        </is>
      </c>
      <c r="J663" t="inlineStr">
        <is>
          <t>III 73, 7</t>
        </is>
      </c>
      <c r="K663" t="inlineStr">
        <is>
          <t>III 73, 7</t>
        </is>
      </c>
      <c r="L663" t="inlineStr">
        <is>
          <t>III 73, 7</t>
        </is>
      </c>
      <c r="M663" t="inlineStr"/>
      <c r="N663" t="inlineStr">
        <is>
          <t>Opuscula diui Augu||stini longe prestantissima cum duplici||indicio rursus parrhisiis coimpressa||</t>
        </is>
      </c>
      <c r="O663" t="inlineStr">
        <is>
          <t xml:space="preserve">[1] : </t>
        </is>
      </c>
      <c r="P663" t="inlineStr"/>
      <c r="Q663" t="inlineStr"/>
      <c r="R663" t="inlineStr"/>
      <c r="S663" t="inlineStr"/>
      <c r="T663" t="inlineStr"/>
      <c r="U663" t="inlineStr"/>
      <c r="V663" t="inlineStr"/>
      <c r="W663" t="inlineStr"/>
      <c r="X663" t="inlineStr"/>
      <c r="Y663" t="inlineStr"/>
      <c r="Z663" t="inlineStr"/>
      <c r="AA663" t="inlineStr"/>
      <c r="AB663" t="inlineStr"/>
      <c r="AC663" t="inlineStr"/>
      <c r="AD663" t="inlineStr"/>
      <c r="AE663" t="inlineStr"/>
      <c r="AF663" t="inlineStr"/>
      <c r="AG663" t="inlineStr"/>
      <c r="AH663" t="inlineStr"/>
      <c r="AI663" t="inlineStr"/>
      <c r="AJ663" t="inlineStr"/>
      <c r="AK663" t="inlineStr"/>
      <c r="AL663" t="inlineStr"/>
      <c r="AM663" t="inlineStr"/>
      <c r="AN663" t="inlineStr"/>
      <c r="AO663" t="inlineStr"/>
      <c r="AP663" t="inlineStr"/>
      <c r="AQ663" t="inlineStr"/>
      <c r="AR663" t="inlineStr"/>
      <c r="AS663" t="inlineStr"/>
      <c r="AT663" t="inlineStr"/>
      <c r="AU663" t="inlineStr"/>
      <c r="AV663" t="inlineStr"/>
      <c r="AW663" t="inlineStr"/>
      <c r="AX663" t="inlineStr"/>
      <c r="AY663" t="inlineStr"/>
      <c r="AZ663" t="inlineStr"/>
      <c r="BA663" t="inlineStr"/>
      <c r="BB663" t="inlineStr"/>
      <c r="BC663" t="inlineStr"/>
      <c r="BD663" t="inlineStr"/>
      <c r="BE663" t="inlineStr"/>
      <c r="BF663" t="inlineStr"/>
      <c r="BG663" t="inlineStr"/>
      <c r="BH663" t="inlineStr"/>
      <c r="BI663" t="inlineStr"/>
      <c r="BJ663" t="inlineStr"/>
      <c r="BK663" t="inlineStr"/>
      <c r="BL663" t="inlineStr"/>
      <c r="BM663" t="inlineStr"/>
      <c r="BN663" t="n">
        <v>0</v>
      </c>
      <c r="BO663" t="inlineStr"/>
      <c r="BP663" t="inlineStr"/>
      <c r="BQ663" t="inlineStr"/>
      <c r="BR663" t="inlineStr"/>
      <c r="BS663" t="inlineStr"/>
      <c r="BT663" t="inlineStr"/>
      <c r="BU663" t="inlineStr"/>
      <c r="BV663" t="inlineStr"/>
      <c r="BW663" t="inlineStr"/>
      <c r="BX663" t="inlineStr"/>
      <c r="BY663" t="inlineStr"/>
      <c r="BZ663" t="inlineStr"/>
      <c r="CA663" t="inlineStr"/>
      <c r="CB663" t="inlineStr"/>
      <c r="CC663" t="inlineStr"/>
      <c r="CD663" t="inlineStr"/>
      <c r="CE663" t="inlineStr"/>
      <c r="CF663" t="inlineStr"/>
      <c r="CG663" t="inlineStr"/>
      <c r="CH663" t="inlineStr"/>
      <c r="CI663" t="inlineStr"/>
      <c r="CJ663" t="inlineStr"/>
      <c r="CK663" t="inlineStr"/>
      <c r="CL663" t="inlineStr"/>
      <c r="CM663" t="inlineStr"/>
      <c r="CN663" t="inlineStr"/>
      <c r="CO663" t="inlineStr"/>
      <c r="CP663" t="inlineStr"/>
      <c r="CQ663" t="inlineStr"/>
      <c r="CR663" t="inlineStr"/>
      <c r="CS663" t="inlineStr"/>
      <c r="CT663" t="inlineStr"/>
      <c r="CU663" t="inlineStr"/>
      <c r="CV663" t="inlineStr"/>
      <c r="CW663" t="inlineStr"/>
      <c r="CX663" t="inlineStr"/>
      <c r="CY663" t="inlineStr"/>
      <c r="CZ663" t="inlineStr"/>
      <c r="DA663" t="inlineStr"/>
      <c r="DB663" t="inlineStr"/>
      <c r="DC663" t="inlineStr"/>
      <c r="DD663" t="inlineStr"/>
      <c r="DE663" t="inlineStr"/>
      <c r="DF663" t="inlineStr"/>
      <c r="DG663" t="inlineStr"/>
    </row>
    <row r="664">
      <c r="A664" t="inlineStr">
        <is>
          <t>III</t>
        </is>
      </c>
      <c r="B664" t="b">
        <v>0</v>
      </c>
      <c r="C664" t="inlineStr"/>
      <c r="D664" t="inlineStr"/>
      <c r="E664" t="n">
        <v>740</v>
      </c>
      <c r="F664">
        <f>HYPERLINK("https://portal.dnb.de/opac.htm?method=simpleSearch&amp;cqlMode=true&amp;query=idn%3D1075286875", "Portal")</f>
        <v/>
      </c>
      <c r="G664" t="inlineStr"/>
      <c r="H664" t="inlineStr">
        <is>
          <t>L-1502-332794555</t>
        </is>
      </c>
      <c r="I664" t="inlineStr">
        <is>
          <t>1075286875</t>
        </is>
      </c>
      <c r="J664" t="inlineStr"/>
      <c r="K664" t="inlineStr"/>
      <c r="L664" t="inlineStr">
        <is>
          <t>III 73, 8</t>
        </is>
      </c>
      <c r="M664" t="inlineStr"/>
      <c r="N664" t="inlineStr"/>
      <c r="O664" t="inlineStr"/>
      <c r="P664" t="inlineStr"/>
      <c r="Q664" t="inlineStr"/>
      <c r="R664" t="inlineStr"/>
      <c r="S664" t="inlineStr"/>
      <c r="T664" t="inlineStr"/>
      <c r="U664" t="inlineStr"/>
      <c r="V664" t="inlineStr"/>
      <c r="W664" t="inlineStr"/>
      <c r="X664" t="inlineStr"/>
      <c r="Y664" t="inlineStr"/>
      <c r="Z664" t="inlineStr"/>
      <c r="AA664" t="inlineStr"/>
      <c r="AB664" t="inlineStr"/>
      <c r="AC664" t="inlineStr"/>
      <c r="AD664" t="inlineStr"/>
      <c r="AE664" t="inlineStr"/>
      <c r="AF664" t="inlineStr"/>
      <c r="AG664" t="inlineStr"/>
      <c r="AH664" t="inlineStr"/>
      <c r="AI664" t="inlineStr"/>
      <c r="AJ664" t="inlineStr"/>
      <c r="AK664" t="inlineStr"/>
      <c r="AL664" t="inlineStr"/>
      <c r="AM664" t="inlineStr"/>
      <c r="AN664" t="inlineStr"/>
      <c r="AO664" t="inlineStr"/>
      <c r="AP664" t="inlineStr"/>
      <c r="AQ664" t="inlineStr"/>
      <c r="AR664" t="inlineStr"/>
      <c r="AS664" t="inlineStr"/>
      <c r="AT664" t="inlineStr"/>
      <c r="AU664" t="inlineStr"/>
      <c r="AV664" t="inlineStr"/>
      <c r="AW664" t="inlineStr"/>
      <c r="AX664" t="inlineStr"/>
      <c r="AY664" t="inlineStr"/>
      <c r="AZ664" t="inlineStr"/>
      <c r="BA664" t="inlineStr"/>
      <c r="BB664" t="inlineStr"/>
      <c r="BC664" t="inlineStr"/>
      <c r="BD664" t="inlineStr"/>
      <c r="BE664" t="inlineStr"/>
      <c r="BF664" t="inlineStr"/>
      <c r="BG664" t="inlineStr"/>
      <c r="BH664" t="inlineStr"/>
      <c r="BI664" t="inlineStr"/>
      <c r="BJ664" t="inlineStr"/>
      <c r="BK664" t="inlineStr"/>
      <c r="BL664" t="inlineStr"/>
      <c r="BM664" t="inlineStr"/>
      <c r="BN664" t="n">
        <v>0</v>
      </c>
      <c r="BO664" t="inlineStr"/>
      <c r="BP664" t="inlineStr"/>
      <c r="BQ664" t="inlineStr"/>
      <c r="BR664" t="inlineStr"/>
      <c r="BS664" t="inlineStr"/>
      <c r="BT664" t="inlineStr"/>
      <c r="BU664" t="inlineStr"/>
      <c r="BV664" t="inlineStr"/>
      <c r="BW664" t="inlineStr"/>
      <c r="BX664" t="inlineStr"/>
      <c r="BY664" t="inlineStr"/>
      <c r="BZ664" t="inlineStr"/>
      <c r="CA664" t="inlineStr"/>
      <c r="CB664" t="inlineStr"/>
      <c r="CC664" t="inlineStr"/>
      <c r="CD664" t="inlineStr"/>
      <c r="CE664" t="inlineStr"/>
      <c r="CF664" t="inlineStr"/>
      <c r="CG664" t="inlineStr"/>
      <c r="CH664" t="inlineStr"/>
      <c r="CI664" t="inlineStr"/>
      <c r="CJ664" t="inlineStr"/>
      <c r="CK664" t="inlineStr"/>
      <c r="CL664" t="inlineStr"/>
      <c r="CM664" t="inlineStr"/>
      <c r="CN664" t="inlineStr"/>
      <c r="CO664" t="inlineStr"/>
      <c r="CP664" t="inlineStr"/>
      <c r="CQ664" t="inlineStr"/>
      <c r="CR664" t="inlineStr"/>
      <c r="CS664" t="inlineStr"/>
      <c r="CT664" t="inlineStr"/>
      <c r="CU664" t="inlineStr"/>
      <c r="CV664" t="inlineStr"/>
      <c r="CW664" t="inlineStr"/>
      <c r="CX664" t="inlineStr"/>
      <c r="CY664" t="inlineStr"/>
      <c r="CZ664" t="inlineStr"/>
      <c r="DA664" t="inlineStr"/>
      <c r="DB664" t="inlineStr"/>
      <c r="DC664" t="inlineStr"/>
      <c r="DD664" t="inlineStr"/>
      <c r="DE664" t="inlineStr"/>
      <c r="DF664" t="inlineStr"/>
      <c r="DG664" t="inlineStr"/>
    </row>
    <row r="665">
      <c r="A665" t="inlineStr">
        <is>
          <t>III</t>
        </is>
      </c>
      <c r="B665" t="b">
        <v>1</v>
      </c>
      <c r="C665" t="inlineStr"/>
      <c r="D665" t="inlineStr"/>
      <c r="E665" t="inlineStr"/>
      <c r="F665">
        <f>HYPERLINK("https://portal.dnb.de/opac.htm?method=simpleSearch&amp;cqlMode=true&amp;query=idn%3D1137888938", "Portal")</f>
        <v/>
      </c>
      <c r="G665" t="inlineStr">
        <is>
          <t>Qd</t>
        </is>
      </c>
      <c r="H665" t="inlineStr">
        <is>
          <t>L-9999-414171306</t>
        </is>
      </c>
      <c r="I665" t="inlineStr">
        <is>
          <t>1137888938</t>
        </is>
      </c>
      <c r="J665" t="inlineStr">
        <is>
          <t>III 73, 9</t>
        </is>
      </c>
      <c r="K665" t="inlineStr">
        <is>
          <t>III 73, 9</t>
        </is>
      </c>
      <c r="L665" t="inlineStr">
        <is>
          <t>III 73, 9</t>
        </is>
      </c>
      <c r="M665" t="inlineStr"/>
      <c r="N665" t="inlineStr">
        <is>
          <t xml:space="preserve">Sammelband mit Werken von Quintus Horatius Flaccus : </t>
        </is>
      </c>
      <c r="O665" t="inlineStr">
        <is>
          <t xml:space="preserve"> : </t>
        </is>
      </c>
      <c r="P665" t="inlineStr"/>
      <c r="Q665" t="inlineStr"/>
      <c r="R665" t="inlineStr">
        <is>
          <t>Ledereinband, Schließen, erhabene Buchbeschläge</t>
        </is>
      </c>
      <c r="S665" t="inlineStr">
        <is>
          <t>bis 35 cm</t>
        </is>
      </c>
      <c r="T665" t="inlineStr">
        <is>
          <t>80° bis 110°, einseitig digitalisierbar?</t>
        </is>
      </c>
      <c r="U665" t="inlineStr">
        <is>
          <t>fester Rücken mit Schmuckprägung, stark brüchiges Einbandmaterial</t>
        </is>
      </c>
      <c r="V665" t="inlineStr"/>
      <c r="W665" t="inlineStr">
        <is>
          <t>Buchschuh</t>
        </is>
      </c>
      <c r="X665" t="inlineStr">
        <is>
          <t>Nein, Signaturfahne austauschen</t>
        </is>
      </c>
      <c r="Y665" t="n">
        <v>3</v>
      </c>
      <c r="Z665" t="inlineStr"/>
      <c r="AA665" t="inlineStr"/>
      <c r="AB665" t="inlineStr"/>
      <c r="AC665" t="inlineStr"/>
      <c r="AD665" t="inlineStr"/>
      <c r="AE665" t="inlineStr"/>
      <c r="AF665" t="inlineStr"/>
      <c r="AG665" t="inlineStr"/>
      <c r="AH665" t="inlineStr"/>
      <c r="AI665" t="inlineStr"/>
      <c r="AJ665" t="inlineStr"/>
      <c r="AK665" t="inlineStr"/>
      <c r="AL665" t="inlineStr"/>
      <c r="AM665" t="inlineStr"/>
      <c r="AN665" t="inlineStr"/>
      <c r="AO665" t="inlineStr"/>
      <c r="AP665" t="inlineStr"/>
      <c r="AQ665" t="inlineStr"/>
      <c r="AR665" t="inlineStr"/>
      <c r="AS665" t="inlineStr"/>
      <c r="AT665" t="inlineStr"/>
      <c r="AU665" t="inlineStr"/>
      <c r="AV665" t="inlineStr"/>
      <c r="AW665" t="inlineStr"/>
      <c r="AX665" t="inlineStr"/>
      <c r="AY665" t="inlineStr"/>
      <c r="AZ665" t="inlineStr"/>
      <c r="BA665" t="inlineStr"/>
      <c r="BB665" t="inlineStr"/>
      <c r="BC665" t="inlineStr"/>
      <c r="BD665" t="inlineStr"/>
      <c r="BE665" t="inlineStr"/>
      <c r="BF665" t="inlineStr"/>
      <c r="BG665" t="inlineStr"/>
      <c r="BH665" t="inlineStr"/>
      <c r="BI665" t="inlineStr"/>
      <c r="BJ665" t="inlineStr"/>
      <c r="BK665" t="inlineStr"/>
      <c r="BL665" t="inlineStr"/>
      <c r="BM665" t="inlineStr"/>
      <c r="BN665" t="n">
        <v>0</v>
      </c>
      <c r="BO665" t="inlineStr"/>
      <c r="BP665" t="inlineStr"/>
      <c r="BQ665" t="inlineStr"/>
      <c r="BR665" t="inlineStr"/>
      <c r="BS665" t="inlineStr"/>
      <c r="BT665" t="inlineStr"/>
      <c r="BU665" t="inlineStr"/>
      <c r="BV665" t="inlineStr"/>
      <c r="BW665" t="inlineStr"/>
      <c r="BX665" t="inlineStr"/>
      <c r="BY665" t="inlineStr"/>
      <c r="BZ665" t="inlineStr"/>
      <c r="CA665" t="inlineStr"/>
      <c r="CB665" t="inlineStr"/>
      <c r="CC665" t="inlineStr"/>
      <c r="CD665" t="inlineStr"/>
      <c r="CE665" t="inlineStr"/>
      <c r="CF665" t="inlineStr"/>
      <c r="CG665" t="inlineStr"/>
      <c r="CH665" t="inlineStr"/>
      <c r="CI665" t="inlineStr"/>
      <c r="CJ665" t="inlineStr"/>
      <c r="CK665" t="inlineStr"/>
      <c r="CL665" t="inlineStr"/>
      <c r="CM665" t="inlineStr"/>
      <c r="CN665" t="inlineStr"/>
      <c r="CO665" t="inlineStr"/>
      <c r="CP665" t="inlineStr"/>
      <c r="CQ665" t="inlineStr"/>
      <c r="CR665" t="inlineStr"/>
      <c r="CS665" t="inlineStr"/>
      <c r="CT665" t="inlineStr"/>
      <c r="CU665" t="inlineStr"/>
      <c r="CV665" t="inlineStr"/>
      <c r="CW665" t="inlineStr"/>
      <c r="CX665" t="inlineStr"/>
      <c r="CY665" t="inlineStr"/>
      <c r="CZ665" t="inlineStr"/>
      <c r="DA665" t="inlineStr"/>
      <c r="DB665" t="inlineStr"/>
      <c r="DC665" t="inlineStr"/>
      <c r="DD665" t="inlineStr"/>
      <c r="DE665" t="inlineStr"/>
      <c r="DF665" t="inlineStr"/>
      <c r="DG665" t="inlineStr"/>
    </row>
    <row r="666">
      <c r="A666" t="inlineStr">
        <is>
          <t>III</t>
        </is>
      </c>
      <c r="B666" t="b">
        <v>0</v>
      </c>
      <c r="C666" t="inlineStr"/>
      <c r="D666" t="inlineStr"/>
      <c r="E666" t="inlineStr"/>
      <c r="F666">
        <f>HYPERLINK("https://portal.dnb.de/opac.htm?method=simpleSearch&amp;cqlMode=true&amp;query=idn%3D", "Portal")</f>
        <v/>
      </c>
      <c r="G666" t="inlineStr"/>
      <c r="H666" t="inlineStr"/>
      <c r="I666" t="inlineStr"/>
      <c r="J666" t="inlineStr"/>
      <c r="K666" t="inlineStr"/>
      <c r="L666" t="inlineStr">
        <is>
          <t>III 73, 11</t>
        </is>
      </c>
      <c r="M666" t="inlineStr"/>
      <c r="N666" t="inlineStr"/>
      <c r="O666" t="inlineStr"/>
      <c r="P666" t="inlineStr"/>
      <c r="Q666" t="inlineStr"/>
      <c r="R666" t="inlineStr">
        <is>
          <t>Ledereinband, Schließen, erhabene Buchbeschläge</t>
        </is>
      </c>
      <c r="S666" t="inlineStr"/>
      <c r="T666" t="inlineStr"/>
      <c r="U666" t="inlineStr"/>
      <c r="V666" t="inlineStr"/>
      <c r="W666" t="inlineStr">
        <is>
          <t>Kassette</t>
        </is>
      </c>
      <c r="X666" t="inlineStr">
        <is>
          <t>Nein</t>
        </is>
      </c>
      <c r="Y666" t="inlineStr"/>
      <c r="Z666" t="inlineStr"/>
      <c r="AA666" t="inlineStr">
        <is>
          <t>Band steht in Austellung</t>
        </is>
      </c>
      <c r="AB666" t="inlineStr"/>
      <c r="AC666" t="inlineStr"/>
      <c r="AD666" t="inlineStr">
        <is>
          <t>DA</t>
        </is>
      </c>
      <c r="AE666" t="inlineStr"/>
      <c r="AF666" t="inlineStr"/>
      <c r="AG666" t="inlineStr"/>
      <c r="AH666" t="inlineStr"/>
      <c r="AI666" t="inlineStr"/>
      <c r="AJ666" t="inlineStr"/>
      <c r="AK666" t="inlineStr"/>
      <c r="AL666" t="inlineStr"/>
      <c r="AM666" t="inlineStr"/>
      <c r="AN666" t="inlineStr"/>
      <c r="AO666" t="inlineStr"/>
      <c r="AP666" t="inlineStr"/>
      <c r="AQ666" t="inlineStr"/>
      <c r="AR666" t="inlineStr"/>
      <c r="AS666" t="inlineStr"/>
      <c r="AT666" t="inlineStr"/>
      <c r="AU666" t="inlineStr"/>
      <c r="AV666" t="inlineStr"/>
      <c r="AW666" t="inlineStr"/>
      <c r="AX666" t="inlineStr"/>
      <c r="AY666" t="inlineStr"/>
      <c r="AZ666" t="inlineStr"/>
      <c r="BA666" t="inlineStr"/>
      <c r="BB666" t="inlineStr"/>
      <c r="BC666" t="inlineStr"/>
      <c r="BD666" t="inlineStr"/>
      <c r="BE666" t="inlineStr"/>
      <c r="BF666" t="inlineStr"/>
      <c r="BG666" t="inlineStr"/>
      <c r="BH666" t="inlineStr"/>
      <c r="BI666" t="inlineStr"/>
      <c r="BJ666" t="inlineStr"/>
      <c r="BK666" t="inlineStr"/>
      <c r="BL666" t="inlineStr"/>
      <c r="BM666" t="inlineStr"/>
      <c r="BN666" t="n">
        <v>0</v>
      </c>
      <c r="BO666" t="inlineStr"/>
      <c r="BP666" t="inlineStr"/>
      <c r="BQ666" t="inlineStr"/>
      <c r="BR666" t="inlineStr"/>
      <c r="BS666" t="inlineStr"/>
      <c r="BT666" t="inlineStr"/>
      <c r="BU666" t="inlineStr"/>
      <c r="BV666" t="inlineStr"/>
      <c r="BW666" t="inlineStr"/>
      <c r="BX666" t="inlineStr"/>
      <c r="BY666" t="inlineStr"/>
      <c r="BZ666" t="inlineStr"/>
      <c r="CA666" t="inlineStr"/>
      <c r="CB666" t="inlineStr"/>
      <c r="CC666" t="inlineStr"/>
      <c r="CD666" t="inlineStr"/>
      <c r="CE666" t="inlineStr"/>
      <c r="CF666" t="inlineStr"/>
      <c r="CG666" t="inlineStr"/>
      <c r="CH666" t="inlineStr"/>
      <c r="CI666" t="inlineStr"/>
      <c r="CJ666" t="inlineStr"/>
      <c r="CK666" t="inlineStr"/>
      <c r="CL666" t="inlineStr"/>
      <c r="CM666" t="inlineStr"/>
      <c r="CN666" t="inlineStr"/>
      <c r="CO666" t="inlineStr"/>
      <c r="CP666" t="inlineStr"/>
      <c r="CQ666" t="inlineStr"/>
      <c r="CR666" t="inlineStr"/>
      <c r="CS666" t="inlineStr"/>
      <c r="CT666" t="inlineStr"/>
      <c r="CU666" t="inlineStr"/>
      <c r="CV666" t="inlineStr"/>
      <c r="CW666" t="inlineStr"/>
      <c r="CX666" t="inlineStr"/>
      <c r="CY666" t="inlineStr"/>
      <c r="CZ666" t="inlineStr"/>
      <c r="DA666" t="inlineStr"/>
      <c r="DB666" t="inlineStr"/>
      <c r="DC666" t="inlineStr"/>
      <c r="DD666" t="inlineStr"/>
      <c r="DE666" t="inlineStr"/>
      <c r="DF666" t="inlineStr"/>
      <c r="DG666" t="inlineStr"/>
    </row>
    <row r="667">
      <c r="A667" t="inlineStr">
        <is>
          <t>III</t>
        </is>
      </c>
      <c r="B667" t="b">
        <v>0</v>
      </c>
      <c r="C667" t="inlineStr"/>
      <c r="D667" t="inlineStr"/>
      <c r="E667" t="n">
        <v>791</v>
      </c>
      <c r="F667">
        <f>HYPERLINK("https://portal.dnb.de/opac.htm?method=simpleSearch&amp;cqlMode=true&amp;query=idn%3D1066758131", "Portal")</f>
        <v/>
      </c>
      <c r="G667" t="inlineStr"/>
      <c r="H667" t="inlineStr">
        <is>
          <t>L-1509-31518079X</t>
        </is>
      </c>
      <c r="I667" t="inlineStr">
        <is>
          <t>1066758131</t>
        </is>
      </c>
      <c r="J667" t="inlineStr"/>
      <c r="K667" t="inlineStr"/>
      <c r="L667" t="inlineStr">
        <is>
          <t>III 73, 11 @</t>
        </is>
      </c>
      <c r="M667" t="inlineStr"/>
      <c r="N667" t="inlineStr"/>
      <c r="O667" t="inlineStr"/>
      <c r="P667" t="inlineStr"/>
      <c r="Q667" t="inlineStr"/>
      <c r="R667" t="inlineStr"/>
      <c r="S667" t="inlineStr"/>
      <c r="T667" t="inlineStr"/>
      <c r="U667" t="inlineStr"/>
      <c r="V667" t="inlineStr"/>
      <c r="W667" t="inlineStr"/>
      <c r="X667" t="inlineStr"/>
      <c r="Y667" t="inlineStr"/>
      <c r="Z667" t="inlineStr"/>
      <c r="AA667" t="inlineStr"/>
      <c r="AB667" t="inlineStr"/>
      <c r="AC667" t="inlineStr"/>
      <c r="AD667" t="inlineStr"/>
      <c r="AE667" t="inlineStr"/>
      <c r="AF667" t="inlineStr"/>
      <c r="AG667" t="inlineStr"/>
      <c r="AH667" t="inlineStr"/>
      <c r="AI667" t="inlineStr"/>
      <c r="AJ667" t="inlineStr"/>
      <c r="AK667" t="inlineStr"/>
      <c r="AL667" t="inlineStr"/>
      <c r="AM667" t="inlineStr"/>
      <c r="AN667" t="inlineStr"/>
      <c r="AO667" t="inlineStr"/>
      <c r="AP667" t="inlineStr"/>
      <c r="AQ667" t="inlineStr"/>
      <c r="AR667" t="inlineStr"/>
      <c r="AS667" t="inlineStr"/>
      <c r="AT667" t="inlineStr"/>
      <c r="AU667" t="inlineStr"/>
      <c r="AV667" t="inlineStr"/>
      <c r="AW667" t="inlineStr"/>
      <c r="AX667" t="inlineStr"/>
      <c r="AY667" t="inlineStr"/>
      <c r="AZ667" t="inlineStr"/>
      <c r="BA667" t="inlineStr"/>
      <c r="BB667" t="inlineStr"/>
      <c r="BC667" t="inlineStr"/>
      <c r="BD667" t="inlineStr"/>
      <c r="BE667" t="inlineStr"/>
      <c r="BF667" t="inlineStr"/>
      <c r="BG667" t="inlineStr"/>
      <c r="BH667" t="inlineStr"/>
      <c r="BI667" t="inlineStr"/>
      <c r="BJ667" t="inlineStr"/>
      <c r="BK667" t="inlineStr"/>
      <c r="BL667" t="inlineStr"/>
      <c r="BM667" t="inlineStr"/>
      <c r="BN667" t="n">
        <v>0</v>
      </c>
      <c r="BO667" t="inlineStr"/>
      <c r="BP667" t="inlineStr"/>
      <c r="BQ667" t="inlineStr"/>
      <c r="BR667" t="inlineStr"/>
      <c r="BS667" t="inlineStr"/>
      <c r="BT667" t="inlineStr"/>
      <c r="BU667" t="inlineStr"/>
      <c r="BV667" t="inlineStr"/>
      <c r="BW667" t="inlineStr"/>
      <c r="BX667" t="inlineStr"/>
      <c r="BY667" t="inlineStr"/>
      <c r="BZ667" t="inlineStr"/>
      <c r="CA667" t="inlineStr"/>
      <c r="CB667" t="inlineStr"/>
      <c r="CC667" t="inlineStr"/>
      <c r="CD667" t="inlineStr"/>
      <c r="CE667" t="inlineStr"/>
      <c r="CF667" t="inlineStr"/>
      <c r="CG667" t="inlineStr"/>
      <c r="CH667" t="inlineStr"/>
      <c r="CI667" t="inlineStr"/>
      <c r="CJ667" t="inlineStr"/>
      <c r="CK667" t="inlineStr"/>
      <c r="CL667" t="inlineStr"/>
      <c r="CM667" t="inlineStr"/>
      <c r="CN667" t="inlineStr"/>
      <c r="CO667" t="inlineStr"/>
      <c r="CP667" t="inlineStr"/>
      <c r="CQ667" t="inlineStr"/>
      <c r="CR667" t="inlineStr"/>
      <c r="CS667" t="inlineStr"/>
      <c r="CT667" t="inlineStr"/>
      <c r="CU667" t="inlineStr"/>
      <c r="CV667" t="inlineStr"/>
      <c r="CW667" t="inlineStr"/>
      <c r="CX667" t="inlineStr"/>
      <c r="CY667" t="inlineStr"/>
      <c r="CZ667" t="inlineStr"/>
      <c r="DA667" t="inlineStr"/>
      <c r="DB667" t="inlineStr"/>
      <c r="DC667" t="inlineStr"/>
      <c r="DD667" t="inlineStr"/>
      <c r="DE667" t="inlineStr"/>
      <c r="DF667" t="inlineStr"/>
      <c r="DG667" t="inlineStr"/>
    </row>
    <row r="668">
      <c r="A668" t="inlineStr">
        <is>
          <t>III</t>
        </is>
      </c>
      <c r="B668" t="b">
        <v>1</v>
      </c>
      <c r="C668" t="inlineStr"/>
      <c r="D668" t="inlineStr"/>
      <c r="E668" t="inlineStr"/>
      <c r="F668">
        <f>HYPERLINK("https://portal.dnb.de/opac.htm?method=simpleSearch&amp;cqlMode=true&amp;query=idn%3D113772692X", "Portal")</f>
        <v/>
      </c>
      <c r="G668" t="inlineStr">
        <is>
          <t>Qd</t>
        </is>
      </c>
      <c r="H668" t="inlineStr">
        <is>
          <t>L-9999-413881482</t>
        </is>
      </c>
      <c r="I668" t="inlineStr">
        <is>
          <t>113772692X</t>
        </is>
      </c>
      <c r="J668" t="inlineStr">
        <is>
          <t>III 73, 12</t>
        </is>
      </c>
      <c r="K668" t="inlineStr">
        <is>
          <t>III 73, 12</t>
        </is>
      </c>
      <c r="L668" t="inlineStr">
        <is>
          <t>III 73, 12</t>
        </is>
      </c>
      <c r="M668" t="inlineStr"/>
      <c r="N668" t="inlineStr">
        <is>
          <t xml:space="preserve">Sammelband von Werken zum kanonischen Recht : </t>
        </is>
      </c>
      <c r="O668" t="inlineStr">
        <is>
          <t xml:space="preserve"> : </t>
        </is>
      </c>
      <c r="P668" t="inlineStr"/>
      <c r="Q668" t="inlineStr"/>
      <c r="R668" t="inlineStr">
        <is>
          <t>Halbledereinband</t>
        </is>
      </c>
      <c r="S668" t="inlineStr">
        <is>
          <t>bis 25 cm</t>
        </is>
      </c>
      <c r="T668" t="inlineStr">
        <is>
          <t>80° bis 110°, einseitig digitalisierbar?</t>
        </is>
      </c>
      <c r="U668" t="inlineStr">
        <is>
          <t>hohler Rücken, Schrift bis in den Falz</t>
        </is>
      </c>
      <c r="V668" t="inlineStr"/>
      <c r="W668" t="inlineStr"/>
      <c r="X668" t="inlineStr">
        <is>
          <t>Signaturfahne austauschen</t>
        </is>
      </c>
      <c r="Y668" t="n">
        <v>0</v>
      </c>
      <c r="Z668" t="inlineStr"/>
      <c r="AA668" t="inlineStr"/>
      <c r="AB668" t="inlineStr"/>
      <c r="AC668" t="inlineStr"/>
      <c r="AD668" t="inlineStr"/>
      <c r="AE668" t="inlineStr"/>
      <c r="AF668" t="inlineStr"/>
      <c r="AG668" t="inlineStr"/>
      <c r="AH668" t="inlineStr"/>
      <c r="AI668" t="inlineStr"/>
      <c r="AJ668" t="inlineStr"/>
      <c r="AK668" t="inlineStr"/>
      <c r="AL668" t="inlineStr"/>
      <c r="AM668" t="inlineStr"/>
      <c r="AN668" t="inlineStr"/>
      <c r="AO668" t="inlineStr"/>
      <c r="AP668" t="inlineStr"/>
      <c r="AQ668" t="inlineStr"/>
      <c r="AR668" t="inlineStr"/>
      <c r="AS668" t="inlineStr"/>
      <c r="AT668" t="inlineStr"/>
      <c r="AU668" t="inlineStr"/>
      <c r="AV668" t="inlineStr"/>
      <c r="AW668" t="inlineStr"/>
      <c r="AX668" t="inlineStr"/>
      <c r="AY668" t="inlineStr"/>
      <c r="AZ668" t="inlineStr"/>
      <c r="BA668" t="inlineStr"/>
      <c r="BB668" t="inlineStr"/>
      <c r="BC668" t="inlineStr"/>
      <c r="BD668" t="inlineStr"/>
      <c r="BE668" t="inlineStr"/>
      <c r="BF668" t="inlineStr"/>
      <c r="BG668" t="inlineStr"/>
      <c r="BH668" t="inlineStr"/>
      <c r="BI668" t="inlineStr"/>
      <c r="BJ668" t="inlineStr"/>
      <c r="BK668" t="inlineStr"/>
      <c r="BL668" t="inlineStr"/>
      <c r="BM668" t="inlineStr"/>
      <c r="BN668" t="n">
        <v>0</v>
      </c>
      <c r="BO668" t="inlineStr"/>
      <c r="BP668" t="inlineStr"/>
      <c r="BQ668" t="inlineStr"/>
      <c r="BR668" t="inlineStr"/>
      <c r="BS668" t="inlineStr"/>
      <c r="BT668" t="inlineStr"/>
      <c r="BU668" t="inlineStr"/>
      <c r="BV668" t="inlineStr"/>
      <c r="BW668" t="inlineStr"/>
      <c r="BX668" t="inlineStr"/>
      <c r="BY668" t="inlineStr"/>
      <c r="BZ668" t="inlineStr"/>
      <c r="CA668" t="inlineStr"/>
      <c r="CB668" t="inlineStr"/>
      <c r="CC668" t="inlineStr"/>
      <c r="CD668" t="inlineStr"/>
      <c r="CE668" t="inlineStr"/>
      <c r="CF668" t="inlineStr"/>
      <c r="CG668" t="inlineStr"/>
      <c r="CH668" t="inlineStr"/>
      <c r="CI668" t="inlineStr"/>
      <c r="CJ668" t="inlineStr"/>
      <c r="CK668" t="inlineStr"/>
      <c r="CL668" t="inlineStr"/>
      <c r="CM668" t="inlineStr"/>
      <c r="CN668" t="inlineStr"/>
      <c r="CO668" t="inlineStr"/>
      <c r="CP668" t="inlineStr"/>
      <c r="CQ668" t="inlineStr"/>
      <c r="CR668" t="inlineStr"/>
      <c r="CS668" t="inlineStr"/>
      <c r="CT668" t="inlineStr"/>
      <c r="CU668" t="inlineStr"/>
      <c r="CV668" t="inlineStr"/>
      <c r="CW668" t="inlineStr"/>
      <c r="CX668" t="inlineStr"/>
      <c r="CY668" t="inlineStr"/>
      <c r="CZ668" t="inlineStr"/>
      <c r="DA668" t="inlineStr"/>
      <c r="DB668" t="inlineStr"/>
      <c r="DC668" t="inlineStr"/>
      <c r="DD668" t="inlineStr"/>
      <c r="DE668" t="inlineStr"/>
      <c r="DF668" t="inlineStr"/>
      <c r="DG668" t="inlineStr"/>
    </row>
    <row r="669">
      <c r="A669" t="inlineStr">
        <is>
          <t>III</t>
        </is>
      </c>
      <c r="B669" t="b">
        <v>1</v>
      </c>
      <c r="C669" t="inlineStr"/>
      <c r="D669" t="inlineStr"/>
      <c r="E669" t="n">
        <v>795</v>
      </c>
      <c r="F669">
        <f>HYPERLINK("https://portal.dnb.de/opac.htm?method=simpleSearch&amp;cqlMode=true&amp;query=idn%3D997386355", "Portal")</f>
        <v/>
      </c>
      <c r="G669" t="inlineStr">
        <is>
          <t>Aal</t>
        </is>
      </c>
      <c r="H669" t="inlineStr">
        <is>
          <t>L-1531-163758182</t>
        </is>
      </c>
      <c r="I669" t="inlineStr">
        <is>
          <t>997386355</t>
        </is>
      </c>
      <c r="J669" t="inlineStr">
        <is>
          <t>III 73, 12 b</t>
        </is>
      </c>
      <c r="K669" t="inlineStr">
        <is>
          <t>III 73, 12 b</t>
        </is>
      </c>
      <c r="L669" t="inlineStr">
        <is>
          <t>III 73, 12 b</t>
        </is>
      </c>
      <c r="M669" t="inlineStr"/>
      <c r="N669" t="inlineStr">
        <is>
          <t>Hor[a]e deipar[a]e virginis Mari[a]e secu[n]du[m] vsum Roma||num, plerisque biblie figuris atque chorea lethi circun||septe, nouisque effigiebus adorn</t>
        </is>
      </c>
      <c r="O669" t="inlineStr">
        <is>
          <t xml:space="preserve"> : </t>
        </is>
      </c>
      <c r="P669" t="inlineStr"/>
      <c r="Q669" t="inlineStr"/>
      <c r="R669" t="inlineStr">
        <is>
          <t>Ledereinband</t>
        </is>
      </c>
      <c r="S669" t="inlineStr">
        <is>
          <t>bis 25 cm</t>
        </is>
      </c>
      <c r="T669" t="inlineStr">
        <is>
          <t>80° bis 110°, einseitig digitalisierbar?</t>
        </is>
      </c>
      <c r="U669" t="inlineStr">
        <is>
          <t>Schrift bis in den Falz, hohler Rücken</t>
        </is>
      </c>
      <c r="V669" t="inlineStr"/>
      <c r="W669" t="inlineStr">
        <is>
          <t>Schuber</t>
        </is>
      </c>
      <c r="X669" t="inlineStr">
        <is>
          <t>Nein</t>
        </is>
      </c>
      <c r="Y669" t="n">
        <v>0</v>
      </c>
      <c r="Z669" t="inlineStr"/>
      <c r="AA669" t="inlineStr"/>
      <c r="AB669" t="inlineStr"/>
      <c r="AC669" t="inlineStr"/>
      <c r="AD669" t="inlineStr"/>
      <c r="AE669" t="inlineStr"/>
      <c r="AF669" t="inlineStr"/>
      <c r="AG669" t="inlineStr"/>
      <c r="AH669" t="inlineStr"/>
      <c r="AI669" t="inlineStr"/>
      <c r="AJ669" t="inlineStr"/>
      <c r="AK669" t="inlineStr"/>
      <c r="AL669" t="inlineStr"/>
      <c r="AM669" t="inlineStr"/>
      <c r="AN669" t="inlineStr"/>
      <c r="AO669" t="inlineStr"/>
      <c r="AP669" t="inlineStr"/>
      <c r="AQ669" t="inlineStr"/>
      <c r="AR669" t="inlineStr"/>
      <c r="AS669" t="inlineStr"/>
      <c r="AT669" t="inlineStr"/>
      <c r="AU669" t="inlineStr"/>
      <c r="AV669" t="inlineStr"/>
      <c r="AW669" t="inlineStr"/>
      <c r="AX669" t="inlineStr"/>
      <c r="AY669" t="inlineStr"/>
      <c r="AZ669" t="inlineStr"/>
      <c r="BA669" t="inlineStr"/>
      <c r="BB669" t="inlineStr"/>
      <c r="BC669" t="inlineStr"/>
      <c r="BD669" t="inlineStr"/>
      <c r="BE669" t="inlineStr"/>
      <c r="BF669" t="inlineStr"/>
      <c r="BG669" t="inlineStr"/>
      <c r="BH669" t="inlineStr"/>
      <c r="BI669" t="inlineStr"/>
      <c r="BJ669" t="inlineStr"/>
      <c r="BK669" t="inlineStr"/>
      <c r="BL669" t="inlineStr"/>
      <c r="BM669" t="inlineStr"/>
      <c r="BN669" t="n">
        <v>0</v>
      </c>
      <c r="BO669" t="inlineStr"/>
      <c r="BP669" t="inlineStr"/>
      <c r="BQ669" t="inlineStr"/>
      <c r="BR669" t="inlineStr"/>
      <c r="BS669" t="inlineStr"/>
      <c r="BT669" t="inlineStr"/>
      <c r="BU669" t="inlineStr"/>
      <c r="BV669" t="inlineStr"/>
      <c r="BW669" t="inlineStr"/>
      <c r="BX669" t="inlineStr"/>
      <c r="BY669" t="inlineStr"/>
      <c r="BZ669" t="inlineStr"/>
      <c r="CA669" t="inlineStr"/>
      <c r="CB669" t="inlineStr"/>
      <c r="CC669" t="inlineStr"/>
      <c r="CD669" t="inlineStr"/>
      <c r="CE669" t="inlineStr"/>
      <c r="CF669" t="inlineStr"/>
      <c r="CG669" t="inlineStr"/>
      <c r="CH669" t="inlineStr"/>
      <c r="CI669" t="inlineStr"/>
      <c r="CJ669" t="inlineStr"/>
      <c r="CK669" t="inlineStr"/>
      <c r="CL669" t="inlineStr"/>
      <c r="CM669" t="inlineStr"/>
      <c r="CN669" t="inlineStr"/>
      <c r="CO669" t="inlineStr"/>
      <c r="CP669" t="inlineStr"/>
      <c r="CQ669" t="inlineStr"/>
      <c r="CR669" t="inlineStr"/>
      <c r="CS669" t="inlineStr"/>
      <c r="CT669" t="inlineStr"/>
      <c r="CU669" t="inlineStr"/>
      <c r="CV669" t="inlineStr"/>
      <c r="CW669" t="inlineStr"/>
      <c r="CX669" t="inlineStr"/>
      <c r="CY669" t="inlineStr"/>
      <c r="CZ669" t="inlineStr"/>
      <c r="DA669" t="inlineStr"/>
      <c r="DB669" t="inlineStr"/>
      <c r="DC669" t="inlineStr"/>
      <c r="DD669" t="inlineStr"/>
      <c r="DE669" t="inlineStr"/>
      <c r="DF669" t="inlineStr"/>
      <c r="DG669" t="inlineStr"/>
    </row>
    <row r="670">
      <c r="A670" t="inlineStr">
        <is>
          <t>III</t>
        </is>
      </c>
      <c r="B670" t="b">
        <v>0</v>
      </c>
      <c r="C670" t="inlineStr"/>
      <c r="D670" t="inlineStr"/>
      <c r="E670" t="n">
        <v>743</v>
      </c>
      <c r="F670">
        <f>HYPERLINK("https://portal.dnb.de/opac.htm?method=simpleSearch&amp;cqlMode=true&amp;query=idn%3D993993958", "Portal")</f>
        <v/>
      </c>
      <c r="G670" t="inlineStr"/>
      <c r="H670" t="inlineStr">
        <is>
          <t>L-1504-154135763</t>
        </is>
      </c>
      <c r="I670" t="inlineStr">
        <is>
          <t>993993958</t>
        </is>
      </c>
      <c r="J670" t="inlineStr"/>
      <c r="K670" t="inlineStr"/>
      <c r="L670" t="inlineStr">
        <is>
          <t>III 73, 13</t>
        </is>
      </c>
      <c r="M670" t="inlineStr"/>
      <c r="N670" t="inlineStr"/>
      <c r="O670" t="inlineStr"/>
      <c r="P670" t="inlineStr"/>
      <c r="Q670" t="inlineStr"/>
      <c r="R670" t="inlineStr"/>
      <c r="S670" t="inlineStr"/>
      <c r="T670" t="inlineStr"/>
      <c r="U670" t="inlineStr"/>
      <c r="V670" t="inlineStr"/>
      <c r="W670" t="inlineStr"/>
      <c r="X670" t="inlineStr"/>
      <c r="Y670" t="inlineStr"/>
      <c r="Z670" t="inlineStr"/>
      <c r="AA670" t="inlineStr"/>
      <c r="AB670" t="inlineStr"/>
      <c r="AC670" t="inlineStr"/>
      <c r="AD670" t="inlineStr"/>
      <c r="AE670" t="inlineStr"/>
      <c r="AF670" t="inlineStr"/>
      <c r="AG670" t="inlineStr"/>
      <c r="AH670" t="inlineStr"/>
      <c r="AI670" t="inlineStr"/>
      <c r="AJ670" t="inlineStr"/>
      <c r="AK670" t="inlineStr"/>
      <c r="AL670" t="inlineStr"/>
      <c r="AM670" t="inlineStr"/>
      <c r="AN670" t="inlineStr"/>
      <c r="AO670" t="inlineStr"/>
      <c r="AP670" t="inlineStr"/>
      <c r="AQ670" t="inlineStr"/>
      <c r="AR670" t="inlineStr"/>
      <c r="AS670" t="inlineStr"/>
      <c r="AT670" t="inlineStr"/>
      <c r="AU670" t="inlineStr"/>
      <c r="AV670" t="inlineStr"/>
      <c r="AW670" t="inlineStr"/>
      <c r="AX670" t="inlineStr"/>
      <c r="AY670" t="inlineStr"/>
      <c r="AZ670" t="inlineStr"/>
      <c r="BA670" t="inlineStr"/>
      <c r="BB670" t="inlineStr"/>
      <c r="BC670" t="inlineStr"/>
      <c r="BD670" t="inlineStr"/>
      <c r="BE670" t="inlineStr"/>
      <c r="BF670" t="inlineStr"/>
      <c r="BG670" t="inlineStr"/>
      <c r="BH670" t="inlineStr"/>
      <c r="BI670" t="inlineStr"/>
      <c r="BJ670" t="inlineStr"/>
      <c r="BK670" t="inlineStr"/>
      <c r="BL670" t="inlineStr"/>
      <c r="BM670" t="inlineStr"/>
      <c r="BN670" t="n">
        <v>0</v>
      </c>
      <c r="BO670" t="inlineStr"/>
      <c r="BP670" t="inlineStr"/>
      <c r="BQ670" t="inlineStr"/>
      <c r="BR670" t="inlineStr"/>
      <c r="BS670" t="inlineStr"/>
      <c r="BT670" t="inlineStr"/>
      <c r="BU670" t="inlineStr"/>
      <c r="BV670" t="inlineStr"/>
      <c r="BW670" t="inlineStr"/>
      <c r="BX670" t="inlineStr"/>
      <c r="BY670" t="inlineStr"/>
      <c r="BZ670" t="inlineStr"/>
      <c r="CA670" t="inlineStr"/>
      <c r="CB670" t="inlineStr"/>
      <c r="CC670" t="inlineStr"/>
      <c r="CD670" t="inlineStr"/>
      <c r="CE670" t="inlineStr"/>
      <c r="CF670" t="inlineStr"/>
      <c r="CG670" t="inlineStr"/>
      <c r="CH670" t="inlineStr"/>
      <c r="CI670" t="inlineStr"/>
      <c r="CJ670" t="inlineStr"/>
      <c r="CK670" t="inlineStr"/>
      <c r="CL670" t="inlineStr"/>
      <c r="CM670" t="inlineStr"/>
      <c r="CN670" t="inlineStr"/>
      <c r="CO670" t="inlineStr"/>
      <c r="CP670" t="inlineStr"/>
      <c r="CQ670" t="inlineStr"/>
      <c r="CR670" t="inlineStr"/>
      <c r="CS670" t="inlineStr"/>
      <c r="CT670" t="inlineStr"/>
      <c r="CU670" t="inlineStr"/>
      <c r="CV670" t="inlineStr"/>
      <c r="CW670" t="inlineStr"/>
      <c r="CX670" t="inlineStr"/>
      <c r="CY670" t="inlineStr"/>
      <c r="CZ670" t="inlineStr"/>
      <c r="DA670" t="inlineStr"/>
      <c r="DB670" t="inlineStr"/>
      <c r="DC670" t="inlineStr"/>
      <c r="DD670" t="inlineStr"/>
      <c r="DE670" t="inlineStr"/>
      <c r="DF670" t="inlineStr"/>
      <c r="DG670" t="inlineStr"/>
    </row>
    <row r="671">
      <c r="A671" t="inlineStr">
        <is>
          <t>III</t>
        </is>
      </c>
      <c r="B671" t="b">
        <v>1</v>
      </c>
      <c r="C671" t="inlineStr"/>
      <c r="D671" t="inlineStr"/>
      <c r="E671" t="n">
        <v>744</v>
      </c>
      <c r="F671">
        <f>HYPERLINK("https://portal.dnb.de/opac.htm?method=simpleSearch&amp;cqlMode=true&amp;query=idn%3D1066752419", "Portal")</f>
        <v/>
      </c>
      <c r="G671" t="inlineStr">
        <is>
          <t>Aaf</t>
        </is>
      </c>
      <c r="H671" t="inlineStr">
        <is>
          <t>L-1505-315174781</t>
        </is>
      </c>
      <c r="I671" t="inlineStr">
        <is>
          <t>1066752419</t>
        </is>
      </c>
      <c r="J671" t="inlineStr">
        <is>
          <t>III 73, 14</t>
        </is>
      </c>
      <c r="K671" t="inlineStr">
        <is>
          <t>III 73, 14</t>
        </is>
      </c>
      <c r="L671" t="inlineStr">
        <is>
          <t>III 73, 14</t>
        </is>
      </c>
      <c r="M671" t="inlineStr"/>
      <c r="N671" t="inlineStr">
        <is>
          <t xml:space="preserve">Tractatus de anima : </t>
        </is>
      </c>
      <c r="O671" t="inlineStr">
        <is>
          <t xml:space="preserve"> : </t>
        </is>
      </c>
      <c r="P671" t="inlineStr">
        <is>
          <t>X</t>
        </is>
      </c>
      <c r="Q671" t="inlineStr"/>
      <c r="R671" t="inlineStr">
        <is>
          <t>Gewebeeinband, Schließen, erhabene Buchbeschläge</t>
        </is>
      </c>
      <c r="S671" t="inlineStr">
        <is>
          <t>bis 25 cm</t>
        </is>
      </c>
      <c r="T671" t="inlineStr">
        <is>
          <t>180°</t>
        </is>
      </c>
      <c r="U671" t="inlineStr">
        <is>
          <t>hohler Rücken</t>
        </is>
      </c>
      <c r="V671" t="inlineStr"/>
      <c r="W671" t="inlineStr">
        <is>
          <t>Buchschuh</t>
        </is>
      </c>
      <c r="X671" t="inlineStr">
        <is>
          <t>Nein, Signaturfahne austauschen</t>
        </is>
      </c>
      <c r="Y671" t="n">
        <v>0</v>
      </c>
      <c r="Z671" t="inlineStr"/>
      <c r="AA671" t="inlineStr">
        <is>
          <t>mit Blindmaterial</t>
        </is>
      </c>
      <c r="AB671" t="inlineStr"/>
      <c r="AC671" t="inlineStr"/>
      <c r="AD671" t="inlineStr"/>
      <c r="AE671" t="inlineStr"/>
      <c r="AF671" t="inlineStr"/>
      <c r="AG671" t="inlineStr"/>
      <c r="AH671" t="inlineStr"/>
      <c r="AI671" t="inlineStr"/>
      <c r="AJ671" t="inlineStr"/>
      <c r="AK671" t="inlineStr"/>
      <c r="AL671" t="inlineStr"/>
      <c r="AM671" t="inlineStr"/>
      <c r="AN671" t="inlineStr"/>
      <c r="AO671" t="inlineStr"/>
      <c r="AP671" t="inlineStr"/>
      <c r="AQ671" t="inlineStr"/>
      <c r="AR671" t="inlineStr"/>
      <c r="AS671" t="inlineStr"/>
      <c r="AT671" t="inlineStr"/>
      <c r="AU671" t="inlineStr"/>
      <c r="AV671" t="inlineStr"/>
      <c r="AW671" t="inlineStr"/>
      <c r="AX671" t="inlineStr"/>
      <c r="AY671" t="inlineStr"/>
      <c r="AZ671" t="inlineStr"/>
      <c r="BA671" t="inlineStr"/>
      <c r="BB671" t="inlineStr"/>
      <c r="BC671" t="inlineStr"/>
      <c r="BD671" t="inlineStr"/>
      <c r="BE671" t="inlineStr"/>
      <c r="BF671" t="inlineStr"/>
      <c r="BG671" t="inlineStr"/>
      <c r="BH671" t="inlineStr"/>
      <c r="BI671" t="inlineStr"/>
      <c r="BJ671" t="inlineStr"/>
      <c r="BK671" t="inlineStr"/>
      <c r="BL671" t="inlineStr"/>
      <c r="BM671" t="inlineStr"/>
      <c r="BN671" t="n">
        <v>0</v>
      </c>
      <c r="BO671" t="inlineStr"/>
      <c r="BP671" t="inlineStr"/>
      <c r="BQ671" t="inlineStr"/>
      <c r="BR671" t="inlineStr"/>
      <c r="BS671" t="inlineStr"/>
      <c r="BT671" t="inlineStr"/>
      <c r="BU671" t="inlineStr"/>
      <c r="BV671" t="inlineStr"/>
      <c r="BW671" t="inlineStr"/>
      <c r="BX671" t="inlineStr"/>
      <c r="BY671" t="inlineStr"/>
      <c r="BZ671" t="inlineStr"/>
      <c r="CA671" t="inlineStr"/>
      <c r="CB671" t="inlineStr"/>
      <c r="CC671" t="inlineStr"/>
      <c r="CD671" t="inlineStr"/>
      <c r="CE671" t="inlineStr"/>
      <c r="CF671" t="inlineStr"/>
      <c r="CG671" t="inlineStr"/>
      <c r="CH671" t="inlineStr"/>
      <c r="CI671" t="inlineStr"/>
      <c r="CJ671" t="inlineStr"/>
      <c r="CK671" t="inlineStr"/>
      <c r="CL671" t="inlineStr"/>
      <c r="CM671" t="inlineStr"/>
      <c r="CN671" t="inlineStr"/>
      <c r="CO671" t="inlineStr"/>
      <c r="CP671" t="inlineStr"/>
      <c r="CQ671" t="inlineStr"/>
      <c r="CR671" t="inlineStr"/>
      <c r="CS671" t="inlineStr"/>
      <c r="CT671" t="inlineStr"/>
      <c r="CU671" t="inlineStr"/>
      <c r="CV671" t="inlineStr"/>
      <c r="CW671" t="inlineStr"/>
      <c r="CX671" t="inlineStr"/>
      <c r="CY671" t="inlineStr"/>
      <c r="CZ671" t="inlineStr"/>
      <c r="DA671" t="inlineStr"/>
      <c r="DB671" t="inlineStr"/>
      <c r="DC671" t="inlineStr"/>
      <c r="DD671" t="inlineStr"/>
      <c r="DE671" t="inlineStr"/>
      <c r="DF671" t="inlineStr"/>
      <c r="DG671" t="inlineStr"/>
    </row>
    <row r="672">
      <c r="A672" t="inlineStr">
        <is>
          <t>III</t>
        </is>
      </c>
      <c r="B672" t="b">
        <v>1</v>
      </c>
      <c r="C672" t="inlineStr"/>
      <c r="D672" t="inlineStr"/>
      <c r="E672" t="n">
        <v>745</v>
      </c>
      <c r="F672">
        <f>HYPERLINK("https://portal.dnb.de/opac.htm?method=simpleSearch&amp;cqlMode=true&amp;query=idn%3D1066787409", "Portal")</f>
        <v/>
      </c>
      <c r="G672" t="inlineStr">
        <is>
          <t>Aaf</t>
        </is>
      </c>
      <c r="H672" t="inlineStr">
        <is>
          <t>L-1506-315208791</t>
        </is>
      </c>
      <c r="I672" t="inlineStr">
        <is>
          <t>1066787409</t>
        </is>
      </c>
      <c r="J672" t="inlineStr">
        <is>
          <t>III 73, 15</t>
        </is>
      </c>
      <c r="K672" t="inlineStr">
        <is>
          <t>III 73, 15</t>
        </is>
      </c>
      <c r="L672" t="inlineStr">
        <is>
          <t>III 73, 15</t>
        </is>
      </c>
      <c r="M672" t="inlineStr"/>
      <c r="N672" t="inlineStr">
        <is>
          <t xml:space="preserve">In hoc libro contenta opera Hvgonis de Sancto Victore : </t>
        </is>
      </c>
      <c r="O672" t="inlineStr">
        <is>
          <t xml:space="preserve"> : </t>
        </is>
      </c>
      <c r="P672" t="inlineStr">
        <is>
          <t>X</t>
        </is>
      </c>
      <c r="Q672" t="inlineStr"/>
      <c r="R672" t="inlineStr">
        <is>
          <t>Pergamentband</t>
        </is>
      </c>
      <c r="S672" t="inlineStr">
        <is>
          <t>bis 25 cm</t>
        </is>
      </c>
      <c r="T672" t="inlineStr">
        <is>
          <t>80° bis 110°, einseitig digitalisierbar?</t>
        </is>
      </c>
      <c r="U672" t="inlineStr">
        <is>
          <t>hohler Rücken</t>
        </is>
      </c>
      <c r="V672" t="inlineStr"/>
      <c r="W672" t="inlineStr">
        <is>
          <t>Kassette</t>
        </is>
      </c>
      <c r="X672" t="inlineStr">
        <is>
          <t>Nein</t>
        </is>
      </c>
      <c r="Y672" t="n">
        <v>0</v>
      </c>
      <c r="Z672" t="inlineStr"/>
      <c r="AA672" t="inlineStr"/>
      <c r="AB672" t="inlineStr"/>
      <c r="AC672" t="inlineStr"/>
      <c r="AD672" t="inlineStr"/>
      <c r="AE672" t="inlineStr"/>
      <c r="AF672" t="inlineStr"/>
      <c r="AG672" t="inlineStr"/>
      <c r="AH672" t="inlineStr"/>
      <c r="AI672" t="inlineStr"/>
      <c r="AJ672" t="inlineStr"/>
      <c r="AK672" t="inlineStr"/>
      <c r="AL672" t="inlineStr"/>
      <c r="AM672" t="inlineStr"/>
      <c r="AN672" t="inlineStr"/>
      <c r="AO672" t="inlineStr"/>
      <c r="AP672" t="inlineStr"/>
      <c r="AQ672" t="inlineStr"/>
      <c r="AR672" t="inlineStr"/>
      <c r="AS672" t="inlineStr"/>
      <c r="AT672" t="inlineStr"/>
      <c r="AU672" t="inlineStr"/>
      <c r="AV672" t="inlineStr"/>
      <c r="AW672" t="inlineStr"/>
      <c r="AX672" t="inlineStr"/>
      <c r="AY672" t="inlineStr"/>
      <c r="AZ672" t="inlineStr"/>
      <c r="BA672" t="inlineStr"/>
      <c r="BB672" t="inlineStr"/>
      <c r="BC672" t="inlineStr"/>
      <c r="BD672" t="inlineStr"/>
      <c r="BE672" t="inlineStr"/>
      <c r="BF672" t="inlineStr"/>
      <c r="BG672" t="inlineStr"/>
      <c r="BH672" t="inlineStr"/>
      <c r="BI672" t="inlineStr"/>
      <c r="BJ672" t="inlineStr"/>
      <c r="BK672" t="inlineStr"/>
      <c r="BL672" t="inlineStr"/>
      <c r="BM672" t="inlineStr"/>
      <c r="BN672" t="n">
        <v>0</v>
      </c>
      <c r="BO672" t="inlineStr"/>
      <c r="BP672" t="inlineStr"/>
      <c r="BQ672" t="inlineStr"/>
      <c r="BR672" t="inlineStr"/>
      <c r="BS672" t="inlineStr"/>
      <c r="BT672" t="inlineStr"/>
      <c r="BU672" t="inlineStr"/>
      <c r="BV672" t="inlineStr"/>
      <c r="BW672" t="inlineStr"/>
      <c r="BX672" t="inlineStr"/>
      <c r="BY672" t="inlineStr"/>
      <c r="BZ672" t="inlineStr"/>
      <c r="CA672" t="inlineStr"/>
      <c r="CB672" t="inlineStr"/>
      <c r="CC672" t="inlineStr"/>
      <c r="CD672" t="inlineStr"/>
      <c r="CE672" t="inlineStr"/>
      <c r="CF672" t="inlineStr"/>
      <c r="CG672" t="inlineStr"/>
      <c r="CH672" t="inlineStr"/>
      <c r="CI672" t="inlineStr"/>
      <c r="CJ672" t="inlineStr"/>
      <c r="CK672" t="inlineStr"/>
      <c r="CL672" t="inlineStr"/>
      <c r="CM672" t="inlineStr"/>
      <c r="CN672" t="inlineStr"/>
      <c r="CO672" t="inlineStr"/>
      <c r="CP672" t="inlineStr"/>
      <c r="CQ672" t="inlineStr"/>
      <c r="CR672" t="inlineStr"/>
      <c r="CS672" t="inlineStr"/>
      <c r="CT672" t="inlineStr"/>
      <c r="CU672" t="inlineStr"/>
      <c r="CV672" t="inlineStr"/>
      <c r="CW672" t="inlineStr"/>
      <c r="CX672" t="inlineStr"/>
      <c r="CY672" t="inlineStr"/>
      <c r="CZ672" t="inlineStr"/>
      <c r="DA672" t="inlineStr"/>
      <c r="DB672" t="inlineStr"/>
      <c r="DC672" t="inlineStr"/>
      <c r="DD672" t="inlineStr"/>
      <c r="DE672" t="inlineStr"/>
      <c r="DF672" t="inlineStr"/>
      <c r="DG672" t="inlineStr"/>
    </row>
    <row r="673">
      <c r="A673" t="inlineStr">
        <is>
          <t>III</t>
        </is>
      </c>
      <c r="B673" t="b">
        <v>1</v>
      </c>
      <c r="C673" t="inlineStr"/>
      <c r="D673" t="inlineStr"/>
      <c r="E673" t="n">
        <v>746</v>
      </c>
      <c r="F673">
        <f>HYPERLINK("https://portal.dnb.de/opac.htm?method=simpleSearch&amp;cqlMode=true&amp;query=idn%3D1066787018", "Portal")</f>
        <v/>
      </c>
      <c r="G673" t="inlineStr">
        <is>
          <t>Aaf</t>
        </is>
      </c>
      <c r="H673" t="inlineStr">
        <is>
          <t>L-1507-315208481</t>
        </is>
      </c>
      <c r="I673" t="inlineStr">
        <is>
          <t>1066787018</t>
        </is>
      </c>
      <c r="J673" t="inlineStr">
        <is>
          <t>III 73, 16</t>
        </is>
      </c>
      <c r="K673" t="inlineStr">
        <is>
          <t>III 73, 16</t>
        </is>
      </c>
      <c r="L673" t="inlineStr">
        <is>
          <t>III 73, 16</t>
        </is>
      </c>
      <c r="M673" t="inlineStr"/>
      <c r="N673" t="inlineStr">
        <is>
          <t>Theologia Damasceni : De ineffabili diuinitate, De creaturarum genesi ordine Moseos, De iis que ab incarnatione vsque ad resurrectionem, De iis que po</t>
        </is>
      </c>
      <c r="O673" t="inlineStr">
        <is>
          <t xml:space="preserve"> : </t>
        </is>
      </c>
      <c r="P673" t="inlineStr">
        <is>
          <t>X</t>
        </is>
      </c>
      <c r="Q673" t="inlineStr"/>
      <c r="R673" t="inlineStr">
        <is>
          <t>Ledereinband, Schließen, erhabene Buchbeschläge</t>
        </is>
      </c>
      <c r="S673" t="inlineStr">
        <is>
          <t>bis 25 cm</t>
        </is>
      </c>
      <c r="T673" t="inlineStr">
        <is>
          <t>80° bis 110°, einseitig digitalisierbar?</t>
        </is>
      </c>
      <c r="U673" t="inlineStr">
        <is>
          <t>hohler Rücken</t>
        </is>
      </c>
      <c r="V673" t="inlineStr"/>
      <c r="W673" t="inlineStr">
        <is>
          <t>Buchschuh</t>
        </is>
      </c>
      <c r="X673" t="inlineStr">
        <is>
          <t>Nein, Signaturfahne austauschen</t>
        </is>
      </c>
      <c r="Y673" t="n">
        <v>1</v>
      </c>
      <c r="Z673" t="inlineStr"/>
      <c r="AA673" t="inlineStr">
        <is>
          <t>mit Blindmaterial</t>
        </is>
      </c>
      <c r="AB673" t="inlineStr"/>
      <c r="AC673" t="inlineStr"/>
      <c r="AD673" t="inlineStr"/>
      <c r="AE673" t="inlineStr"/>
      <c r="AF673" t="inlineStr"/>
      <c r="AG673" t="inlineStr"/>
      <c r="AH673" t="inlineStr"/>
      <c r="AI673" t="inlineStr">
        <is>
          <t>L</t>
        </is>
      </c>
      <c r="AJ673" t="inlineStr"/>
      <c r="AK673" t="inlineStr">
        <is>
          <t>x</t>
        </is>
      </c>
      <c r="AL673" t="inlineStr"/>
      <c r="AM673" t="inlineStr">
        <is>
          <t>h/E</t>
        </is>
      </c>
      <c r="AN673" t="inlineStr"/>
      <c r="AO673" t="inlineStr"/>
      <c r="AP673" t="inlineStr"/>
      <c r="AQ673" t="inlineStr"/>
      <c r="AR673" t="inlineStr"/>
      <c r="AS673" t="inlineStr">
        <is>
          <t>Pa</t>
        </is>
      </c>
      <c r="AT673" t="inlineStr"/>
      <c r="AU673" t="inlineStr"/>
      <c r="AV673" t="inlineStr"/>
      <c r="AW673" t="inlineStr"/>
      <c r="AX673" t="inlineStr"/>
      <c r="AY673" t="inlineStr"/>
      <c r="AZ673" t="inlineStr"/>
      <c r="BA673" t="inlineStr"/>
      <c r="BB673" t="inlineStr"/>
      <c r="BC673" t="inlineStr"/>
      <c r="BD673" t="inlineStr"/>
      <c r="BE673" t="inlineStr"/>
      <c r="BF673" t="inlineStr"/>
      <c r="BG673" t="n">
        <v>80</v>
      </c>
      <c r="BH673" t="inlineStr"/>
      <c r="BI673" t="inlineStr"/>
      <c r="BJ673" t="inlineStr"/>
      <c r="BK673" t="inlineStr"/>
      <c r="BL673" t="inlineStr"/>
      <c r="BM673" t="inlineStr">
        <is>
          <t>n</t>
        </is>
      </c>
      <c r="BN673" t="n">
        <v>0</v>
      </c>
      <c r="BO673" t="inlineStr"/>
      <c r="BP673" t="inlineStr"/>
      <c r="BQ673" t="inlineStr"/>
      <c r="BR673" t="inlineStr">
        <is>
          <t>x</t>
        </is>
      </c>
      <c r="BS673" t="inlineStr"/>
      <c r="BT673" t="inlineStr"/>
      <c r="BU673" t="inlineStr"/>
      <c r="BV673" t="inlineStr"/>
      <c r="BW673" t="inlineStr"/>
      <c r="BX673" t="inlineStr"/>
      <c r="BY673" t="inlineStr"/>
      <c r="BZ673" t="inlineStr"/>
      <c r="CA673" t="inlineStr"/>
      <c r="CB673" t="inlineStr"/>
      <c r="CC673" t="inlineStr"/>
      <c r="CD673" t="inlineStr"/>
      <c r="CE673" t="inlineStr"/>
      <c r="CF673" t="inlineStr"/>
      <c r="CG673" t="inlineStr"/>
      <c r="CH673" t="inlineStr"/>
      <c r="CI673" t="inlineStr"/>
      <c r="CJ673" t="inlineStr"/>
      <c r="CK673" t="inlineStr"/>
      <c r="CL673" t="inlineStr"/>
      <c r="CM673" t="inlineStr"/>
      <c r="CN673" t="inlineStr"/>
      <c r="CO673" t="inlineStr"/>
      <c r="CP673" t="inlineStr"/>
      <c r="CQ673" t="inlineStr"/>
      <c r="CR673" t="inlineStr"/>
      <c r="CS673" t="inlineStr"/>
      <c r="CT673" t="inlineStr"/>
      <c r="CU673" t="inlineStr"/>
      <c r="CV673" t="inlineStr"/>
      <c r="CW673" t="inlineStr"/>
      <c r="CX673" t="inlineStr"/>
      <c r="CY673" t="inlineStr"/>
      <c r="CZ673" t="inlineStr"/>
      <c r="DA673" t="inlineStr"/>
      <c r="DB673" t="inlineStr"/>
      <c r="DC673" t="inlineStr"/>
      <c r="DD673" t="inlineStr"/>
      <c r="DE673" t="inlineStr"/>
      <c r="DF673" t="inlineStr"/>
      <c r="DG673" t="inlineStr"/>
    </row>
    <row r="674">
      <c r="A674" t="inlineStr">
        <is>
          <t>III</t>
        </is>
      </c>
      <c r="B674" t="b">
        <v>1</v>
      </c>
      <c r="C674" t="inlineStr"/>
      <c r="D674" t="inlineStr"/>
      <c r="E674" t="n">
        <v>747</v>
      </c>
      <c r="F674">
        <f>HYPERLINK("https://portal.dnb.de/opac.htm?method=simpleSearch&amp;cqlMode=true&amp;query=idn%3D1066849463", "Portal")</f>
        <v/>
      </c>
      <c r="G674" t="inlineStr">
        <is>
          <t>Aaf</t>
        </is>
      </c>
      <c r="H674" t="inlineStr">
        <is>
          <t>L-1514-315308478</t>
        </is>
      </c>
      <c r="I674" t="inlineStr">
        <is>
          <t>1066849463</t>
        </is>
      </c>
      <c r="J674" t="inlineStr">
        <is>
          <t>III 73, 17</t>
        </is>
      </c>
      <c r="K674" t="inlineStr">
        <is>
          <t>III 73, 17</t>
        </is>
      </c>
      <c r="L674" t="inlineStr">
        <is>
          <t>III 73, 17</t>
        </is>
      </c>
      <c r="M674" t="inlineStr"/>
      <c r="N674" t="inlineStr">
        <is>
          <t xml:space="preserve">Galeni opera : </t>
        </is>
      </c>
      <c r="O674" t="inlineStr">
        <is>
          <t xml:space="preserve"> : </t>
        </is>
      </c>
      <c r="P674" t="inlineStr">
        <is>
          <t>X</t>
        </is>
      </c>
      <c r="Q674" t="inlineStr"/>
      <c r="R674" t="inlineStr">
        <is>
          <t>Gewebeeinband, Schließen, erhabene Buchbeschläge</t>
        </is>
      </c>
      <c r="S674" t="inlineStr">
        <is>
          <t>bis 25 cm</t>
        </is>
      </c>
      <c r="T674" t="inlineStr">
        <is>
          <t>80° bis 110°, einseitig digitalisierbar?</t>
        </is>
      </c>
      <c r="U674" t="inlineStr">
        <is>
          <t>hohler Rücken</t>
        </is>
      </c>
      <c r="V674" t="inlineStr"/>
      <c r="W674" t="inlineStr">
        <is>
          <t>Buchschuh</t>
        </is>
      </c>
      <c r="X674" t="inlineStr">
        <is>
          <t>Nein, Signaturfahne austauschen</t>
        </is>
      </c>
      <c r="Y674" t="n">
        <v>1</v>
      </c>
      <c r="Z674" t="inlineStr"/>
      <c r="AA674" t="inlineStr"/>
      <c r="AB674" t="inlineStr"/>
      <c r="AC674" t="inlineStr"/>
      <c r="AD674" t="inlineStr"/>
      <c r="AE674" t="inlineStr"/>
      <c r="AF674" t="inlineStr"/>
      <c r="AG674" t="inlineStr"/>
      <c r="AH674" t="inlineStr"/>
      <c r="AI674" t="inlineStr"/>
      <c r="AJ674" t="inlineStr"/>
      <c r="AK674" t="inlineStr"/>
      <c r="AL674" t="inlineStr"/>
      <c r="AM674" t="inlineStr"/>
      <c r="AN674" t="inlineStr"/>
      <c r="AO674" t="inlineStr"/>
      <c r="AP674" t="inlineStr"/>
      <c r="AQ674" t="inlineStr"/>
      <c r="AR674" t="inlineStr"/>
      <c r="AS674" t="inlineStr"/>
      <c r="AT674" t="inlineStr"/>
      <c r="AU674" t="inlineStr"/>
      <c r="AV674" t="inlineStr"/>
      <c r="AW674" t="inlineStr"/>
      <c r="AX674" t="inlineStr"/>
      <c r="AY674" t="inlineStr"/>
      <c r="AZ674" t="inlineStr"/>
      <c r="BA674" t="inlineStr"/>
      <c r="BB674" t="inlineStr"/>
      <c r="BC674" t="inlineStr"/>
      <c r="BD674" t="inlineStr"/>
      <c r="BE674" t="inlineStr"/>
      <c r="BF674" t="inlineStr"/>
      <c r="BG674" t="inlineStr"/>
      <c r="BH674" t="inlineStr"/>
      <c r="BI674" t="inlineStr"/>
      <c r="BJ674" t="inlineStr"/>
      <c r="BK674" t="inlineStr"/>
      <c r="BL674" t="inlineStr"/>
      <c r="BM674" t="inlineStr"/>
      <c r="BN674" t="n">
        <v>0</v>
      </c>
      <c r="BO674" t="inlineStr"/>
      <c r="BP674" t="inlineStr"/>
      <c r="BQ674" t="inlineStr"/>
      <c r="BR674" t="inlineStr"/>
      <c r="BS674" t="inlineStr"/>
      <c r="BT674" t="inlineStr"/>
      <c r="BU674" t="inlineStr"/>
      <c r="BV674" t="inlineStr"/>
      <c r="BW674" t="inlineStr"/>
      <c r="BX674" t="inlineStr"/>
      <c r="BY674" t="inlineStr"/>
      <c r="BZ674" t="inlineStr"/>
      <c r="CA674" t="inlineStr"/>
      <c r="CB674" t="inlineStr"/>
      <c r="CC674" t="inlineStr"/>
      <c r="CD674" t="inlineStr"/>
      <c r="CE674" t="inlineStr"/>
      <c r="CF674" t="inlineStr"/>
      <c r="CG674" t="inlineStr"/>
      <c r="CH674" t="inlineStr"/>
      <c r="CI674" t="inlineStr"/>
      <c r="CJ674" t="inlineStr"/>
      <c r="CK674" t="inlineStr"/>
      <c r="CL674" t="inlineStr"/>
      <c r="CM674" t="inlineStr"/>
      <c r="CN674" t="inlineStr"/>
      <c r="CO674" t="inlineStr"/>
      <c r="CP674" t="inlineStr"/>
      <c r="CQ674" t="inlineStr"/>
      <c r="CR674" t="inlineStr"/>
      <c r="CS674" t="inlineStr"/>
      <c r="CT674" t="inlineStr"/>
      <c r="CU674" t="inlineStr"/>
      <c r="CV674" t="inlineStr"/>
      <c r="CW674" t="inlineStr"/>
      <c r="CX674" t="inlineStr"/>
      <c r="CY674" t="inlineStr"/>
      <c r="CZ674" t="inlineStr"/>
      <c r="DA674" t="inlineStr"/>
      <c r="DB674" t="inlineStr"/>
      <c r="DC674" t="inlineStr"/>
      <c r="DD674" t="inlineStr"/>
      <c r="DE674" t="inlineStr"/>
      <c r="DF674" t="inlineStr"/>
      <c r="DG674" t="inlineStr"/>
    </row>
    <row r="675">
      <c r="A675" t="inlineStr">
        <is>
          <t>III</t>
        </is>
      </c>
      <c r="B675" t="b">
        <v>1</v>
      </c>
      <c r="C675" t="inlineStr"/>
      <c r="D675" t="inlineStr"/>
      <c r="E675" t="n">
        <v>748</v>
      </c>
      <c r="F675">
        <f>HYPERLINK("https://portal.dnb.de/opac.htm?method=simpleSearch&amp;cqlMode=true&amp;query=idn%3D1066834903", "Portal")</f>
        <v/>
      </c>
      <c r="G675" t="inlineStr">
        <is>
          <t>Aaf</t>
        </is>
      </c>
      <c r="H675" t="inlineStr">
        <is>
          <t>L-1513-315294841</t>
        </is>
      </c>
      <c r="I675" t="inlineStr">
        <is>
          <t>1066834903</t>
        </is>
      </c>
      <c r="J675" t="inlineStr">
        <is>
          <t>III 73, 18</t>
        </is>
      </c>
      <c r="K675" t="inlineStr">
        <is>
          <t>III 73, 18</t>
        </is>
      </c>
      <c r="L675" t="inlineStr">
        <is>
          <t>III 73, 18</t>
        </is>
      </c>
      <c r="M675" t="inlineStr"/>
      <c r="N675" t="inlineStr">
        <is>
          <t>Liber trium virorum &amp; trium spiritualium virginum: Hermæ Liber vnus. Vguetini Liber vnus. F. Roberti Libri duo. Hildegardis Sciuias Libri tres. Elizab</t>
        </is>
      </c>
      <c r="O675" t="inlineStr">
        <is>
          <t xml:space="preserve"> : </t>
        </is>
      </c>
      <c r="P675" t="inlineStr"/>
      <c r="Q675" t="inlineStr"/>
      <c r="R675" t="inlineStr"/>
      <c r="S675" t="inlineStr">
        <is>
          <t>bis 35 cm</t>
        </is>
      </c>
      <c r="T675" t="inlineStr"/>
      <c r="U675" t="inlineStr"/>
      <c r="V675" t="inlineStr"/>
      <c r="W675" t="inlineStr"/>
      <c r="X675" t="inlineStr"/>
      <c r="Y675" t="inlineStr"/>
      <c r="Z675" t="inlineStr"/>
      <c r="AA675" t="inlineStr"/>
      <c r="AB675" t="inlineStr"/>
      <c r="AC675" t="inlineStr"/>
      <c r="AD675" t="inlineStr"/>
      <c r="AE675" t="inlineStr"/>
      <c r="AF675" t="inlineStr"/>
      <c r="AG675" t="inlineStr"/>
      <c r="AH675" t="inlineStr"/>
      <c r="AI675" t="inlineStr">
        <is>
          <t>Pg</t>
        </is>
      </c>
      <c r="AJ675" t="inlineStr"/>
      <c r="AK675" t="inlineStr"/>
      <c r="AL675" t="inlineStr">
        <is>
          <t>x</t>
        </is>
      </c>
      <c r="AM675" t="inlineStr">
        <is>
          <t>h/E</t>
        </is>
      </c>
      <c r="AN675" t="inlineStr"/>
      <c r="AO675" t="inlineStr"/>
      <c r="AP675" t="inlineStr"/>
      <c r="AQ675" t="inlineStr"/>
      <c r="AR675" t="inlineStr"/>
      <c r="AS675" t="inlineStr">
        <is>
          <t>Pa</t>
        </is>
      </c>
      <c r="AT675" t="inlineStr"/>
      <c r="AU675" t="inlineStr"/>
      <c r="AV675" t="inlineStr"/>
      <c r="AW675" t="inlineStr"/>
      <c r="AX675" t="inlineStr"/>
      <c r="AY675" t="inlineStr"/>
      <c r="AZ675" t="inlineStr"/>
      <c r="BA675" t="inlineStr"/>
      <c r="BB675" t="inlineStr"/>
      <c r="BC675" t="inlineStr"/>
      <c r="BD675" t="inlineStr"/>
      <c r="BE675" t="inlineStr"/>
      <c r="BF675" t="inlineStr"/>
      <c r="BG675" t="inlineStr">
        <is>
          <t>max 110</t>
        </is>
      </c>
      <c r="BH675" t="inlineStr"/>
      <c r="BI675" t="inlineStr"/>
      <c r="BJ675" t="inlineStr"/>
      <c r="BK675" t="inlineStr"/>
      <c r="BL675" t="inlineStr"/>
      <c r="BM675" t="inlineStr">
        <is>
          <t>n</t>
        </is>
      </c>
      <c r="BN675" t="n">
        <v>0</v>
      </c>
      <c r="BO675" t="inlineStr"/>
      <c r="BP675" t="inlineStr">
        <is>
          <t>Gewebe</t>
        </is>
      </c>
      <c r="BQ675" t="inlineStr"/>
      <c r="BR675" t="inlineStr"/>
      <c r="BS675" t="inlineStr"/>
      <c r="BT675" t="inlineStr"/>
      <c r="BU675" t="inlineStr"/>
      <c r="BV675" t="inlineStr">
        <is>
          <t>Originaleinband liegt der Kassette bei</t>
        </is>
      </c>
      <c r="BW675" t="inlineStr">
        <is>
          <t>x max 110</t>
        </is>
      </c>
      <c r="BX675" t="inlineStr">
        <is>
          <t xml:space="preserve">
Neueinband (Perg.)</t>
        </is>
      </c>
      <c r="BY675" t="inlineStr"/>
      <c r="BZ675" t="inlineStr"/>
      <c r="CA675" t="inlineStr"/>
      <c r="CB675" t="inlineStr"/>
      <c r="CC675" t="inlineStr"/>
      <c r="CD675" t="inlineStr"/>
      <c r="CE675" t="inlineStr"/>
      <c r="CF675" t="inlineStr"/>
      <c r="CG675" t="inlineStr"/>
      <c r="CH675" t="inlineStr"/>
      <c r="CI675" t="inlineStr"/>
      <c r="CJ675" t="inlineStr"/>
      <c r="CK675" t="inlineStr"/>
      <c r="CL675" t="inlineStr"/>
      <c r="CM675" t="inlineStr"/>
      <c r="CN675" t="inlineStr"/>
      <c r="CO675" t="inlineStr"/>
      <c r="CP675" t="inlineStr"/>
      <c r="CQ675" t="inlineStr"/>
      <c r="CR675" t="inlineStr"/>
      <c r="CS675" t="inlineStr"/>
      <c r="CT675" t="inlineStr"/>
      <c r="CU675" t="inlineStr"/>
      <c r="CV675" t="inlineStr"/>
      <c r="CW675" t="inlineStr"/>
      <c r="CX675" t="inlineStr"/>
      <c r="CY675" t="inlineStr"/>
      <c r="CZ675" t="inlineStr"/>
      <c r="DA675" t="inlineStr"/>
      <c r="DB675" t="inlineStr"/>
      <c r="DC675" t="inlineStr"/>
      <c r="DD675" t="inlineStr"/>
      <c r="DE675" t="inlineStr"/>
      <c r="DF675" t="inlineStr"/>
      <c r="DG675" t="inlineStr"/>
    </row>
    <row r="676">
      <c r="A676" t="inlineStr">
        <is>
          <t>III</t>
        </is>
      </c>
      <c r="B676" t="b">
        <v>1</v>
      </c>
      <c r="C676" t="inlineStr"/>
      <c r="D676" t="inlineStr"/>
      <c r="E676" t="n">
        <v>749</v>
      </c>
      <c r="F676">
        <f>HYPERLINK("https://portal.dnb.de/opac.htm?method=simpleSearch&amp;cqlMode=true&amp;query=idn%3D1066859361", "Portal")</f>
        <v/>
      </c>
      <c r="G676" t="inlineStr">
        <is>
          <t>Aaf</t>
        </is>
      </c>
      <c r="H676" t="inlineStr">
        <is>
          <t>L-1529-315318066</t>
        </is>
      </c>
      <c r="I676" t="inlineStr">
        <is>
          <t>1066859361</t>
        </is>
      </c>
      <c r="J676" t="inlineStr">
        <is>
          <t>III 73, 19</t>
        </is>
      </c>
      <c r="K676" t="inlineStr">
        <is>
          <t>III 73, 19</t>
        </is>
      </c>
      <c r="L676" t="inlineStr">
        <is>
          <t>III 73, 19</t>
        </is>
      </c>
      <c r="M676" t="inlineStr"/>
      <c r="N676" t="inlineStr">
        <is>
          <t xml:space="preserve">C. Plinii Caecilii Secundi Novocomensis, Epistolarum libri X. Eiusdem panagyricus Traiano principi dictus. Eiusdem de viri illustrib. in re militari, </t>
        </is>
      </c>
      <c r="O676" t="inlineStr">
        <is>
          <t xml:space="preserve"> : </t>
        </is>
      </c>
      <c r="P676" t="inlineStr">
        <is>
          <t>X</t>
        </is>
      </c>
      <c r="Q676" t="inlineStr"/>
      <c r="R676" t="inlineStr">
        <is>
          <t>Ledereinband</t>
        </is>
      </c>
      <c r="S676" t="inlineStr">
        <is>
          <t>bis 25 cm</t>
        </is>
      </c>
      <c r="T676" t="inlineStr">
        <is>
          <t>80° bis 110°, einseitig digitalisierbar?</t>
        </is>
      </c>
      <c r="U676" t="inlineStr">
        <is>
          <t>fester Rücken mit Schmuckprägung, Schrift bis in den Falz</t>
        </is>
      </c>
      <c r="V676" t="inlineStr"/>
      <c r="W676" t="inlineStr">
        <is>
          <t>Kassette</t>
        </is>
      </c>
      <c r="X676" t="inlineStr">
        <is>
          <t>Nein</t>
        </is>
      </c>
      <c r="Y676" t="n">
        <v>0</v>
      </c>
      <c r="Z676" t="inlineStr"/>
      <c r="AA676" t="inlineStr"/>
      <c r="AB676" t="inlineStr"/>
      <c r="AC676" t="inlineStr"/>
      <c r="AD676" t="inlineStr"/>
      <c r="AE676" t="inlineStr"/>
      <c r="AF676" t="inlineStr"/>
      <c r="AG676" t="inlineStr"/>
      <c r="AH676" t="inlineStr"/>
      <c r="AI676" t="inlineStr"/>
      <c r="AJ676" t="inlineStr"/>
      <c r="AK676" t="inlineStr"/>
      <c r="AL676" t="inlineStr"/>
      <c r="AM676" t="inlineStr"/>
      <c r="AN676" t="inlineStr"/>
      <c r="AO676" t="inlineStr"/>
      <c r="AP676" t="inlineStr"/>
      <c r="AQ676" t="inlineStr"/>
      <c r="AR676" t="inlineStr"/>
      <c r="AS676" t="inlineStr"/>
      <c r="AT676" t="inlineStr"/>
      <c r="AU676" t="inlineStr"/>
      <c r="AV676" t="inlineStr"/>
      <c r="AW676" t="inlineStr"/>
      <c r="AX676" t="inlineStr"/>
      <c r="AY676" t="inlineStr"/>
      <c r="AZ676" t="inlineStr"/>
      <c r="BA676" t="inlineStr"/>
      <c r="BB676" t="inlineStr"/>
      <c r="BC676" t="inlineStr"/>
      <c r="BD676" t="inlineStr"/>
      <c r="BE676" t="inlineStr"/>
      <c r="BF676" t="inlineStr"/>
      <c r="BG676" t="inlineStr"/>
      <c r="BH676" t="inlineStr"/>
      <c r="BI676" t="inlineStr"/>
      <c r="BJ676" t="inlineStr"/>
      <c r="BK676" t="inlineStr"/>
      <c r="BL676" t="inlineStr"/>
      <c r="BM676" t="inlineStr"/>
      <c r="BN676" t="n">
        <v>0</v>
      </c>
      <c r="BO676" t="inlineStr"/>
      <c r="BP676" t="inlineStr"/>
      <c r="BQ676" t="inlineStr"/>
      <c r="BR676" t="inlineStr"/>
      <c r="BS676" t="inlineStr"/>
      <c r="BT676" t="inlineStr"/>
      <c r="BU676" t="inlineStr"/>
      <c r="BV676" t="inlineStr"/>
      <c r="BW676" t="inlineStr"/>
      <c r="BX676" t="inlineStr"/>
      <c r="BY676" t="inlineStr"/>
      <c r="BZ676" t="inlineStr"/>
      <c r="CA676" t="inlineStr"/>
      <c r="CB676" t="inlineStr"/>
      <c r="CC676" t="inlineStr"/>
      <c r="CD676" t="inlineStr"/>
      <c r="CE676" t="inlineStr"/>
      <c r="CF676" t="inlineStr"/>
      <c r="CG676" t="inlineStr"/>
      <c r="CH676" t="inlineStr"/>
      <c r="CI676" t="inlineStr"/>
      <c r="CJ676" t="inlineStr"/>
      <c r="CK676" t="inlineStr"/>
      <c r="CL676" t="inlineStr"/>
      <c r="CM676" t="inlineStr"/>
      <c r="CN676" t="inlineStr"/>
      <c r="CO676" t="inlineStr"/>
      <c r="CP676" t="inlineStr"/>
      <c r="CQ676" t="inlineStr"/>
      <c r="CR676" t="inlineStr"/>
      <c r="CS676" t="inlineStr"/>
      <c r="CT676" t="inlineStr"/>
      <c r="CU676" t="inlineStr"/>
      <c r="CV676" t="inlineStr"/>
      <c r="CW676" t="inlineStr"/>
      <c r="CX676" t="inlineStr"/>
      <c r="CY676" t="inlineStr"/>
      <c r="CZ676" t="inlineStr"/>
      <c r="DA676" t="inlineStr"/>
      <c r="DB676" t="inlineStr"/>
      <c r="DC676" t="inlineStr"/>
      <c r="DD676" t="inlineStr"/>
      <c r="DE676" t="inlineStr"/>
      <c r="DF676" t="inlineStr"/>
      <c r="DG676" t="inlineStr"/>
    </row>
    <row r="677">
      <c r="A677" t="inlineStr">
        <is>
          <t>III</t>
        </is>
      </c>
      <c r="B677" t="b">
        <v>1</v>
      </c>
      <c r="C677" t="inlineStr"/>
      <c r="D677" t="inlineStr"/>
      <c r="E677" t="inlineStr"/>
      <c r="F677">
        <f>HYPERLINK("https://portal.dnb.de/opac.htm?method=simpleSearch&amp;cqlMode=true&amp;query=idn%3D1268890332", "Portal")</f>
        <v/>
      </c>
      <c r="G677" t="inlineStr">
        <is>
          <t>Qd</t>
        </is>
      </c>
      <c r="H677" t="inlineStr">
        <is>
          <t>L-1544-834172275</t>
        </is>
      </c>
      <c r="I677" t="inlineStr">
        <is>
          <t>1268890332</t>
        </is>
      </c>
      <c r="J677" t="inlineStr">
        <is>
          <t>III 73, 19 a</t>
        </is>
      </c>
      <c r="K677" t="inlineStr">
        <is>
          <t>III 73, 19 a</t>
        </is>
      </c>
      <c r="L677" t="inlineStr">
        <is>
          <t>III 73, 19 a</t>
        </is>
      </c>
      <c r="M677" t="inlineStr"/>
      <c r="N677" t="inlineStr">
        <is>
          <t xml:space="preserve">Sammelband : </t>
        </is>
      </c>
      <c r="O677" t="inlineStr">
        <is>
          <t xml:space="preserve"> : </t>
        </is>
      </c>
      <c r="P677" t="inlineStr"/>
      <c r="Q677" t="inlineStr"/>
      <c r="R677" t="inlineStr"/>
      <c r="S677" t="inlineStr">
        <is>
          <t>bis 35 cm</t>
        </is>
      </c>
      <c r="T677" t="inlineStr"/>
      <c r="U677" t="inlineStr"/>
      <c r="V677" t="inlineStr"/>
      <c r="W677" t="inlineStr"/>
      <c r="X677" t="inlineStr"/>
      <c r="Y677" t="inlineStr"/>
      <c r="Z677" t="inlineStr"/>
      <c r="AA677" t="inlineStr"/>
      <c r="AB677" t="inlineStr"/>
      <c r="AC677" t="inlineStr"/>
      <c r="AD677" t="inlineStr"/>
      <c r="AE677" t="inlineStr"/>
      <c r="AF677" t="inlineStr"/>
      <c r="AG677" t="inlineStr"/>
      <c r="AH677" t="inlineStr"/>
      <c r="AI677" t="inlineStr">
        <is>
          <t>L</t>
        </is>
      </c>
      <c r="AJ677" t="inlineStr"/>
      <c r="AK677" t="inlineStr"/>
      <c r="AL677" t="inlineStr">
        <is>
          <t>x</t>
        </is>
      </c>
      <c r="AM677" t="inlineStr">
        <is>
          <t>f</t>
        </is>
      </c>
      <c r="AN677" t="inlineStr"/>
      <c r="AO677" t="inlineStr"/>
      <c r="AP677" t="inlineStr"/>
      <c r="AQ677" t="inlineStr"/>
      <c r="AR677" t="inlineStr"/>
      <c r="AS677" t="inlineStr">
        <is>
          <t>Pa</t>
        </is>
      </c>
      <c r="AT677" t="inlineStr"/>
      <c r="AU677" t="inlineStr"/>
      <c r="AV677" t="inlineStr"/>
      <c r="AW677" t="inlineStr"/>
      <c r="AX677" t="inlineStr"/>
      <c r="AY677" t="inlineStr"/>
      <c r="AZ677" t="inlineStr"/>
      <c r="BA677" t="inlineStr"/>
      <c r="BB677" t="inlineStr"/>
      <c r="BC677" t="inlineStr"/>
      <c r="BD677" t="inlineStr"/>
      <c r="BE677" t="inlineStr"/>
      <c r="BF677" t="inlineStr"/>
      <c r="BG677" t="n">
        <v>60</v>
      </c>
      <c r="BH677" t="inlineStr"/>
      <c r="BI677" t="inlineStr"/>
      <c r="BJ677" t="inlineStr"/>
      <c r="BK677" t="inlineStr"/>
      <c r="BL677" t="inlineStr"/>
      <c r="BM677" t="inlineStr">
        <is>
          <t>n</t>
        </is>
      </c>
      <c r="BN677" t="n">
        <v>0</v>
      </c>
      <c r="BO677" t="inlineStr"/>
      <c r="BP677" t="inlineStr">
        <is>
          <t>Gewebe</t>
        </is>
      </c>
      <c r="BQ677" t="inlineStr"/>
      <c r="BR677" t="inlineStr"/>
      <c r="BS677" t="inlineStr"/>
      <c r="BT677" t="inlineStr"/>
      <c r="BU677" t="inlineStr"/>
      <c r="BV677" t="inlineStr"/>
      <c r="BW677" t="inlineStr"/>
      <c r="BX677" t="inlineStr"/>
      <c r="BY677" t="inlineStr"/>
      <c r="BZ677" t="inlineStr"/>
      <c r="CA677" t="inlineStr"/>
      <c r="CB677" t="inlineStr"/>
      <c r="CC677" t="inlineStr"/>
      <c r="CD677" t="inlineStr"/>
      <c r="CE677" t="inlineStr"/>
      <c r="CF677" t="inlineStr"/>
      <c r="CG677" t="inlineStr"/>
      <c r="CH677" t="inlineStr"/>
      <c r="CI677" t="inlineStr"/>
      <c r="CJ677" t="inlineStr"/>
      <c r="CK677" t="inlineStr"/>
      <c r="CL677" t="inlineStr"/>
      <c r="CM677" t="inlineStr"/>
      <c r="CN677" t="inlineStr"/>
      <c r="CO677" t="inlineStr"/>
      <c r="CP677" t="inlineStr"/>
      <c r="CQ677" t="inlineStr"/>
      <c r="CR677" t="inlineStr"/>
      <c r="CS677" t="inlineStr"/>
      <c r="CT677" t="inlineStr"/>
      <c r="CU677" t="inlineStr"/>
      <c r="CV677" t="inlineStr"/>
      <c r="CW677" t="inlineStr"/>
      <c r="CX677" t="inlineStr"/>
      <c r="CY677" t="inlineStr"/>
      <c r="CZ677" t="inlineStr"/>
      <c r="DA677" t="inlineStr"/>
      <c r="DB677" t="inlineStr"/>
      <c r="DC677" t="inlineStr"/>
      <c r="DD677" t="inlineStr"/>
      <c r="DE677" t="inlineStr"/>
      <c r="DF677" t="inlineStr"/>
      <c r="DG677" t="inlineStr"/>
    </row>
    <row r="678">
      <c r="A678" t="inlineStr">
        <is>
          <t>III</t>
        </is>
      </c>
      <c r="B678" t="b">
        <v>1</v>
      </c>
      <c r="C678" t="inlineStr">
        <is>
          <t>x</t>
        </is>
      </c>
      <c r="D678" t="inlineStr"/>
      <c r="E678" t="n">
        <v>798</v>
      </c>
      <c r="F678">
        <f>HYPERLINK("https://portal.dnb.de/opac.htm?method=simpleSearch&amp;cqlMode=true&amp;query=idn%3D1002285739", "Portal")</f>
        <v/>
      </c>
      <c r="G678" t="inlineStr">
        <is>
          <t>Afl</t>
        </is>
      </c>
      <c r="H678" t="inlineStr">
        <is>
          <t>L-1546-176987142</t>
        </is>
      </c>
      <c r="I678" t="inlineStr">
        <is>
          <t>1002285739</t>
        </is>
      </c>
      <c r="J678" t="inlineStr">
        <is>
          <t>III 73, 19b</t>
        </is>
      </c>
      <c r="K678" t="inlineStr">
        <is>
          <t>III 73, 19b</t>
        </is>
      </c>
      <c r="L678" t="inlineStr">
        <is>
          <t>III 73, 19 b</t>
        </is>
      </c>
      <c r="M678" t="inlineStr"/>
      <c r="N678" t="inlineStr">
        <is>
          <t>TĒS @KAIN̄ES DIATHĒ-||KĒS APANTA||</t>
        </is>
      </c>
      <c r="O678" t="inlineStr">
        <is>
          <t xml:space="preserve">[1] : </t>
        </is>
      </c>
      <c r="P678" t="inlineStr">
        <is>
          <t>X</t>
        </is>
      </c>
      <c r="Q678" t="inlineStr"/>
      <c r="R678" t="inlineStr">
        <is>
          <t>Ledereinband</t>
        </is>
      </c>
      <c r="S678" t="inlineStr">
        <is>
          <t>bis 25 cm</t>
        </is>
      </c>
      <c r="T678" t="inlineStr">
        <is>
          <t>80° bis 110°, einseitig digitalisierbar?</t>
        </is>
      </c>
      <c r="U678" t="inlineStr">
        <is>
          <t>fester Rücken mit Schmuckprägung</t>
        </is>
      </c>
      <c r="V678" t="inlineStr"/>
      <c r="W678" t="inlineStr">
        <is>
          <t xml:space="preserve">Papierumschlag </t>
        </is>
      </c>
      <c r="X678" t="inlineStr">
        <is>
          <t>Ja</t>
        </is>
      </c>
      <c r="Y678" t="n">
        <v>0</v>
      </c>
      <c r="Z678" t="inlineStr"/>
      <c r="AA678" t="inlineStr"/>
      <c r="AB678" t="inlineStr"/>
      <c r="AC678" t="inlineStr"/>
      <c r="AD678" t="inlineStr"/>
      <c r="AE678" t="inlineStr"/>
      <c r="AF678" t="inlineStr"/>
      <c r="AG678" t="inlineStr"/>
      <c r="AH678" t="inlineStr">
        <is>
          <t>x</t>
        </is>
      </c>
      <c r="AI678" t="inlineStr">
        <is>
          <t>L</t>
        </is>
      </c>
      <c r="AJ678" t="inlineStr"/>
      <c r="AK678" t="inlineStr"/>
      <c r="AL678" t="inlineStr"/>
      <c r="AM678" t="inlineStr">
        <is>
          <t>f/V</t>
        </is>
      </c>
      <c r="AN678" t="inlineStr"/>
      <c r="AO678" t="inlineStr"/>
      <c r="AP678" t="inlineStr"/>
      <c r="AQ678" t="inlineStr"/>
      <c r="AR678" t="inlineStr"/>
      <c r="AS678" t="inlineStr">
        <is>
          <t>Pa</t>
        </is>
      </c>
      <c r="AT678" t="inlineStr"/>
      <c r="AU678" t="inlineStr"/>
      <c r="AV678" t="inlineStr"/>
      <c r="AW678" t="inlineStr"/>
      <c r="AX678" t="inlineStr"/>
      <c r="AY678" t="inlineStr"/>
      <c r="AZ678" t="inlineStr"/>
      <c r="BA678" t="inlineStr"/>
      <c r="BB678" t="inlineStr"/>
      <c r="BC678" t="inlineStr"/>
      <c r="BD678" t="inlineStr"/>
      <c r="BE678" t="inlineStr"/>
      <c r="BF678" t="inlineStr"/>
      <c r="BG678" t="n">
        <v>60</v>
      </c>
      <c r="BH678" t="inlineStr"/>
      <c r="BI678" t="inlineStr"/>
      <c r="BJ678" t="inlineStr"/>
      <c r="BK678" t="inlineStr"/>
      <c r="BL678" t="inlineStr"/>
      <c r="BM678" t="inlineStr">
        <is>
          <t>ja vor</t>
        </is>
      </c>
      <c r="BN678" t="n">
        <v>0.5</v>
      </c>
      <c r="BO678" t="inlineStr"/>
      <c r="BP678" t="inlineStr"/>
      <c r="BQ678" t="inlineStr"/>
      <c r="BR678" t="inlineStr"/>
      <c r="BS678" t="inlineStr"/>
      <c r="BT678" t="inlineStr">
        <is>
          <t>x sauer</t>
        </is>
      </c>
      <c r="BU678" t="inlineStr">
        <is>
          <t>x</t>
        </is>
      </c>
      <c r="BV678" t="inlineStr"/>
      <c r="BW678" t="inlineStr"/>
      <c r="BX678" t="inlineStr"/>
      <c r="BY678" t="inlineStr">
        <is>
          <t>Umschlag (bes. Einband)</t>
        </is>
      </c>
      <c r="BZ678" t="inlineStr">
        <is>
          <t>x</t>
        </is>
      </c>
      <c r="CA678" t="inlineStr"/>
      <c r="CB678" t="inlineStr">
        <is>
          <t>x</t>
        </is>
      </c>
      <c r="CC678" t="inlineStr"/>
      <c r="CD678" t="inlineStr"/>
      <c r="CE678" t="inlineStr"/>
      <c r="CF678" t="inlineStr"/>
      <c r="CG678" t="inlineStr"/>
      <c r="CH678" t="inlineStr"/>
      <c r="CI678" t="inlineStr"/>
      <c r="CJ678" t="inlineStr"/>
      <c r="CK678" t="inlineStr"/>
      <c r="CL678" t="inlineStr">
        <is>
          <t>x</t>
        </is>
      </c>
      <c r="CM678" t="n">
        <v>0.5</v>
      </c>
      <c r="CN678" t="inlineStr"/>
      <c r="CO678" t="inlineStr"/>
      <c r="CP678" t="inlineStr"/>
      <c r="CQ678" t="inlineStr"/>
      <c r="CR678" t="inlineStr"/>
      <c r="CS678" t="inlineStr"/>
      <c r="CT678" t="inlineStr"/>
      <c r="CU678" t="inlineStr"/>
      <c r="CV678" t="inlineStr"/>
      <c r="CW678" t="inlineStr"/>
      <c r="CX678" t="inlineStr"/>
      <c r="CY678" t="inlineStr"/>
      <c r="CZ678" t="inlineStr"/>
      <c r="DA678" t="inlineStr"/>
      <c r="DB678" t="inlineStr"/>
      <c r="DC678" t="inlineStr"/>
      <c r="DD678" t="inlineStr"/>
      <c r="DE678" t="inlineStr"/>
      <c r="DF678" t="inlineStr"/>
      <c r="DG678" t="inlineStr"/>
    </row>
    <row r="679">
      <c r="A679" t="inlineStr">
        <is>
          <t>III</t>
        </is>
      </c>
      <c r="B679" t="b">
        <v>1</v>
      </c>
      <c r="C679" t="inlineStr"/>
      <c r="D679" t="inlineStr"/>
      <c r="E679" t="n">
        <v>750</v>
      </c>
      <c r="F679">
        <f>HYPERLINK("https://portal.dnb.de/opac.htm?method=simpleSearch&amp;cqlMode=true&amp;query=idn%3D1066850437", "Portal")</f>
        <v/>
      </c>
      <c r="G679" t="inlineStr">
        <is>
          <t>Aaf</t>
        </is>
      </c>
      <c r="H679" t="inlineStr">
        <is>
          <t>L-1556-315309423</t>
        </is>
      </c>
      <c r="I679" t="inlineStr">
        <is>
          <t>1066850437</t>
        </is>
      </c>
      <c r="J679" t="inlineStr">
        <is>
          <t>III 73, 20</t>
        </is>
      </c>
      <c r="K679" t="inlineStr">
        <is>
          <t>III 73, 20</t>
        </is>
      </c>
      <c r="L679" t="inlineStr">
        <is>
          <t>III 73, 20</t>
        </is>
      </c>
      <c r="M679" t="inlineStr"/>
      <c r="N679" t="inlineStr">
        <is>
          <t xml:space="preserve">Novvm D. N. Iesv Christi testamentum : </t>
        </is>
      </c>
      <c r="O679" t="inlineStr">
        <is>
          <t xml:space="preserve"> : </t>
        </is>
      </c>
      <c r="P679" t="inlineStr"/>
      <c r="Q679" t="inlineStr"/>
      <c r="R679" t="inlineStr"/>
      <c r="S679" t="inlineStr">
        <is>
          <t>bis 42 cm</t>
        </is>
      </c>
      <c r="T679" t="inlineStr"/>
      <c r="U679" t="inlineStr"/>
      <c r="V679" t="inlineStr"/>
      <c r="W679" t="inlineStr"/>
      <c r="X679" t="inlineStr"/>
      <c r="Y679" t="inlineStr"/>
      <c r="Z679" t="inlineStr"/>
      <c r="AA679" t="inlineStr"/>
      <c r="AB679" t="inlineStr"/>
      <c r="AC679" t="inlineStr"/>
      <c r="AD679" t="inlineStr"/>
      <c r="AE679" t="inlineStr"/>
      <c r="AF679" t="inlineStr"/>
      <c r="AG679" t="inlineStr"/>
      <c r="AH679" t="inlineStr"/>
      <c r="AI679" t="inlineStr">
        <is>
          <t>Pg</t>
        </is>
      </c>
      <c r="AJ679" t="inlineStr"/>
      <c r="AK679" t="inlineStr">
        <is>
          <t>x</t>
        </is>
      </c>
      <c r="AL679" t="inlineStr"/>
      <c r="AM679" t="inlineStr">
        <is>
          <t>h</t>
        </is>
      </c>
      <c r="AN679" t="inlineStr"/>
      <c r="AO679" t="inlineStr"/>
      <c r="AP679" t="inlineStr"/>
      <c r="AQ679" t="inlineStr"/>
      <c r="AR679" t="inlineStr"/>
      <c r="AS679" t="inlineStr">
        <is>
          <t>Pa</t>
        </is>
      </c>
      <c r="AT679" t="inlineStr"/>
      <c r="AU679" t="inlineStr"/>
      <c r="AV679" t="inlineStr"/>
      <c r="AW679" t="inlineStr"/>
      <c r="AX679" t="inlineStr"/>
      <c r="AY679" t="inlineStr"/>
      <c r="AZ679" t="inlineStr"/>
      <c r="BA679" t="inlineStr"/>
      <c r="BB679" t="inlineStr"/>
      <c r="BC679" t="inlineStr"/>
      <c r="BD679" t="inlineStr"/>
      <c r="BE679" t="inlineStr"/>
      <c r="BF679" t="inlineStr"/>
      <c r="BG679" t="n">
        <v>110</v>
      </c>
      <c r="BH679" t="inlineStr"/>
      <c r="BI679" t="inlineStr"/>
      <c r="BJ679" t="inlineStr"/>
      <c r="BK679" t="inlineStr"/>
      <c r="BL679" t="inlineStr"/>
      <c r="BM679" t="inlineStr">
        <is>
          <t>n</t>
        </is>
      </c>
      <c r="BN679" t="n">
        <v>0</v>
      </c>
      <c r="BO679" t="inlineStr"/>
      <c r="BP679" t="inlineStr"/>
      <c r="BQ679" t="inlineStr"/>
      <c r="BR679" t="inlineStr"/>
      <c r="BS679" t="inlineStr"/>
      <c r="BT679" t="inlineStr"/>
      <c r="BU679" t="inlineStr"/>
      <c r="BV679" t="inlineStr"/>
      <c r="BW679" t="inlineStr"/>
      <c r="BX679" t="inlineStr"/>
      <c r="BY679" t="inlineStr"/>
      <c r="BZ679" t="inlineStr"/>
      <c r="CA679" t="inlineStr"/>
      <c r="CB679" t="inlineStr"/>
      <c r="CC679" t="inlineStr"/>
      <c r="CD679" t="inlineStr"/>
      <c r="CE679" t="inlineStr"/>
      <c r="CF679" t="inlineStr"/>
      <c r="CG679" t="inlineStr"/>
      <c r="CH679" t="inlineStr"/>
      <c r="CI679" t="inlineStr"/>
      <c r="CJ679" t="inlineStr"/>
      <c r="CK679" t="inlineStr"/>
      <c r="CL679" t="inlineStr"/>
      <c r="CM679" t="inlineStr"/>
      <c r="CN679" t="inlineStr"/>
      <c r="CO679" t="inlineStr"/>
      <c r="CP679" t="inlineStr"/>
      <c r="CQ679" t="inlineStr"/>
      <c r="CR679" t="inlineStr"/>
      <c r="CS679" t="inlineStr"/>
      <c r="CT679" t="inlineStr"/>
      <c r="CU679" t="inlineStr"/>
      <c r="CV679" t="inlineStr"/>
      <c r="CW679" t="inlineStr"/>
      <c r="CX679" t="inlineStr"/>
      <c r="CY679" t="inlineStr"/>
      <c r="CZ679" t="inlineStr"/>
      <c r="DA679" t="inlineStr"/>
      <c r="DB679" t="inlineStr"/>
      <c r="DC679" t="inlineStr"/>
      <c r="DD679" t="inlineStr"/>
      <c r="DE679" t="inlineStr"/>
      <c r="DF679" t="inlineStr"/>
      <c r="DG679" t="inlineStr"/>
    </row>
    <row r="680">
      <c r="A680" t="inlineStr">
        <is>
          <t>III</t>
        </is>
      </c>
      <c r="B680" t="b">
        <v>1</v>
      </c>
      <c r="C680" t="inlineStr"/>
      <c r="D680" t="inlineStr"/>
      <c r="E680" t="n">
        <v>751</v>
      </c>
      <c r="F680">
        <f>HYPERLINK("https://portal.dnb.de/opac.htm?method=simpleSearch&amp;cqlMode=true&amp;query=idn%3D1066753873", "Portal")</f>
        <v/>
      </c>
      <c r="G680" t="inlineStr">
        <is>
          <t>Aaf</t>
        </is>
      </c>
      <c r="H680" t="inlineStr">
        <is>
          <t>L-1507-315176296</t>
        </is>
      </c>
      <c r="I680" t="inlineStr">
        <is>
          <t>1066753873</t>
        </is>
      </c>
      <c r="J680" t="inlineStr">
        <is>
          <t>III 73, 21</t>
        </is>
      </c>
      <c r="K680" t="inlineStr">
        <is>
          <t>III 73, 21</t>
        </is>
      </c>
      <c r="L680" t="inlineStr">
        <is>
          <t>III 73, 21</t>
        </is>
      </c>
      <c r="M680" t="inlineStr"/>
      <c r="N680" t="inlineStr">
        <is>
          <t>Leonardi Aretini De bello Gotthorum : seu de Bello Italico aduersus Gotthos Libri Quattuor</t>
        </is>
      </c>
      <c r="O680" t="inlineStr">
        <is>
          <t xml:space="preserve"> : </t>
        </is>
      </c>
      <c r="P680" t="inlineStr">
        <is>
          <t>X</t>
        </is>
      </c>
      <c r="Q680" t="inlineStr"/>
      <c r="R680" t="inlineStr">
        <is>
          <t>Gewebeeinband, Schließen, erhabene Buchbeschläge</t>
        </is>
      </c>
      <c r="S680" t="inlineStr">
        <is>
          <t>bis 25 cm</t>
        </is>
      </c>
      <c r="T680" t="inlineStr">
        <is>
          <t>80° bis 110°, einseitig digitalisierbar?</t>
        </is>
      </c>
      <c r="U680" t="inlineStr">
        <is>
          <t>hohler Rücken</t>
        </is>
      </c>
      <c r="V680" t="inlineStr"/>
      <c r="W680" t="inlineStr">
        <is>
          <t>Buchschuh</t>
        </is>
      </c>
      <c r="X680" t="inlineStr">
        <is>
          <t>Nein, Signaturfahne austauschen</t>
        </is>
      </c>
      <c r="Y680" t="n">
        <v>0</v>
      </c>
      <c r="Z680" t="inlineStr"/>
      <c r="AA680" t="inlineStr">
        <is>
          <t>mit Blindmaterial</t>
        </is>
      </c>
      <c r="AB680" t="inlineStr"/>
      <c r="AC680" t="inlineStr"/>
      <c r="AD680" t="inlineStr"/>
      <c r="AE680" t="inlineStr"/>
      <c r="AF680" t="inlineStr"/>
      <c r="AG680" t="inlineStr"/>
      <c r="AH680" t="inlineStr"/>
      <c r="AI680" t="inlineStr"/>
      <c r="AJ680" t="inlineStr"/>
      <c r="AK680" t="inlineStr"/>
      <c r="AL680" t="inlineStr"/>
      <c r="AM680" t="inlineStr"/>
      <c r="AN680" t="inlineStr"/>
      <c r="AO680" t="inlineStr"/>
      <c r="AP680" t="inlineStr"/>
      <c r="AQ680" t="inlineStr"/>
      <c r="AR680" t="inlineStr"/>
      <c r="AS680" t="inlineStr"/>
      <c r="AT680" t="inlineStr"/>
      <c r="AU680" t="inlineStr"/>
      <c r="AV680" t="inlineStr"/>
      <c r="AW680" t="inlineStr"/>
      <c r="AX680" t="inlineStr"/>
      <c r="AY680" t="inlineStr"/>
      <c r="AZ680" t="inlineStr"/>
      <c r="BA680" t="inlineStr"/>
      <c r="BB680" t="inlineStr"/>
      <c r="BC680" t="inlineStr"/>
      <c r="BD680" t="inlineStr"/>
      <c r="BE680" t="inlineStr"/>
      <c r="BF680" t="inlineStr"/>
      <c r="BG680" t="inlineStr"/>
      <c r="BH680" t="inlineStr"/>
      <c r="BI680" t="inlineStr"/>
      <c r="BJ680" t="inlineStr"/>
      <c r="BK680" t="inlineStr"/>
      <c r="BL680" t="inlineStr"/>
      <c r="BM680" t="inlineStr"/>
      <c r="BN680" t="n">
        <v>0</v>
      </c>
      <c r="BO680" t="inlineStr"/>
      <c r="BP680" t="inlineStr"/>
      <c r="BQ680" t="inlineStr"/>
      <c r="BR680" t="inlineStr"/>
      <c r="BS680" t="inlineStr"/>
      <c r="BT680" t="inlineStr"/>
      <c r="BU680" t="inlineStr"/>
      <c r="BV680" t="inlineStr"/>
      <c r="BW680" t="inlineStr"/>
      <c r="BX680" t="inlineStr"/>
      <c r="BY680" t="inlineStr"/>
      <c r="BZ680" t="inlineStr"/>
      <c r="CA680" t="inlineStr"/>
      <c r="CB680" t="inlineStr"/>
      <c r="CC680" t="inlineStr"/>
      <c r="CD680" t="inlineStr"/>
      <c r="CE680" t="inlineStr"/>
      <c r="CF680" t="inlineStr"/>
      <c r="CG680" t="inlineStr"/>
      <c r="CH680" t="inlineStr"/>
      <c r="CI680" t="inlineStr"/>
      <c r="CJ680" t="inlineStr"/>
      <c r="CK680" t="inlineStr"/>
      <c r="CL680" t="inlineStr"/>
      <c r="CM680" t="inlineStr"/>
      <c r="CN680" t="inlineStr"/>
      <c r="CO680" t="inlineStr"/>
      <c r="CP680" t="inlineStr"/>
      <c r="CQ680" t="inlineStr"/>
      <c r="CR680" t="inlineStr"/>
      <c r="CS680" t="inlineStr"/>
      <c r="CT680" t="inlineStr"/>
      <c r="CU680" t="inlineStr"/>
      <c r="CV680" t="inlineStr"/>
      <c r="CW680" t="inlineStr"/>
      <c r="CX680" t="inlineStr"/>
      <c r="CY680" t="inlineStr"/>
      <c r="CZ680" t="inlineStr"/>
      <c r="DA680" t="inlineStr"/>
      <c r="DB680" t="inlineStr"/>
      <c r="DC680" t="inlineStr"/>
      <c r="DD680" t="inlineStr"/>
      <c r="DE680" t="inlineStr"/>
      <c r="DF680" t="inlineStr"/>
      <c r="DG680" t="inlineStr"/>
    </row>
    <row r="681">
      <c r="A681" t="inlineStr">
        <is>
          <t>III</t>
        </is>
      </c>
      <c r="B681" t="b">
        <v>1</v>
      </c>
      <c r="C681" t="inlineStr"/>
      <c r="D681" t="inlineStr"/>
      <c r="E681" t="n">
        <v>802</v>
      </c>
      <c r="F681">
        <f>HYPERLINK("https://portal.dnb.de/opac.htm?method=simpleSearch&amp;cqlMode=true&amp;query=idn%3D994566468", "Portal")</f>
        <v/>
      </c>
      <c r="G681" t="inlineStr">
        <is>
          <t>Aal</t>
        </is>
      </c>
      <c r="H681" t="inlineStr">
        <is>
          <t>L-1536-156637766</t>
        </is>
      </c>
      <c r="I681" t="inlineStr">
        <is>
          <t>994566468</t>
        </is>
      </c>
      <c r="J681" t="inlineStr">
        <is>
          <t>III 73, 21a</t>
        </is>
      </c>
      <c r="K681" t="inlineStr">
        <is>
          <t>III 73, 21a</t>
        </is>
      </c>
      <c r="L681" t="inlineStr">
        <is>
          <t>III 73, 21 a</t>
        </is>
      </c>
      <c r="M681" t="inlineStr"/>
      <c r="N681" t="inlineStr">
        <is>
          <t xml:space="preserve">Volumen [parvum] : Justiniani Romanorum imperatoris Volumen|| ut peculiari vocabulo nuncupant|| totius iuris ciuilis velut colophon ac complementum|| </t>
        </is>
      </c>
      <c r="O681" t="inlineStr">
        <is>
          <t xml:space="preserve"> : </t>
        </is>
      </c>
      <c r="P681" t="inlineStr">
        <is>
          <t>X</t>
        </is>
      </c>
      <c r="Q681" t="inlineStr"/>
      <c r="R681" t="inlineStr">
        <is>
          <t>Ledereinband</t>
        </is>
      </c>
      <c r="S681" t="inlineStr">
        <is>
          <t>bis 25 cm</t>
        </is>
      </c>
      <c r="T681" t="inlineStr">
        <is>
          <t>80° bis 110°, einseitig digitalisierbar?</t>
        </is>
      </c>
      <c r="U681" t="inlineStr">
        <is>
          <t>Schrift bis in den Falz</t>
        </is>
      </c>
      <c r="V681" t="inlineStr"/>
      <c r="W681" t="inlineStr">
        <is>
          <t>Kassette</t>
        </is>
      </c>
      <c r="X681" t="inlineStr">
        <is>
          <t>Nein, Signaturfahne austauschen</t>
        </is>
      </c>
      <c r="Y681" t="n">
        <v>0</v>
      </c>
      <c r="Z681" t="inlineStr"/>
      <c r="AA681" t="inlineStr">
        <is>
          <t>Fragmente beiliegend</t>
        </is>
      </c>
      <c r="AB681" t="inlineStr"/>
      <c r="AC681" t="inlineStr"/>
      <c r="AD681" t="inlineStr"/>
      <c r="AE681" t="inlineStr"/>
      <c r="AF681" t="inlineStr"/>
      <c r="AG681" t="inlineStr"/>
      <c r="AH681" t="inlineStr"/>
      <c r="AI681" t="inlineStr"/>
      <c r="AJ681" t="inlineStr"/>
      <c r="AK681" t="inlineStr"/>
      <c r="AL681" t="inlineStr"/>
      <c r="AM681" t="inlineStr"/>
      <c r="AN681" t="inlineStr"/>
      <c r="AO681" t="inlineStr"/>
      <c r="AP681" t="inlineStr"/>
      <c r="AQ681" t="inlineStr"/>
      <c r="AR681" t="inlineStr"/>
      <c r="AS681" t="inlineStr"/>
      <c r="AT681" t="inlineStr"/>
      <c r="AU681" t="inlineStr"/>
      <c r="AV681" t="inlineStr"/>
      <c r="AW681" t="inlineStr"/>
      <c r="AX681" t="inlineStr"/>
      <c r="AY681" t="inlineStr"/>
      <c r="AZ681" t="inlineStr"/>
      <c r="BA681" t="inlineStr"/>
      <c r="BB681" t="inlineStr"/>
      <c r="BC681" t="inlineStr"/>
      <c r="BD681" t="inlineStr"/>
      <c r="BE681" t="inlineStr"/>
      <c r="BF681" t="inlineStr"/>
      <c r="BG681" t="inlineStr"/>
      <c r="BH681" t="inlineStr"/>
      <c r="BI681" t="inlineStr"/>
      <c r="BJ681" t="inlineStr"/>
      <c r="BK681" t="inlineStr"/>
      <c r="BL681" t="inlineStr"/>
      <c r="BM681" t="inlineStr"/>
      <c r="BN681" t="n">
        <v>0</v>
      </c>
      <c r="BO681" t="inlineStr"/>
      <c r="BP681" t="inlineStr"/>
      <c r="BQ681" t="inlineStr"/>
      <c r="BR681" t="inlineStr"/>
      <c r="BS681" t="inlineStr"/>
      <c r="BT681" t="inlineStr"/>
      <c r="BU681" t="inlineStr"/>
      <c r="BV681" t="inlineStr"/>
      <c r="BW681" t="inlineStr"/>
      <c r="BX681" t="inlineStr"/>
      <c r="BY681" t="inlineStr"/>
      <c r="BZ681" t="inlineStr"/>
      <c r="CA681" t="inlineStr"/>
      <c r="CB681" t="inlineStr"/>
      <c r="CC681" t="inlineStr"/>
      <c r="CD681" t="inlineStr"/>
      <c r="CE681" t="inlineStr"/>
      <c r="CF681" t="inlineStr"/>
      <c r="CG681" t="inlineStr"/>
      <c r="CH681" t="inlineStr"/>
      <c r="CI681" t="inlineStr"/>
      <c r="CJ681" t="inlineStr"/>
      <c r="CK681" t="inlineStr"/>
      <c r="CL681" t="inlineStr"/>
      <c r="CM681" t="inlineStr"/>
      <c r="CN681" t="inlineStr"/>
      <c r="CO681" t="inlineStr"/>
      <c r="CP681" t="inlineStr"/>
      <c r="CQ681" t="inlineStr"/>
      <c r="CR681" t="inlineStr"/>
      <c r="CS681" t="inlineStr"/>
      <c r="CT681" t="inlineStr"/>
      <c r="CU681" t="inlineStr"/>
      <c r="CV681" t="inlineStr"/>
      <c r="CW681" t="inlineStr"/>
      <c r="CX681" t="inlineStr"/>
      <c r="CY681" t="inlineStr"/>
      <c r="CZ681" t="inlineStr"/>
      <c r="DA681" t="inlineStr"/>
      <c r="DB681" t="inlineStr"/>
      <c r="DC681" t="inlineStr"/>
      <c r="DD681" t="inlineStr"/>
      <c r="DE681" t="inlineStr"/>
      <c r="DF681" t="inlineStr"/>
      <c r="DG681" t="inlineStr"/>
    </row>
    <row r="682">
      <c r="A682" t="inlineStr">
        <is>
          <t>III</t>
        </is>
      </c>
      <c r="B682" t="b">
        <v>1</v>
      </c>
      <c r="C682" t="inlineStr"/>
      <c r="D682" t="inlineStr"/>
      <c r="E682" t="n">
        <v>752</v>
      </c>
      <c r="F682">
        <f>HYPERLINK("https://portal.dnb.de/opac.htm?method=simpleSearch&amp;cqlMode=true&amp;query=idn%3D1066777330", "Portal")</f>
        <v/>
      </c>
      <c r="G682" t="inlineStr">
        <is>
          <t>Aaf</t>
        </is>
      </c>
      <c r="H682" t="inlineStr">
        <is>
          <t>L-1509-315199296</t>
        </is>
      </c>
      <c r="I682" t="inlineStr">
        <is>
          <t>1066777330</t>
        </is>
      </c>
      <c r="J682" t="inlineStr">
        <is>
          <t>III 73, 22</t>
        </is>
      </c>
      <c r="K682" t="inlineStr">
        <is>
          <t>III 73, 22</t>
        </is>
      </c>
      <c r="L682" t="inlineStr">
        <is>
          <t>III 73, 22</t>
        </is>
      </c>
      <c r="M682" t="inlineStr"/>
      <c r="N682" t="inlineStr">
        <is>
          <t>Expositio beati Gregorij pape super Cantica canticorum : Cantica Gregori sermona breui manifestat ; Dulcius vt castis auribus illa sonent</t>
        </is>
      </c>
      <c r="O682" t="inlineStr">
        <is>
          <t xml:space="preserve"> : </t>
        </is>
      </c>
      <c r="P682" t="inlineStr">
        <is>
          <t>X</t>
        </is>
      </c>
      <c r="Q682" t="inlineStr"/>
      <c r="R682" t="inlineStr">
        <is>
          <t>Halbgewebeband</t>
        </is>
      </c>
      <c r="S682" t="inlineStr">
        <is>
          <t>bis 25 cm</t>
        </is>
      </c>
      <c r="T682" t="inlineStr">
        <is>
          <t>80° bis 110°, einseitig digitalisierbar?</t>
        </is>
      </c>
      <c r="U682" t="inlineStr">
        <is>
          <t>hohler Rücken</t>
        </is>
      </c>
      <c r="V682" t="inlineStr"/>
      <c r="W682" t="inlineStr"/>
      <c r="X682" t="inlineStr">
        <is>
          <t>Signaturfahne austauschen</t>
        </is>
      </c>
      <c r="Y682" t="n">
        <v>0</v>
      </c>
      <c r="Z682" t="inlineStr"/>
      <c r="AA682" t="inlineStr">
        <is>
          <t>mit Blindmaterial</t>
        </is>
      </c>
      <c r="AB682" t="inlineStr"/>
      <c r="AC682" t="inlineStr"/>
      <c r="AD682" t="inlineStr"/>
      <c r="AE682" t="inlineStr"/>
      <c r="AF682" t="inlineStr"/>
      <c r="AG682" t="inlineStr"/>
      <c r="AH682" t="inlineStr"/>
      <c r="AI682" t="inlineStr"/>
      <c r="AJ682" t="inlineStr"/>
      <c r="AK682" t="inlineStr"/>
      <c r="AL682" t="inlineStr"/>
      <c r="AM682" t="inlineStr"/>
      <c r="AN682" t="inlineStr"/>
      <c r="AO682" t="inlineStr"/>
      <c r="AP682" t="inlineStr"/>
      <c r="AQ682" t="inlineStr"/>
      <c r="AR682" t="inlineStr"/>
      <c r="AS682" t="inlineStr"/>
      <c r="AT682" t="inlineStr"/>
      <c r="AU682" t="inlineStr"/>
      <c r="AV682" t="inlineStr"/>
      <c r="AW682" t="inlineStr"/>
      <c r="AX682" t="inlineStr"/>
      <c r="AY682" t="inlineStr"/>
      <c r="AZ682" t="inlineStr"/>
      <c r="BA682" t="inlineStr"/>
      <c r="BB682" t="inlineStr"/>
      <c r="BC682" t="inlineStr"/>
      <c r="BD682" t="inlineStr"/>
      <c r="BE682" t="inlineStr"/>
      <c r="BF682" t="inlineStr"/>
      <c r="BG682" t="inlineStr"/>
      <c r="BH682" t="inlineStr"/>
      <c r="BI682" t="inlineStr"/>
      <c r="BJ682" t="inlineStr"/>
      <c r="BK682" t="inlineStr"/>
      <c r="BL682" t="inlineStr"/>
      <c r="BM682" t="inlineStr"/>
      <c r="BN682" t="n">
        <v>0</v>
      </c>
      <c r="BO682" t="inlineStr"/>
      <c r="BP682" t="inlineStr"/>
      <c r="BQ682" t="inlineStr"/>
      <c r="BR682" t="inlineStr"/>
      <c r="BS682" t="inlineStr"/>
      <c r="BT682" t="inlineStr"/>
      <c r="BU682" t="inlineStr"/>
      <c r="BV682" t="inlineStr"/>
      <c r="BW682" t="inlineStr"/>
      <c r="BX682" t="inlineStr"/>
      <c r="BY682" t="inlineStr"/>
      <c r="BZ682" t="inlineStr"/>
      <c r="CA682" t="inlineStr"/>
      <c r="CB682" t="inlineStr"/>
      <c r="CC682" t="inlineStr"/>
      <c r="CD682" t="inlineStr"/>
      <c r="CE682" t="inlineStr"/>
      <c r="CF682" t="inlineStr"/>
      <c r="CG682" t="inlineStr"/>
      <c r="CH682" t="inlineStr"/>
      <c r="CI682" t="inlineStr"/>
      <c r="CJ682" t="inlineStr"/>
      <c r="CK682" t="inlineStr"/>
      <c r="CL682" t="inlineStr"/>
      <c r="CM682" t="inlineStr"/>
      <c r="CN682" t="inlineStr"/>
      <c r="CO682" t="inlineStr"/>
      <c r="CP682" t="inlineStr"/>
      <c r="CQ682" t="inlineStr"/>
      <c r="CR682" t="inlineStr"/>
      <c r="CS682" t="inlineStr"/>
      <c r="CT682" t="inlineStr"/>
      <c r="CU682" t="inlineStr"/>
      <c r="CV682" t="inlineStr"/>
      <c r="CW682" t="inlineStr"/>
      <c r="CX682" t="inlineStr"/>
      <c r="CY682" t="inlineStr"/>
      <c r="CZ682" t="inlineStr"/>
      <c r="DA682" t="inlineStr"/>
      <c r="DB682" t="inlineStr"/>
      <c r="DC682" t="inlineStr"/>
      <c r="DD682" t="inlineStr"/>
      <c r="DE682" t="inlineStr"/>
      <c r="DF682" t="inlineStr"/>
      <c r="DG682" t="inlineStr"/>
    </row>
    <row r="683">
      <c r="A683" t="inlineStr">
        <is>
          <t>III</t>
        </is>
      </c>
      <c r="B683" t="b">
        <v>1</v>
      </c>
      <c r="C683" t="inlineStr"/>
      <c r="D683" t="inlineStr"/>
      <c r="E683" t="inlineStr"/>
      <c r="F683">
        <f>HYPERLINK("https://portal.dnb.de/opac.htm?method=simpleSearch&amp;cqlMode=true&amp;query=idn%3D1137732741", "Portal")</f>
        <v/>
      </c>
      <c r="G683" t="inlineStr">
        <is>
          <t>Qd</t>
        </is>
      </c>
      <c r="H683" t="inlineStr">
        <is>
          <t>L-9999-413885623</t>
        </is>
      </c>
      <c r="I683" t="inlineStr">
        <is>
          <t>1137732741</t>
        </is>
      </c>
      <c r="J683" t="inlineStr">
        <is>
          <t>III 73, 23</t>
        </is>
      </c>
      <c r="K683" t="inlineStr">
        <is>
          <t>III 73, 23</t>
        </is>
      </c>
      <c r="L683" t="inlineStr">
        <is>
          <t>III 73, 23</t>
        </is>
      </c>
      <c r="M683" t="inlineStr"/>
      <c r="N683" t="inlineStr">
        <is>
          <t xml:space="preserve">Sammelband mit zwei Werken von Thascius Caecilius Cyprianus : </t>
        </is>
      </c>
      <c r="O683" t="inlineStr">
        <is>
          <t xml:space="preserve"> : </t>
        </is>
      </c>
      <c r="P683" t="inlineStr">
        <is>
          <t>X</t>
        </is>
      </c>
      <c r="Q683" t="inlineStr"/>
      <c r="R683" t="inlineStr">
        <is>
          <t>Gewebeeinband, Schließen, erhabene Buchbeschläge</t>
        </is>
      </c>
      <c r="S683" t="inlineStr">
        <is>
          <t>bis 25 cm</t>
        </is>
      </c>
      <c r="T683" t="inlineStr">
        <is>
          <t>80° bis 110°, einseitig digitalisierbar?</t>
        </is>
      </c>
      <c r="U683" t="inlineStr">
        <is>
          <t>hohler Rücken</t>
        </is>
      </c>
      <c r="V683" t="inlineStr"/>
      <c r="W683" t="inlineStr">
        <is>
          <t>Buchschuh</t>
        </is>
      </c>
      <c r="X683" t="inlineStr">
        <is>
          <t>Nein, Signaturfahne austauschen</t>
        </is>
      </c>
      <c r="Y683" t="n">
        <v>0</v>
      </c>
      <c r="Z683" t="inlineStr"/>
      <c r="AA683" t="inlineStr"/>
      <c r="AB683" t="inlineStr"/>
      <c r="AC683" t="inlineStr"/>
      <c r="AD683" t="inlineStr"/>
      <c r="AE683" t="inlineStr"/>
      <c r="AF683" t="inlineStr"/>
      <c r="AG683" t="inlineStr"/>
      <c r="AH683" t="inlineStr"/>
      <c r="AI683" t="inlineStr"/>
      <c r="AJ683" t="inlineStr"/>
      <c r="AK683" t="inlineStr"/>
      <c r="AL683" t="inlineStr"/>
      <c r="AM683" t="inlineStr"/>
      <c r="AN683" t="inlineStr"/>
      <c r="AO683" t="inlineStr"/>
      <c r="AP683" t="inlineStr"/>
      <c r="AQ683" t="inlineStr"/>
      <c r="AR683" t="inlineStr"/>
      <c r="AS683" t="inlineStr"/>
      <c r="AT683" t="inlineStr"/>
      <c r="AU683" t="inlineStr"/>
      <c r="AV683" t="inlineStr"/>
      <c r="AW683" t="inlineStr"/>
      <c r="AX683" t="inlineStr"/>
      <c r="AY683" t="inlineStr"/>
      <c r="AZ683" t="inlineStr"/>
      <c r="BA683" t="inlineStr"/>
      <c r="BB683" t="inlineStr"/>
      <c r="BC683" t="inlineStr"/>
      <c r="BD683" t="inlineStr"/>
      <c r="BE683" t="inlineStr"/>
      <c r="BF683" t="inlineStr"/>
      <c r="BG683" t="inlineStr"/>
      <c r="BH683" t="inlineStr"/>
      <c r="BI683" t="inlineStr"/>
      <c r="BJ683" t="inlineStr"/>
      <c r="BK683" t="inlineStr"/>
      <c r="BL683" t="inlineStr"/>
      <c r="BM683" t="inlineStr"/>
      <c r="BN683" t="n">
        <v>0</v>
      </c>
      <c r="BO683" t="inlineStr"/>
      <c r="BP683" t="inlineStr"/>
      <c r="BQ683" t="inlineStr"/>
      <c r="BR683" t="inlineStr"/>
      <c r="BS683" t="inlineStr"/>
      <c r="BT683" t="inlineStr"/>
      <c r="BU683" t="inlineStr"/>
      <c r="BV683" t="inlineStr"/>
      <c r="BW683" t="inlineStr"/>
      <c r="BX683" t="inlineStr"/>
      <c r="BY683" t="inlineStr"/>
      <c r="BZ683" t="inlineStr"/>
      <c r="CA683" t="inlineStr"/>
      <c r="CB683" t="inlineStr"/>
      <c r="CC683" t="inlineStr"/>
      <c r="CD683" t="inlineStr"/>
      <c r="CE683" t="inlineStr"/>
      <c r="CF683" t="inlineStr"/>
      <c r="CG683" t="inlineStr"/>
      <c r="CH683" t="inlineStr"/>
      <c r="CI683" t="inlineStr"/>
      <c r="CJ683" t="inlineStr"/>
      <c r="CK683" t="inlineStr"/>
      <c r="CL683" t="inlineStr"/>
      <c r="CM683" t="inlineStr"/>
      <c r="CN683" t="inlineStr"/>
      <c r="CO683" t="inlineStr"/>
      <c r="CP683" t="inlineStr"/>
      <c r="CQ683" t="inlineStr"/>
      <c r="CR683" t="inlineStr"/>
      <c r="CS683" t="inlineStr"/>
      <c r="CT683" t="inlineStr"/>
      <c r="CU683" t="inlineStr"/>
      <c r="CV683" t="inlineStr"/>
      <c r="CW683" t="inlineStr"/>
      <c r="CX683" t="inlineStr"/>
      <c r="CY683" t="inlineStr"/>
      <c r="CZ683" t="inlineStr"/>
      <c r="DA683" t="inlineStr"/>
      <c r="DB683" t="inlineStr"/>
      <c r="DC683" t="inlineStr"/>
      <c r="DD683" t="inlineStr"/>
      <c r="DE683" t="inlineStr"/>
      <c r="DF683" t="inlineStr"/>
      <c r="DG683" t="inlineStr"/>
    </row>
    <row r="684">
      <c r="A684" t="inlineStr">
        <is>
          <t>III</t>
        </is>
      </c>
      <c r="B684" t="b">
        <v>1</v>
      </c>
      <c r="C684" t="inlineStr"/>
      <c r="D684" t="inlineStr"/>
      <c r="E684" t="n">
        <v>805</v>
      </c>
      <c r="F684">
        <f>HYPERLINK("https://portal.dnb.de/opac.htm?method=simpleSearch&amp;cqlMode=true&amp;query=idn%3D994151691", "Portal")</f>
        <v/>
      </c>
      <c r="G684" t="inlineStr">
        <is>
          <t>Aal</t>
        </is>
      </c>
      <c r="H684" t="inlineStr">
        <is>
          <t>L-1513-154629308</t>
        </is>
      </c>
      <c r="I684" t="inlineStr">
        <is>
          <t>994151691</t>
        </is>
      </c>
      <c r="J684" t="inlineStr">
        <is>
          <t>III 73, 23a</t>
        </is>
      </c>
      <c r="K684" t="inlineStr">
        <is>
          <t>III 73, 23a</t>
        </is>
      </c>
      <c r="L684" t="inlineStr">
        <is>
          <t>III 73, 23 a</t>
        </is>
      </c>
      <c r="M684" t="inlineStr">
        <is>
          <t>Bibliogr. Angaben klären, kein Titelblatt</t>
        </is>
      </c>
      <c r="N684" t="inlineStr">
        <is>
          <t>[Melliflui deuotiq doctoris Sācti Bernardi ... Opus preclarū suos cōplectēs sermones de tempore: de sanctis: et super cantica canticorum : Aliosq plur</t>
        </is>
      </c>
      <c r="O684" t="inlineStr">
        <is>
          <t xml:space="preserve"> : </t>
        </is>
      </c>
      <c r="P684" t="inlineStr"/>
      <c r="Q684" t="inlineStr"/>
      <c r="R684" t="inlineStr"/>
      <c r="S684" t="inlineStr">
        <is>
          <t>bis 42 cm</t>
        </is>
      </c>
      <c r="T684" t="inlineStr"/>
      <c r="U684" t="inlineStr"/>
      <c r="V684" t="inlineStr"/>
      <c r="W684" t="inlineStr"/>
      <c r="X684" t="inlineStr"/>
      <c r="Y684" t="inlineStr"/>
      <c r="Z684" t="inlineStr"/>
      <c r="AA684" t="inlineStr"/>
      <c r="AB684" t="inlineStr"/>
      <c r="AC684" t="inlineStr"/>
      <c r="AD684" t="inlineStr"/>
      <c r="AE684" t="inlineStr"/>
      <c r="AF684" t="inlineStr"/>
      <c r="AG684" t="inlineStr"/>
      <c r="AH684" t="inlineStr"/>
      <c r="AI684" t="inlineStr">
        <is>
          <t>HD</t>
        </is>
      </c>
      <c r="AJ684" t="inlineStr"/>
      <c r="AK684" t="inlineStr"/>
      <c r="AL684" t="inlineStr">
        <is>
          <t>x</t>
        </is>
      </c>
      <c r="AM684" t="inlineStr">
        <is>
          <t>f</t>
        </is>
      </c>
      <c r="AN684" t="inlineStr"/>
      <c r="AO684" t="inlineStr"/>
      <c r="AP684" t="inlineStr"/>
      <c r="AQ684" t="inlineStr"/>
      <c r="AR684" t="inlineStr"/>
      <c r="AS684" t="inlineStr">
        <is>
          <t>Pa</t>
        </is>
      </c>
      <c r="AT684" t="inlineStr"/>
      <c r="AU684" t="inlineStr"/>
      <c r="AV684" t="inlineStr"/>
      <c r="AW684" t="inlineStr"/>
      <c r="AX684" t="inlineStr">
        <is>
          <t>x</t>
        </is>
      </c>
      <c r="AY684" t="inlineStr"/>
      <c r="AZ684" t="inlineStr"/>
      <c r="BA684" t="inlineStr"/>
      <c r="BB684" t="inlineStr"/>
      <c r="BC684" t="inlineStr"/>
      <c r="BD684" t="inlineStr"/>
      <c r="BE684" t="n">
        <v>0</v>
      </c>
      <c r="BF684" t="inlineStr">
        <is>
          <t>x</t>
        </is>
      </c>
      <c r="BG684" t="inlineStr">
        <is>
          <t>max 110</t>
        </is>
      </c>
      <c r="BH684" t="inlineStr"/>
      <c r="BI684" t="inlineStr"/>
      <c r="BJ684" t="inlineStr"/>
      <c r="BK684" t="inlineStr"/>
      <c r="BL684" t="inlineStr"/>
      <c r="BM684" t="inlineStr">
        <is>
          <t>n</t>
        </is>
      </c>
      <c r="BN684" t="n">
        <v>0</v>
      </c>
      <c r="BO684" t="inlineStr"/>
      <c r="BP684" t="inlineStr">
        <is>
          <t>Gewebe</t>
        </is>
      </c>
      <c r="BQ684" t="inlineStr"/>
      <c r="BR684" t="inlineStr"/>
      <c r="BS684" t="inlineStr"/>
      <c r="BT684" t="inlineStr"/>
      <c r="BU684" t="inlineStr"/>
      <c r="BV684" t="inlineStr"/>
      <c r="BW684" t="inlineStr"/>
      <c r="BX684" t="inlineStr"/>
      <c r="BY684" t="inlineStr"/>
      <c r="BZ684" t="inlineStr"/>
      <c r="CA684" t="inlineStr"/>
      <c r="CB684" t="inlineStr"/>
      <c r="CC684" t="inlineStr"/>
      <c r="CD684" t="inlineStr"/>
      <c r="CE684" t="inlineStr"/>
      <c r="CF684" t="inlineStr"/>
      <c r="CG684" t="inlineStr"/>
      <c r="CH684" t="inlineStr"/>
      <c r="CI684" t="inlineStr"/>
      <c r="CJ684" t="inlineStr"/>
      <c r="CK684" t="inlineStr"/>
      <c r="CL684" t="inlineStr"/>
      <c r="CM684" t="inlineStr"/>
      <c r="CN684" t="inlineStr"/>
      <c r="CO684" t="inlineStr"/>
      <c r="CP684" t="inlineStr"/>
      <c r="CQ684" t="inlineStr"/>
      <c r="CR684" t="inlineStr"/>
      <c r="CS684" t="inlineStr"/>
      <c r="CT684" t="inlineStr"/>
      <c r="CU684" t="inlineStr"/>
      <c r="CV684" t="inlineStr"/>
      <c r="CW684" t="inlineStr"/>
      <c r="CX684" t="inlineStr"/>
      <c r="CY684" t="inlineStr"/>
      <c r="CZ684" t="inlineStr"/>
      <c r="DA684" t="inlineStr"/>
      <c r="DB684" t="inlineStr"/>
      <c r="DC684" t="inlineStr"/>
      <c r="DD684" t="inlineStr"/>
      <c r="DE684" t="inlineStr"/>
      <c r="DF684" t="inlineStr"/>
      <c r="DG684" t="inlineStr"/>
    </row>
    <row r="685">
      <c r="A685" t="inlineStr">
        <is>
          <t>III</t>
        </is>
      </c>
      <c r="B685" t="b">
        <v>1</v>
      </c>
      <c r="C685" t="inlineStr"/>
      <c r="D685" t="inlineStr"/>
      <c r="E685" t="n">
        <v>754</v>
      </c>
      <c r="F685">
        <f>HYPERLINK("https://portal.dnb.de/opac.htm?method=simpleSearch&amp;cqlMode=true&amp;query=idn%3D1066933766", "Portal")</f>
        <v/>
      </c>
      <c r="G685" t="inlineStr">
        <is>
          <t>Aaf</t>
        </is>
      </c>
      <c r="H685" t="inlineStr">
        <is>
          <t>L-1510-315461829</t>
        </is>
      </c>
      <c r="I685" t="inlineStr">
        <is>
          <t>1066933766</t>
        </is>
      </c>
      <c r="J685" t="inlineStr">
        <is>
          <t>III 73, 24</t>
        </is>
      </c>
      <c r="K685" t="inlineStr">
        <is>
          <t>III 73, 24</t>
        </is>
      </c>
      <c r="L685" t="inlineStr">
        <is>
          <t>III 73, 24</t>
        </is>
      </c>
      <c r="M685" t="inlineStr"/>
      <c r="N685" t="inlineStr">
        <is>
          <t>Speculum spiritualium : in quo non solum de vita actiua et contemplatiua: verum etiam de viciis, quibus humana mens inquinatur, ac virtutibus quibus i</t>
        </is>
      </c>
      <c r="O685" t="inlineStr">
        <is>
          <t xml:space="preserve"> : </t>
        </is>
      </c>
      <c r="P685" t="inlineStr">
        <is>
          <t>X</t>
        </is>
      </c>
      <c r="Q685" t="inlineStr"/>
      <c r="R685" t="inlineStr">
        <is>
          <t>Halbledereinband, Schließen, erhabene Buchbeschläge</t>
        </is>
      </c>
      <c r="S685" t="inlineStr">
        <is>
          <t>bis 35 cm</t>
        </is>
      </c>
      <c r="T685" t="inlineStr">
        <is>
          <t>180°</t>
        </is>
      </c>
      <c r="U685" t="inlineStr">
        <is>
          <t>hohler Rücken</t>
        </is>
      </c>
      <c r="V685" t="inlineStr"/>
      <c r="W685" t="inlineStr">
        <is>
          <t>Buchschuh</t>
        </is>
      </c>
      <c r="X685" t="inlineStr">
        <is>
          <t>Nein</t>
        </is>
      </c>
      <c r="Y685" t="inlineStr"/>
      <c r="Z685" t="inlineStr"/>
      <c r="AA685" t="inlineStr"/>
      <c r="AB685" t="inlineStr"/>
      <c r="AC685" t="inlineStr"/>
      <c r="AD685" t="inlineStr"/>
      <c r="AE685" t="inlineStr"/>
      <c r="AF685" t="inlineStr"/>
      <c r="AG685" t="inlineStr"/>
      <c r="AH685" t="inlineStr"/>
      <c r="AI685" t="inlineStr">
        <is>
          <t>HL</t>
        </is>
      </c>
      <c r="AJ685" t="inlineStr"/>
      <c r="AK685" t="inlineStr">
        <is>
          <t>x</t>
        </is>
      </c>
      <c r="AL685" t="inlineStr"/>
      <c r="AM685" t="inlineStr">
        <is>
          <t>h/E</t>
        </is>
      </c>
      <c r="AN685" t="inlineStr"/>
      <c r="AO685" t="inlineStr"/>
      <c r="AP685" t="inlineStr"/>
      <c r="AQ685" t="inlineStr"/>
      <c r="AR685" t="inlineStr"/>
      <c r="AS685" t="inlineStr">
        <is>
          <t>Pa</t>
        </is>
      </c>
      <c r="AT685" t="inlineStr"/>
      <c r="AU685" t="inlineStr"/>
      <c r="AV685" t="inlineStr"/>
      <c r="AW685" t="inlineStr"/>
      <c r="AX685" t="inlineStr"/>
      <c r="AY685" t="inlineStr"/>
      <c r="AZ685" t="inlineStr"/>
      <c r="BA685" t="inlineStr"/>
      <c r="BB685" t="inlineStr"/>
      <c r="BC685" t="inlineStr"/>
      <c r="BD685" t="inlineStr"/>
      <c r="BE685" t="inlineStr"/>
      <c r="BF685" t="inlineStr"/>
      <c r="BG685" t="n">
        <v>60</v>
      </c>
      <c r="BH685" t="inlineStr"/>
      <c r="BI685" t="inlineStr"/>
      <c r="BJ685" t="inlineStr"/>
      <c r="BK685" t="inlineStr"/>
      <c r="BL685" t="inlineStr"/>
      <c r="BM685" t="inlineStr">
        <is>
          <t>n</t>
        </is>
      </c>
      <c r="BN685" t="n">
        <v>0</v>
      </c>
      <c r="BO685" t="inlineStr"/>
      <c r="BP685" t="inlineStr"/>
      <c r="BQ685" t="inlineStr"/>
      <c r="BR685" t="inlineStr">
        <is>
          <t>x</t>
        </is>
      </c>
      <c r="BS685" t="inlineStr"/>
      <c r="BT685" t="inlineStr"/>
      <c r="BU685" t="inlineStr"/>
      <c r="BV685" t="inlineStr">
        <is>
          <t>Schaden stabil</t>
        </is>
      </c>
      <c r="BW685" t="inlineStr"/>
      <c r="BX685" t="inlineStr"/>
      <c r="BY685" t="inlineStr"/>
      <c r="BZ685" t="inlineStr"/>
      <c r="CA685" t="inlineStr"/>
      <c r="CB685" t="inlineStr"/>
      <c r="CC685" t="inlineStr"/>
      <c r="CD685" t="inlineStr"/>
      <c r="CE685" t="inlineStr"/>
      <c r="CF685" t="inlineStr"/>
      <c r="CG685" t="inlineStr"/>
      <c r="CH685" t="inlineStr"/>
      <c r="CI685" t="inlineStr"/>
      <c r="CJ685" t="inlineStr"/>
      <c r="CK685" t="inlineStr"/>
      <c r="CL685" t="inlineStr"/>
      <c r="CM685" t="inlineStr"/>
      <c r="CN685" t="inlineStr"/>
      <c r="CO685" t="inlineStr"/>
      <c r="CP685" t="inlineStr"/>
      <c r="CQ685" t="inlineStr"/>
      <c r="CR685" t="inlineStr"/>
      <c r="CS685" t="inlineStr"/>
      <c r="CT685" t="inlineStr"/>
      <c r="CU685" t="inlineStr"/>
      <c r="CV685" t="inlineStr"/>
      <c r="CW685" t="inlineStr"/>
      <c r="CX685" t="inlineStr"/>
      <c r="CY685" t="inlineStr"/>
      <c r="CZ685" t="inlineStr"/>
      <c r="DA685" t="inlineStr"/>
      <c r="DB685" t="inlineStr"/>
      <c r="DC685" t="inlineStr"/>
      <c r="DD685" t="inlineStr"/>
      <c r="DE685" t="inlineStr"/>
      <c r="DF685" t="inlineStr"/>
      <c r="DG685" t="inlineStr"/>
    </row>
    <row r="686">
      <c r="A686" t="inlineStr">
        <is>
          <t>III</t>
        </is>
      </c>
      <c r="B686" t="b">
        <v>1</v>
      </c>
      <c r="C686" t="inlineStr"/>
      <c r="D686" t="inlineStr"/>
      <c r="E686" t="n">
        <v>755</v>
      </c>
      <c r="F686">
        <f>HYPERLINK("https://portal.dnb.de/opac.htm?method=simpleSearch&amp;cqlMode=true&amp;query=idn%3D1066876231", "Portal")</f>
        <v/>
      </c>
      <c r="G686" t="inlineStr">
        <is>
          <t>Aaf</t>
        </is>
      </c>
      <c r="H686" t="inlineStr">
        <is>
          <t>L-1514-315333987</t>
        </is>
      </c>
      <c r="I686" t="inlineStr">
        <is>
          <t>1066876231</t>
        </is>
      </c>
      <c r="J686" t="inlineStr">
        <is>
          <t>III 73, 25</t>
        </is>
      </c>
      <c r="K686" t="inlineStr">
        <is>
          <t>III 73, 25</t>
        </is>
      </c>
      <c r="L686" t="inlineStr">
        <is>
          <t>III 73, 25</t>
        </is>
      </c>
      <c r="M686" t="inlineStr"/>
      <c r="N686" t="inlineStr">
        <is>
          <t xml:space="preserve">Missale Diocesis Coloniensis : </t>
        </is>
      </c>
      <c r="O686" t="inlineStr">
        <is>
          <t xml:space="preserve"> : </t>
        </is>
      </c>
      <c r="P686" t="inlineStr"/>
      <c r="Q686" t="inlineStr"/>
      <c r="R686" t="inlineStr">
        <is>
          <t>Ledereinband, Schließen, erhabene Buchbeschläge</t>
        </is>
      </c>
      <c r="S686" t="inlineStr">
        <is>
          <t>bis 35 cm</t>
        </is>
      </c>
      <c r="T686" t="inlineStr">
        <is>
          <t>180°</t>
        </is>
      </c>
      <c r="U686" t="inlineStr">
        <is>
          <t>fester Rücken mit Schmuckprägung</t>
        </is>
      </c>
      <c r="V686" t="inlineStr"/>
      <c r="W686" t="inlineStr"/>
      <c r="X686" t="inlineStr"/>
      <c r="Y686" t="n">
        <v>2</v>
      </c>
      <c r="Z686" t="inlineStr"/>
      <c r="AA686" t="inlineStr"/>
      <c r="AB686" t="inlineStr"/>
      <c r="AC686" t="inlineStr"/>
      <c r="AD686" t="inlineStr"/>
      <c r="AE686" t="inlineStr"/>
      <c r="AF686" t="inlineStr"/>
      <c r="AG686" t="inlineStr"/>
      <c r="AH686" t="inlineStr"/>
      <c r="AI686" t="inlineStr">
        <is>
          <t>L</t>
        </is>
      </c>
      <c r="AJ686" t="inlineStr"/>
      <c r="AK686" t="inlineStr">
        <is>
          <t>x</t>
        </is>
      </c>
      <c r="AL686" t="inlineStr"/>
      <c r="AM686" t="inlineStr">
        <is>
          <t>f/V</t>
        </is>
      </c>
      <c r="AN686" t="inlineStr"/>
      <c r="AO686" t="inlineStr"/>
      <c r="AP686" t="inlineStr"/>
      <c r="AQ686" t="inlineStr"/>
      <c r="AR686" t="inlineStr"/>
      <c r="AS686" t="inlineStr">
        <is>
          <t>Pa</t>
        </is>
      </c>
      <c r="AT686" t="inlineStr"/>
      <c r="AU686" t="inlineStr"/>
      <c r="AV686" t="inlineStr"/>
      <c r="AW686" t="inlineStr"/>
      <c r="AX686" t="inlineStr"/>
      <c r="AY686" t="inlineStr"/>
      <c r="AZ686" t="inlineStr"/>
      <c r="BA686" t="inlineStr"/>
      <c r="BB686" t="inlineStr"/>
      <c r="BC686" t="inlineStr"/>
      <c r="BD686" t="inlineStr"/>
      <c r="BE686" t="inlineStr"/>
      <c r="BF686" t="inlineStr"/>
      <c r="BG686" t="n">
        <v>0</v>
      </c>
      <c r="BH686" t="inlineStr">
        <is>
          <t xml:space="preserve">
wegen Rücken</t>
        </is>
      </c>
      <c r="BI686" t="inlineStr"/>
      <c r="BJ686" t="inlineStr"/>
      <c r="BK686" t="inlineStr"/>
      <c r="BL686" t="inlineStr"/>
      <c r="BM686" t="inlineStr">
        <is>
          <t>n</t>
        </is>
      </c>
      <c r="BN686" t="n">
        <v>0</v>
      </c>
      <c r="BO686" t="inlineStr"/>
      <c r="BP686" t="inlineStr"/>
      <c r="BQ686" t="inlineStr"/>
      <c r="BR686" t="inlineStr"/>
      <c r="BS686" t="inlineStr"/>
      <c r="BT686" t="inlineStr"/>
      <c r="BU686" t="inlineStr"/>
      <c r="BV686" t="inlineStr">
        <is>
          <t>Schaden stabil</t>
        </is>
      </c>
      <c r="BW686" t="inlineStr"/>
      <c r="BX686" t="inlineStr"/>
      <c r="BY686" t="inlineStr"/>
      <c r="BZ686" t="inlineStr"/>
      <c r="CA686" t="inlineStr"/>
      <c r="CB686" t="inlineStr"/>
      <c r="CC686" t="inlineStr"/>
      <c r="CD686" t="inlineStr"/>
      <c r="CE686" t="inlineStr"/>
      <c r="CF686" t="inlineStr"/>
      <c r="CG686" t="inlineStr"/>
      <c r="CH686" t="inlineStr"/>
      <c r="CI686" t="inlineStr"/>
      <c r="CJ686" t="inlineStr"/>
      <c r="CK686" t="inlineStr"/>
      <c r="CL686" t="inlineStr"/>
      <c r="CM686" t="inlineStr"/>
      <c r="CN686" t="inlineStr"/>
      <c r="CO686" t="inlineStr"/>
      <c r="CP686" t="inlineStr"/>
      <c r="CQ686" t="inlineStr"/>
      <c r="CR686" t="inlineStr"/>
      <c r="CS686" t="inlineStr"/>
      <c r="CT686" t="inlineStr"/>
      <c r="CU686" t="inlineStr"/>
      <c r="CV686" t="inlineStr"/>
      <c r="CW686" t="inlineStr"/>
      <c r="CX686" t="inlineStr"/>
      <c r="CY686" t="inlineStr"/>
      <c r="CZ686" t="inlineStr"/>
      <c r="DA686" t="inlineStr"/>
      <c r="DB686" t="inlineStr"/>
      <c r="DC686" t="inlineStr"/>
      <c r="DD686" t="inlineStr"/>
      <c r="DE686" t="inlineStr"/>
      <c r="DF686" t="inlineStr"/>
      <c r="DG686" t="inlineStr"/>
    </row>
    <row r="687">
      <c r="A687" t="inlineStr">
        <is>
          <t>III</t>
        </is>
      </c>
      <c r="B687" t="b">
        <v>1</v>
      </c>
      <c r="C687" t="inlineStr"/>
      <c r="D687" t="inlineStr"/>
      <c r="E687" t="n">
        <v>756</v>
      </c>
      <c r="F687">
        <f>HYPERLINK("https://portal.dnb.de/opac.htm?method=simpleSearch&amp;cqlMode=true&amp;query=idn%3D1066488770", "Portal")</f>
        <v/>
      </c>
      <c r="G687" t="inlineStr">
        <is>
          <t>Aaf</t>
        </is>
      </c>
      <c r="H687" t="inlineStr">
        <is>
          <t>L-1514-314736093</t>
        </is>
      </c>
      <c r="I687" t="inlineStr">
        <is>
          <t>1066488770</t>
        </is>
      </c>
      <c r="J687" t="inlineStr">
        <is>
          <t>III 73, 26</t>
        </is>
      </c>
      <c r="K687" t="inlineStr">
        <is>
          <t>III 73, 26</t>
        </is>
      </c>
      <c r="L687" t="inlineStr">
        <is>
          <t>III 73, 26</t>
        </is>
      </c>
      <c r="M687" t="inlineStr"/>
      <c r="N687" t="inlineStr">
        <is>
          <t xml:space="preserve">Augustini Dathi Senensis, ... Orationium prima pars ... secunda pars : </t>
        </is>
      </c>
      <c r="O687" t="inlineStr">
        <is>
          <t xml:space="preserve"> : </t>
        </is>
      </c>
      <c r="P687" t="inlineStr">
        <is>
          <t>X</t>
        </is>
      </c>
      <c r="Q687" t="inlineStr"/>
      <c r="R687" t="inlineStr">
        <is>
          <t>Ledereinband</t>
        </is>
      </c>
      <c r="S687" t="inlineStr">
        <is>
          <t>bis 25 cm</t>
        </is>
      </c>
      <c r="T687" t="inlineStr">
        <is>
          <t>80° bis 110°, einseitig digitalisierbar?</t>
        </is>
      </c>
      <c r="U687" t="inlineStr">
        <is>
          <t>fester Rücken mit Schmuckprägung, Schrift bis in den Falz</t>
        </is>
      </c>
      <c r="V687" t="inlineStr"/>
      <c r="W687" t="inlineStr"/>
      <c r="X687" t="inlineStr">
        <is>
          <t>Signaturfahne austauschen</t>
        </is>
      </c>
      <c r="Y687" t="n">
        <v>0</v>
      </c>
      <c r="Z687" t="inlineStr"/>
      <c r="AA687" t="inlineStr"/>
      <c r="AB687" t="inlineStr"/>
      <c r="AC687" t="inlineStr"/>
      <c r="AD687" t="inlineStr"/>
      <c r="AE687" t="inlineStr"/>
      <c r="AF687" t="inlineStr"/>
      <c r="AG687" t="inlineStr"/>
      <c r="AH687" t="inlineStr"/>
      <c r="AI687" t="inlineStr"/>
      <c r="AJ687" t="inlineStr"/>
      <c r="AK687" t="inlineStr"/>
      <c r="AL687" t="inlineStr"/>
      <c r="AM687" t="inlineStr"/>
      <c r="AN687" t="inlineStr"/>
      <c r="AO687" t="inlineStr"/>
      <c r="AP687" t="inlineStr"/>
      <c r="AQ687" t="inlineStr"/>
      <c r="AR687" t="inlineStr"/>
      <c r="AS687" t="inlineStr"/>
      <c r="AT687" t="inlineStr"/>
      <c r="AU687" t="inlineStr"/>
      <c r="AV687" t="inlineStr"/>
      <c r="AW687" t="inlineStr"/>
      <c r="AX687" t="inlineStr"/>
      <c r="AY687" t="inlineStr"/>
      <c r="AZ687" t="inlineStr"/>
      <c r="BA687" t="inlineStr"/>
      <c r="BB687" t="inlineStr"/>
      <c r="BC687" t="inlineStr"/>
      <c r="BD687" t="inlineStr"/>
      <c r="BE687" t="inlineStr"/>
      <c r="BF687" t="inlineStr"/>
      <c r="BG687" t="inlineStr"/>
      <c r="BH687" t="inlineStr"/>
      <c r="BI687" t="inlineStr"/>
      <c r="BJ687" t="inlineStr"/>
      <c r="BK687" t="inlineStr"/>
      <c r="BL687" t="inlineStr"/>
      <c r="BM687" t="inlineStr"/>
      <c r="BN687" t="n">
        <v>0</v>
      </c>
      <c r="BO687" t="inlineStr"/>
      <c r="BP687" t="inlineStr"/>
      <c r="BQ687" t="inlineStr"/>
      <c r="BR687" t="inlineStr"/>
      <c r="BS687" t="inlineStr"/>
      <c r="BT687" t="inlineStr"/>
      <c r="BU687" t="inlineStr"/>
      <c r="BV687" t="inlineStr"/>
      <c r="BW687" t="inlineStr"/>
      <c r="BX687" t="inlineStr"/>
      <c r="BY687" t="inlineStr"/>
      <c r="BZ687" t="inlineStr"/>
      <c r="CA687" t="inlineStr"/>
      <c r="CB687" t="inlineStr"/>
      <c r="CC687" t="inlineStr"/>
      <c r="CD687" t="inlineStr"/>
      <c r="CE687" t="inlineStr"/>
      <c r="CF687" t="inlineStr"/>
      <c r="CG687" t="inlineStr"/>
      <c r="CH687" t="inlineStr"/>
      <c r="CI687" t="inlineStr"/>
      <c r="CJ687" t="inlineStr"/>
      <c r="CK687" t="inlineStr"/>
      <c r="CL687" t="inlineStr"/>
      <c r="CM687" t="inlineStr"/>
      <c r="CN687" t="inlineStr"/>
      <c r="CO687" t="inlineStr"/>
      <c r="CP687" t="inlineStr"/>
      <c r="CQ687" t="inlineStr"/>
      <c r="CR687" t="inlineStr"/>
      <c r="CS687" t="inlineStr"/>
      <c r="CT687" t="inlineStr"/>
      <c r="CU687" t="inlineStr"/>
      <c r="CV687" t="inlineStr"/>
      <c r="CW687" t="inlineStr"/>
      <c r="CX687" t="inlineStr"/>
      <c r="CY687" t="inlineStr"/>
      <c r="CZ687" t="inlineStr"/>
      <c r="DA687" t="inlineStr"/>
      <c r="DB687" t="inlineStr"/>
      <c r="DC687" t="inlineStr"/>
      <c r="DD687" t="inlineStr"/>
      <c r="DE687" t="inlineStr"/>
      <c r="DF687" t="inlineStr"/>
      <c r="DG687" t="inlineStr"/>
    </row>
    <row r="688">
      <c r="A688" t="inlineStr">
        <is>
          <t>III</t>
        </is>
      </c>
      <c r="B688" t="b">
        <v>1</v>
      </c>
      <c r="C688" t="inlineStr"/>
      <c r="D688" t="inlineStr"/>
      <c r="E688" t="n">
        <v>757</v>
      </c>
      <c r="F688">
        <f>HYPERLINK("https://portal.dnb.de/opac.htm?method=simpleSearch&amp;cqlMode=true&amp;query=idn%3D1066937478", "Portal")</f>
        <v/>
      </c>
      <c r="G688" t="inlineStr">
        <is>
          <t>Aaf</t>
        </is>
      </c>
      <c r="H688" t="inlineStr">
        <is>
          <t>L-1510-315465328</t>
        </is>
      </c>
      <c r="I688" t="inlineStr">
        <is>
          <t>1066937478</t>
        </is>
      </c>
      <c r="J688" t="inlineStr">
        <is>
          <t>III 73, 27</t>
        </is>
      </c>
      <c r="K688" t="inlineStr">
        <is>
          <t>III 73, 27</t>
        </is>
      </c>
      <c r="L688" t="inlineStr">
        <is>
          <t>III 73, 27</t>
        </is>
      </c>
      <c r="M688" t="inlineStr"/>
      <c r="N688" t="inlineStr">
        <is>
          <t xml:space="preserve">Figure biblie : </t>
        </is>
      </c>
      <c r="O688" t="inlineStr">
        <is>
          <t xml:space="preserve"> : </t>
        </is>
      </c>
      <c r="P688" t="inlineStr">
        <is>
          <t>X</t>
        </is>
      </c>
      <c r="Q688" t="inlineStr"/>
      <c r="R688" t="inlineStr">
        <is>
          <t>Pergamentband</t>
        </is>
      </c>
      <c r="S688" t="inlineStr">
        <is>
          <t>bis 25 cm</t>
        </is>
      </c>
      <c r="T688" t="inlineStr">
        <is>
          <t>80° bis 110°, einseitig digitalisierbar?</t>
        </is>
      </c>
      <c r="U688" t="inlineStr">
        <is>
          <t>hohler Rücken</t>
        </is>
      </c>
      <c r="V688" t="inlineStr"/>
      <c r="W688" t="inlineStr"/>
      <c r="X688" t="inlineStr"/>
      <c r="Y688" t="n">
        <v>0</v>
      </c>
      <c r="Z688" t="inlineStr"/>
      <c r="AA688" t="inlineStr"/>
      <c r="AB688" t="inlineStr"/>
      <c r="AC688" t="inlineStr"/>
      <c r="AD688" t="inlineStr"/>
      <c r="AE688" t="inlineStr"/>
      <c r="AF688" t="inlineStr"/>
      <c r="AG688" t="inlineStr"/>
      <c r="AH688" t="inlineStr"/>
      <c r="AI688" t="inlineStr"/>
      <c r="AJ688" t="inlineStr"/>
      <c r="AK688" t="inlineStr"/>
      <c r="AL688" t="inlineStr"/>
      <c r="AM688" t="inlineStr"/>
      <c r="AN688" t="inlineStr"/>
      <c r="AO688" t="inlineStr"/>
      <c r="AP688" t="inlineStr"/>
      <c r="AQ688" t="inlineStr"/>
      <c r="AR688" t="inlineStr"/>
      <c r="AS688" t="inlineStr"/>
      <c r="AT688" t="inlineStr"/>
      <c r="AU688" t="inlineStr"/>
      <c r="AV688" t="inlineStr"/>
      <c r="AW688" t="inlineStr"/>
      <c r="AX688" t="inlineStr"/>
      <c r="AY688" t="inlineStr"/>
      <c r="AZ688" t="inlineStr"/>
      <c r="BA688" t="inlineStr"/>
      <c r="BB688" t="inlineStr"/>
      <c r="BC688" t="inlineStr"/>
      <c r="BD688" t="inlineStr"/>
      <c r="BE688" t="inlineStr"/>
      <c r="BF688" t="inlineStr"/>
      <c r="BG688" t="inlineStr"/>
      <c r="BH688" t="inlineStr"/>
      <c r="BI688" t="inlineStr"/>
      <c r="BJ688" t="inlineStr"/>
      <c r="BK688" t="inlineStr"/>
      <c r="BL688" t="inlineStr"/>
      <c r="BM688" t="inlineStr"/>
      <c r="BN688" t="n">
        <v>0</v>
      </c>
      <c r="BO688" t="inlineStr"/>
      <c r="BP688" t="inlineStr"/>
      <c r="BQ688" t="inlineStr"/>
      <c r="BR688" t="inlineStr"/>
      <c r="BS688" t="inlineStr"/>
      <c r="BT688" t="inlineStr"/>
      <c r="BU688" t="inlineStr"/>
      <c r="BV688" t="inlineStr"/>
      <c r="BW688" t="inlineStr"/>
      <c r="BX688" t="inlineStr"/>
      <c r="BY688" t="inlineStr"/>
      <c r="BZ688" t="inlineStr"/>
      <c r="CA688" t="inlineStr"/>
      <c r="CB688" t="inlineStr"/>
      <c r="CC688" t="inlineStr"/>
      <c r="CD688" t="inlineStr"/>
      <c r="CE688" t="inlineStr"/>
      <c r="CF688" t="inlineStr"/>
      <c r="CG688" t="inlineStr"/>
      <c r="CH688" t="inlineStr"/>
      <c r="CI688" t="inlineStr"/>
      <c r="CJ688" t="inlineStr"/>
      <c r="CK688" t="inlineStr"/>
      <c r="CL688" t="inlineStr"/>
      <c r="CM688" t="inlineStr"/>
      <c r="CN688" t="inlineStr"/>
      <c r="CO688" t="inlineStr"/>
      <c r="CP688" t="inlineStr"/>
      <c r="CQ688" t="inlineStr"/>
      <c r="CR688" t="inlineStr"/>
      <c r="CS688" t="inlineStr"/>
      <c r="CT688" t="inlineStr"/>
      <c r="CU688" t="inlineStr"/>
      <c r="CV688" t="inlineStr"/>
      <c r="CW688" t="inlineStr"/>
      <c r="CX688" t="inlineStr"/>
      <c r="CY688" t="inlineStr"/>
      <c r="CZ688" t="inlineStr"/>
      <c r="DA688" t="inlineStr"/>
      <c r="DB688" t="inlineStr"/>
      <c r="DC688" t="inlineStr"/>
      <c r="DD688" t="inlineStr"/>
      <c r="DE688" t="inlineStr"/>
      <c r="DF688" t="inlineStr"/>
      <c r="DG688" t="inlineStr"/>
    </row>
    <row r="689">
      <c r="A689" t="inlineStr">
        <is>
          <t>III</t>
        </is>
      </c>
      <c r="B689" t="b">
        <v>1</v>
      </c>
      <c r="C689" t="inlineStr"/>
      <c r="D689" t="inlineStr"/>
      <c r="E689" t="n">
        <v>758</v>
      </c>
      <c r="F689">
        <f>HYPERLINK("https://portal.dnb.de/opac.htm?method=simpleSearch&amp;cqlMode=true&amp;query=idn%3D1066488940", "Portal")</f>
        <v/>
      </c>
      <c r="G689" t="inlineStr">
        <is>
          <t>Aaf</t>
        </is>
      </c>
      <c r="H689" t="inlineStr">
        <is>
          <t>L-1512-314736255</t>
        </is>
      </c>
      <c r="I689" t="inlineStr">
        <is>
          <t>1066488940</t>
        </is>
      </c>
      <c r="J689" t="inlineStr">
        <is>
          <t>III 73, 28</t>
        </is>
      </c>
      <c r="K689" t="inlineStr">
        <is>
          <t>III 73, 28</t>
        </is>
      </c>
      <c r="L689" t="inlineStr">
        <is>
          <t>III 73, 28</t>
        </is>
      </c>
      <c r="M689" t="inlineStr"/>
      <c r="N689" t="inlineStr">
        <is>
          <t xml:space="preserve">Summa virtutum ac vitiorum Guilhelmi Paraldi Episcopi Lugdunensis de ordine predicatorum : </t>
        </is>
      </c>
      <c r="O689" t="inlineStr">
        <is>
          <t xml:space="preserve"> : </t>
        </is>
      </c>
      <c r="P689" t="inlineStr">
        <is>
          <t>X</t>
        </is>
      </c>
      <c r="Q689" t="inlineStr"/>
      <c r="R689" t="inlineStr">
        <is>
          <t>Ledereinband, Schließen, erhabene Buchbeschläge</t>
        </is>
      </c>
      <c r="S689" t="inlineStr">
        <is>
          <t>bis 25 cm</t>
        </is>
      </c>
      <c r="T689" t="inlineStr">
        <is>
          <t>nur sehr geringer Öffnungswinkel</t>
        </is>
      </c>
      <c r="U689" t="inlineStr">
        <is>
          <t>fester Rücken mit Schmuckprägung, Schrift bis in den Falz</t>
        </is>
      </c>
      <c r="V689" t="inlineStr"/>
      <c r="W689" t="inlineStr">
        <is>
          <t>Kassette</t>
        </is>
      </c>
      <c r="X689" t="inlineStr">
        <is>
          <t>Nein</t>
        </is>
      </c>
      <c r="Y689" t="n">
        <v>0</v>
      </c>
      <c r="Z689" t="inlineStr"/>
      <c r="AA689" t="inlineStr"/>
      <c r="AB689" t="inlineStr"/>
      <c r="AC689" t="inlineStr"/>
      <c r="AD689" t="inlineStr"/>
      <c r="AE689" t="inlineStr"/>
      <c r="AF689" t="inlineStr"/>
      <c r="AG689" t="inlineStr"/>
      <c r="AH689" t="inlineStr"/>
      <c r="AI689" t="inlineStr"/>
      <c r="AJ689" t="inlineStr"/>
      <c r="AK689" t="inlineStr"/>
      <c r="AL689" t="inlineStr"/>
      <c r="AM689" t="inlineStr"/>
      <c r="AN689" t="inlineStr"/>
      <c r="AO689" t="inlineStr"/>
      <c r="AP689" t="inlineStr"/>
      <c r="AQ689" t="inlineStr"/>
      <c r="AR689" t="inlineStr"/>
      <c r="AS689" t="inlineStr"/>
      <c r="AT689" t="inlineStr"/>
      <c r="AU689" t="inlineStr"/>
      <c r="AV689" t="inlineStr"/>
      <c r="AW689" t="inlineStr"/>
      <c r="AX689" t="inlineStr"/>
      <c r="AY689" t="inlineStr"/>
      <c r="AZ689" t="inlineStr"/>
      <c r="BA689" t="inlineStr"/>
      <c r="BB689" t="inlineStr"/>
      <c r="BC689" t="inlineStr"/>
      <c r="BD689" t="inlineStr"/>
      <c r="BE689" t="inlineStr"/>
      <c r="BF689" t="inlineStr"/>
      <c r="BG689" t="inlineStr"/>
      <c r="BH689" t="inlineStr"/>
      <c r="BI689" t="inlineStr"/>
      <c r="BJ689" t="inlineStr"/>
      <c r="BK689" t="inlineStr"/>
      <c r="BL689" t="inlineStr"/>
      <c r="BM689" t="inlineStr"/>
      <c r="BN689" t="n">
        <v>0</v>
      </c>
      <c r="BO689" t="inlineStr"/>
      <c r="BP689" t="inlineStr"/>
      <c r="BQ689" t="inlineStr"/>
      <c r="BR689" t="inlineStr"/>
      <c r="BS689" t="inlineStr"/>
      <c r="BT689" t="inlineStr"/>
      <c r="BU689" t="inlineStr"/>
      <c r="BV689" t="inlineStr"/>
      <c r="BW689" t="inlineStr"/>
      <c r="BX689" t="inlineStr"/>
      <c r="BY689" t="inlineStr"/>
      <c r="BZ689" t="inlineStr"/>
      <c r="CA689" t="inlineStr"/>
      <c r="CB689" t="inlineStr"/>
      <c r="CC689" t="inlineStr"/>
      <c r="CD689" t="inlineStr"/>
      <c r="CE689" t="inlineStr"/>
      <c r="CF689" t="inlineStr"/>
      <c r="CG689" t="inlineStr"/>
      <c r="CH689" t="inlineStr"/>
      <c r="CI689" t="inlineStr"/>
      <c r="CJ689" t="inlineStr"/>
      <c r="CK689" t="inlineStr"/>
      <c r="CL689" t="inlineStr"/>
      <c r="CM689" t="inlineStr"/>
      <c r="CN689" t="inlineStr"/>
      <c r="CO689" t="inlineStr"/>
      <c r="CP689" t="inlineStr"/>
      <c r="CQ689" t="inlineStr"/>
      <c r="CR689" t="inlineStr"/>
      <c r="CS689" t="inlineStr"/>
      <c r="CT689" t="inlineStr"/>
      <c r="CU689" t="inlineStr"/>
      <c r="CV689" t="inlineStr"/>
      <c r="CW689" t="inlineStr"/>
      <c r="CX689" t="inlineStr"/>
      <c r="CY689" t="inlineStr"/>
      <c r="CZ689" t="inlineStr"/>
      <c r="DA689" t="inlineStr"/>
      <c r="DB689" t="inlineStr"/>
      <c r="DC689" t="inlineStr"/>
      <c r="DD689" t="inlineStr"/>
      <c r="DE689" t="inlineStr"/>
      <c r="DF689" t="inlineStr"/>
      <c r="DG689" t="inlineStr"/>
    </row>
    <row r="690">
      <c r="A690" t="inlineStr">
        <is>
          <t>III</t>
        </is>
      </c>
      <c r="B690" t="b">
        <v>1</v>
      </c>
      <c r="C690" t="inlineStr"/>
      <c r="D690" t="inlineStr"/>
      <c r="E690" t="n">
        <v>759</v>
      </c>
      <c r="F690">
        <f>HYPERLINK("https://portal.dnb.de/opac.htm?method=simpleSearch&amp;cqlMode=true&amp;query=idn%3D106693505X", "Portal")</f>
        <v/>
      </c>
      <c r="G690" t="inlineStr">
        <is>
          <t>Aaf</t>
        </is>
      </c>
      <c r="H690" t="inlineStr">
        <is>
          <t>L-1514-31546304X</t>
        </is>
      </c>
      <c r="I690" t="inlineStr">
        <is>
          <t>106693505X</t>
        </is>
      </c>
      <c r="J690" t="inlineStr">
        <is>
          <t>III 73, 29</t>
        </is>
      </c>
      <c r="K690" t="inlineStr">
        <is>
          <t>III 73, 29</t>
        </is>
      </c>
      <c r="L690" t="inlineStr">
        <is>
          <t>III 73, 29</t>
        </is>
      </c>
      <c r="M690" t="inlineStr"/>
      <c r="N690" t="inlineStr">
        <is>
          <t>Clarissimi artiu et sacre theologie doctoris magri Thome devio Caietani toti ordis pdicatoru gnalis magri : Jn pma sactissimi doctoris Thome Aqnatis s</t>
        </is>
      </c>
      <c r="O690" t="inlineStr">
        <is>
          <t xml:space="preserve"> : </t>
        </is>
      </c>
      <c r="P690" t="inlineStr">
        <is>
          <t>X</t>
        </is>
      </c>
      <c r="Q690" t="inlineStr"/>
      <c r="R690" t="inlineStr">
        <is>
          <t>Ledereinband</t>
        </is>
      </c>
      <c r="S690" t="inlineStr">
        <is>
          <t>bis 25 cm</t>
        </is>
      </c>
      <c r="T690" t="inlineStr">
        <is>
          <t>nur sehr geringer Öffnungswinkel</t>
        </is>
      </c>
      <c r="U690" t="inlineStr">
        <is>
          <t>hohler Rücken, Schrift bis in den Falz</t>
        </is>
      </c>
      <c r="V690" t="inlineStr"/>
      <c r="W690" t="inlineStr"/>
      <c r="X690" t="inlineStr">
        <is>
          <t>Signaturfahne austauschen</t>
        </is>
      </c>
      <c r="Y690" t="n">
        <v>0</v>
      </c>
      <c r="Z690" t="inlineStr"/>
      <c r="AA690" t="inlineStr"/>
      <c r="AB690" t="inlineStr"/>
      <c r="AC690" t="inlineStr"/>
      <c r="AD690" t="inlineStr"/>
      <c r="AE690" t="inlineStr"/>
      <c r="AF690" t="inlineStr"/>
      <c r="AG690" t="inlineStr"/>
      <c r="AH690" t="inlineStr"/>
      <c r="AI690" t="inlineStr"/>
      <c r="AJ690" t="inlineStr"/>
      <c r="AK690" t="inlineStr"/>
      <c r="AL690" t="inlineStr"/>
      <c r="AM690" t="inlineStr"/>
      <c r="AN690" t="inlineStr"/>
      <c r="AO690" t="inlineStr"/>
      <c r="AP690" t="inlineStr"/>
      <c r="AQ690" t="inlineStr"/>
      <c r="AR690" t="inlineStr"/>
      <c r="AS690" t="inlineStr"/>
      <c r="AT690" t="inlineStr"/>
      <c r="AU690" t="inlineStr"/>
      <c r="AV690" t="inlineStr"/>
      <c r="AW690" t="inlineStr"/>
      <c r="AX690" t="inlineStr"/>
      <c r="AY690" t="inlineStr"/>
      <c r="AZ690" t="inlineStr"/>
      <c r="BA690" t="inlineStr"/>
      <c r="BB690" t="inlineStr"/>
      <c r="BC690" t="inlineStr"/>
      <c r="BD690" t="inlineStr"/>
      <c r="BE690" t="inlineStr"/>
      <c r="BF690" t="inlineStr"/>
      <c r="BG690" t="inlineStr"/>
      <c r="BH690" t="inlineStr"/>
      <c r="BI690" t="inlineStr"/>
      <c r="BJ690" t="inlineStr"/>
      <c r="BK690" t="inlineStr"/>
      <c r="BL690" t="inlineStr"/>
      <c r="BM690" t="inlineStr"/>
      <c r="BN690" t="n">
        <v>0</v>
      </c>
      <c r="BO690" t="inlineStr"/>
      <c r="BP690" t="inlineStr"/>
      <c r="BQ690" t="inlineStr"/>
      <c r="BR690" t="inlineStr"/>
      <c r="BS690" t="inlineStr"/>
      <c r="BT690" t="inlineStr"/>
      <c r="BU690" t="inlineStr"/>
      <c r="BV690" t="inlineStr"/>
      <c r="BW690" t="inlineStr"/>
      <c r="BX690" t="inlineStr"/>
      <c r="BY690" t="inlineStr"/>
      <c r="BZ690" t="inlineStr"/>
      <c r="CA690" t="inlineStr"/>
      <c r="CB690" t="inlineStr"/>
      <c r="CC690" t="inlineStr"/>
      <c r="CD690" t="inlineStr"/>
      <c r="CE690" t="inlineStr"/>
      <c r="CF690" t="inlineStr"/>
      <c r="CG690" t="inlineStr"/>
      <c r="CH690" t="inlineStr"/>
      <c r="CI690" t="inlineStr"/>
      <c r="CJ690" t="inlineStr"/>
      <c r="CK690" t="inlineStr"/>
      <c r="CL690" t="inlineStr"/>
      <c r="CM690" t="inlineStr"/>
      <c r="CN690" t="inlineStr"/>
      <c r="CO690" t="inlineStr"/>
      <c r="CP690" t="inlineStr"/>
      <c r="CQ690" t="inlineStr"/>
      <c r="CR690" t="inlineStr"/>
      <c r="CS690" t="inlineStr"/>
      <c r="CT690" t="inlineStr"/>
      <c r="CU690" t="inlineStr"/>
      <c r="CV690" t="inlineStr"/>
      <c r="CW690" t="inlineStr"/>
      <c r="CX690" t="inlineStr"/>
      <c r="CY690" t="inlineStr"/>
      <c r="CZ690" t="inlineStr"/>
      <c r="DA690" t="inlineStr"/>
      <c r="DB690" t="inlineStr"/>
      <c r="DC690" t="inlineStr"/>
      <c r="DD690" t="inlineStr"/>
      <c r="DE690" t="inlineStr"/>
      <c r="DF690" t="inlineStr"/>
      <c r="DG690" t="inlineStr"/>
    </row>
    <row r="691">
      <c r="A691" t="inlineStr">
        <is>
          <t>III</t>
        </is>
      </c>
      <c r="B691" t="b">
        <v>1</v>
      </c>
      <c r="C691" t="inlineStr"/>
      <c r="D691" t="inlineStr"/>
      <c r="E691" t="n">
        <v>760</v>
      </c>
      <c r="F691">
        <f>HYPERLINK("https://portal.dnb.de/opac.htm?method=simpleSearch&amp;cqlMode=true&amp;query=idn%3D1066941742", "Portal")</f>
        <v/>
      </c>
      <c r="G691" t="inlineStr">
        <is>
          <t>Aaf</t>
        </is>
      </c>
      <c r="H691" t="inlineStr">
        <is>
          <t>L-1523-315469390</t>
        </is>
      </c>
      <c r="I691" t="inlineStr">
        <is>
          <t>1066941742</t>
        </is>
      </c>
      <c r="J691" t="inlineStr">
        <is>
          <t>III 73, 30</t>
        </is>
      </c>
      <c r="K691" t="inlineStr">
        <is>
          <t>III 73, 30</t>
        </is>
      </c>
      <c r="L691" t="inlineStr">
        <is>
          <t>III 73, 30</t>
        </is>
      </c>
      <c r="M691" t="inlineStr"/>
      <c r="N691" t="inlineStr">
        <is>
          <t xml:space="preserve">Assertionis Lutherane cōfutatio : </t>
        </is>
      </c>
      <c r="O691" t="inlineStr">
        <is>
          <t xml:space="preserve"> : </t>
        </is>
      </c>
      <c r="P691" t="inlineStr">
        <is>
          <t>X</t>
        </is>
      </c>
      <c r="Q691" t="inlineStr"/>
      <c r="R691" t="inlineStr">
        <is>
          <t>Ledereinband, Schließen, erhabene Buchbeschläge</t>
        </is>
      </c>
      <c r="S691" t="inlineStr">
        <is>
          <t>bis 35 cm</t>
        </is>
      </c>
      <c r="T691" t="inlineStr">
        <is>
          <t>80° bis 110°, einseitig digitalisierbar?</t>
        </is>
      </c>
      <c r="U691" t="inlineStr">
        <is>
          <t>fester Rücken mit Schmuckprägung</t>
        </is>
      </c>
      <c r="V691" t="inlineStr"/>
      <c r="W691" t="inlineStr">
        <is>
          <t>Buchschuh</t>
        </is>
      </c>
      <c r="X691" t="inlineStr">
        <is>
          <t>Nein</t>
        </is>
      </c>
      <c r="Y691" t="n">
        <v>2</v>
      </c>
      <c r="Z691" t="inlineStr">
        <is>
          <t>lose Seiten befestigen</t>
        </is>
      </c>
      <c r="AA691" t="inlineStr"/>
      <c r="AB691" t="inlineStr"/>
      <c r="AC691" t="inlineStr"/>
      <c r="AD691" t="inlineStr"/>
      <c r="AE691" t="inlineStr"/>
      <c r="AF691" t="inlineStr"/>
      <c r="AG691" t="inlineStr"/>
      <c r="AH691" t="inlineStr"/>
      <c r="AI691" t="inlineStr"/>
      <c r="AJ691" t="inlineStr"/>
      <c r="AK691" t="inlineStr"/>
      <c r="AL691" t="inlineStr"/>
      <c r="AM691" t="inlineStr"/>
      <c r="AN691" t="inlineStr"/>
      <c r="AO691" t="inlineStr"/>
      <c r="AP691" t="inlineStr"/>
      <c r="AQ691" t="inlineStr"/>
      <c r="AR691" t="inlineStr"/>
      <c r="AS691" t="inlineStr"/>
      <c r="AT691" t="inlineStr"/>
      <c r="AU691" t="inlineStr"/>
      <c r="AV691" t="inlineStr"/>
      <c r="AW691" t="inlineStr"/>
      <c r="AX691" t="inlineStr"/>
      <c r="AY691" t="inlineStr"/>
      <c r="AZ691" t="inlineStr"/>
      <c r="BA691" t="inlineStr"/>
      <c r="BB691" t="inlineStr"/>
      <c r="BC691" t="inlineStr"/>
      <c r="BD691" t="inlineStr"/>
      <c r="BE691" t="inlineStr"/>
      <c r="BF691" t="inlineStr"/>
      <c r="BG691" t="inlineStr"/>
      <c r="BH691" t="inlineStr"/>
      <c r="BI691" t="inlineStr"/>
      <c r="BJ691" t="inlineStr"/>
      <c r="BK691" t="inlineStr"/>
      <c r="BL691" t="inlineStr"/>
      <c r="BM691" t="inlineStr"/>
      <c r="BN691" t="n">
        <v>0</v>
      </c>
      <c r="BO691" t="inlineStr"/>
      <c r="BP691" t="inlineStr"/>
      <c r="BQ691" t="inlineStr"/>
      <c r="BR691" t="inlineStr"/>
      <c r="BS691" t="inlineStr"/>
      <c r="BT691" t="inlineStr"/>
      <c r="BU691" t="inlineStr"/>
      <c r="BV691" t="inlineStr"/>
      <c r="BW691" t="inlineStr"/>
      <c r="BX691" t="inlineStr"/>
      <c r="BY691" t="inlineStr"/>
      <c r="BZ691" t="inlineStr"/>
      <c r="CA691" t="inlineStr"/>
      <c r="CB691" t="inlineStr"/>
      <c r="CC691" t="inlineStr"/>
      <c r="CD691" t="inlineStr"/>
      <c r="CE691" t="inlineStr"/>
      <c r="CF691" t="inlineStr"/>
      <c r="CG691" t="inlineStr"/>
      <c r="CH691" t="inlineStr"/>
      <c r="CI691" t="inlineStr"/>
      <c r="CJ691" t="inlineStr"/>
      <c r="CK691" t="inlineStr"/>
      <c r="CL691" t="inlineStr"/>
      <c r="CM691" t="inlineStr"/>
      <c r="CN691" t="inlineStr"/>
      <c r="CO691" t="inlineStr"/>
      <c r="CP691" t="inlineStr"/>
      <c r="CQ691" t="inlineStr"/>
      <c r="CR691" t="inlineStr"/>
      <c r="CS691" t="inlineStr"/>
      <c r="CT691" t="inlineStr"/>
      <c r="CU691" t="inlineStr"/>
      <c r="CV691" t="inlineStr"/>
      <c r="CW691" t="inlineStr"/>
      <c r="CX691" t="inlineStr"/>
      <c r="CY691" t="inlineStr"/>
      <c r="CZ691" t="inlineStr"/>
      <c r="DA691" t="inlineStr"/>
      <c r="DB691" t="inlineStr"/>
      <c r="DC691" t="inlineStr"/>
      <c r="DD691" t="inlineStr"/>
      <c r="DE691" t="inlineStr"/>
      <c r="DF691" t="inlineStr"/>
      <c r="DG691" t="inlineStr"/>
    </row>
    <row r="692">
      <c r="A692" t="inlineStr">
        <is>
          <t>III</t>
        </is>
      </c>
      <c r="B692" t="b">
        <v>1</v>
      </c>
      <c r="C692" t="inlineStr"/>
      <c r="D692" t="inlineStr"/>
      <c r="E692" t="n">
        <v>761</v>
      </c>
      <c r="F692">
        <f>HYPERLINK("https://portal.dnb.de/opac.htm?method=simpleSearch&amp;cqlMode=true&amp;query=idn%3D1066870756", "Portal")</f>
        <v/>
      </c>
      <c r="G692" t="inlineStr">
        <is>
          <t>Aaf</t>
        </is>
      </c>
      <c r="H692" t="inlineStr">
        <is>
          <t>L-1514-315328649</t>
        </is>
      </c>
      <c r="I692" t="inlineStr">
        <is>
          <t>1066870756</t>
        </is>
      </c>
      <c r="J692" t="inlineStr">
        <is>
          <t>III 73, 31</t>
        </is>
      </c>
      <c r="K692" t="inlineStr">
        <is>
          <t>III 73, 31</t>
        </is>
      </c>
      <c r="L692" t="inlineStr">
        <is>
          <t>III 73, 31</t>
        </is>
      </c>
      <c r="M692" t="inlineStr"/>
      <c r="N692" t="inlineStr">
        <is>
          <t xml:space="preserve">Speculum finalis retributionis nouiter impressum : </t>
        </is>
      </c>
      <c r="O692" t="inlineStr">
        <is>
          <t xml:space="preserve"> : </t>
        </is>
      </c>
      <c r="P692" t="inlineStr">
        <is>
          <t>X</t>
        </is>
      </c>
      <c r="Q692" t="inlineStr"/>
      <c r="R692" t="inlineStr">
        <is>
          <t>Gewebeeinband</t>
        </is>
      </c>
      <c r="S692" t="inlineStr">
        <is>
          <t>bis 25 cm</t>
        </is>
      </c>
      <c r="T692" t="inlineStr">
        <is>
          <t>80° bis 110°, einseitig digitalisierbar?</t>
        </is>
      </c>
      <c r="U692" t="inlineStr">
        <is>
          <t>hohler Rücken</t>
        </is>
      </c>
      <c r="V692" t="inlineStr"/>
      <c r="W692" t="inlineStr"/>
      <c r="X692" t="inlineStr">
        <is>
          <t>Signaturfahne austauschen</t>
        </is>
      </c>
      <c r="Y692" t="n">
        <v>0</v>
      </c>
      <c r="Z692" t="inlineStr"/>
      <c r="AA692" t="inlineStr"/>
      <c r="AB692" t="inlineStr"/>
      <c r="AC692" t="inlineStr"/>
      <c r="AD692" t="inlineStr"/>
      <c r="AE692" t="inlineStr"/>
      <c r="AF692" t="inlineStr"/>
      <c r="AG692" t="inlineStr"/>
      <c r="AH692" t="inlineStr"/>
      <c r="AI692" t="inlineStr"/>
      <c r="AJ692" t="inlineStr"/>
      <c r="AK692" t="inlineStr"/>
      <c r="AL692" t="inlineStr"/>
      <c r="AM692" t="inlineStr"/>
      <c r="AN692" t="inlineStr"/>
      <c r="AO692" t="inlineStr"/>
      <c r="AP692" t="inlineStr"/>
      <c r="AQ692" t="inlineStr"/>
      <c r="AR692" t="inlineStr"/>
      <c r="AS692" t="inlineStr"/>
      <c r="AT692" t="inlineStr"/>
      <c r="AU692" t="inlineStr"/>
      <c r="AV692" t="inlineStr"/>
      <c r="AW692" t="inlineStr"/>
      <c r="AX692" t="inlineStr"/>
      <c r="AY692" t="inlineStr"/>
      <c r="AZ692" t="inlineStr"/>
      <c r="BA692" t="inlineStr"/>
      <c r="BB692" t="inlineStr"/>
      <c r="BC692" t="inlineStr"/>
      <c r="BD692" t="inlineStr"/>
      <c r="BE692" t="inlineStr"/>
      <c r="BF692" t="inlineStr"/>
      <c r="BG692" t="inlineStr"/>
      <c r="BH692" t="inlineStr"/>
      <c r="BI692" t="inlineStr"/>
      <c r="BJ692" t="inlineStr"/>
      <c r="BK692" t="inlineStr"/>
      <c r="BL692" t="inlineStr"/>
      <c r="BM692" t="inlineStr"/>
      <c r="BN692" t="n">
        <v>0</v>
      </c>
      <c r="BO692" t="inlineStr"/>
      <c r="BP692" t="inlineStr"/>
      <c r="BQ692" t="inlineStr"/>
      <c r="BR692" t="inlineStr"/>
      <c r="BS692" t="inlineStr"/>
      <c r="BT692" t="inlineStr"/>
      <c r="BU692" t="inlineStr"/>
      <c r="BV692" t="inlineStr"/>
      <c r="BW692" t="inlineStr"/>
      <c r="BX692" t="inlineStr"/>
      <c r="BY692" t="inlineStr"/>
      <c r="BZ692" t="inlineStr"/>
      <c r="CA692" t="inlineStr"/>
      <c r="CB692" t="inlineStr"/>
      <c r="CC692" t="inlineStr"/>
      <c r="CD692" t="inlineStr"/>
      <c r="CE692" t="inlineStr"/>
      <c r="CF692" t="inlineStr"/>
      <c r="CG692" t="inlineStr"/>
      <c r="CH692" t="inlineStr"/>
      <c r="CI692" t="inlineStr"/>
      <c r="CJ692" t="inlineStr"/>
      <c r="CK692" t="inlineStr"/>
      <c r="CL692" t="inlineStr"/>
      <c r="CM692" t="inlineStr"/>
      <c r="CN692" t="inlineStr"/>
      <c r="CO692" t="inlineStr"/>
      <c r="CP692" t="inlineStr"/>
      <c r="CQ692" t="inlineStr"/>
      <c r="CR692" t="inlineStr"/>
      <c r="CS692" t="inlineStr"/>
      <c r="CT692" t="inlineStr"/>
      <c r="CU692" t="inlineStr"/>
      <c r="CV692" t="inlineStr"/>
      <c r="CW692" t="inlineStr"/>
      <c r="CX692" t="inlineStr"/>
      <c r="CY692" t="inlineStr"/>
      <c r="CZ692" t="inlineStr"/>
      <c r="DA692" t="inlineStr"/>
      <c r="DB692" t="inlineStr"/>
      <c r="DC692" t="inlineStr"/>
      <c r="DD692" t="inlineStr"/>
      <c r="DE692" t="inlineStr"/>
      <c r="DF692" t="inlineStr"/>
      <c r="DG692" t="inlineStr"/>
    </row>
    <row r="693">
      <c r="A693" t="inlineStr">
        <is>
          <t>III</t>
        </is>
      </c>
      <c r="B693" t="b">
        <v>1</v>
      </c>
      <c r="C693" t="inlineStr"/>
      <c r="D693" t="inlineStr"/>
      <c r="E693" t="n">
        <v>806</v>
      </c>
      <c r="F693">
        <f>HYPERLINK("https://portal.dnb.de/opac.htm?method=simpleSearch&amp;cqlMode=true&amp;query=idn%3D1066943184", "Portal")</f>
        <v/>
      </c>
      <c r="G693" t="inlineStr">
        <is>
          <t>Aaf</t>
        </is>
      </c>
      <c r="H693" t="inlineStr">
        <is>
          <t>L-1514-315470828</t>
        </is>
      </c>
      <c r="I693" t="inlineStr">
        <is>
          <t>1066943184</t>
        </is>
      </c>
      <c r="J693" t="inlineStr">
        <is>
          <t>III 73, 31/a</t>
        </is>
      </c>
      <c r="K693" t="inlineStr">
        <is>
          <t>III 73, 31/a</t>
        </is>
      </c>
      <c r="L693" t="inlineStr">
        <is>
          <t>III 73, 31/a</t>
        </is>
      </c>
      <c r="M693" t="inlineStr"/>
      <c r="N693" t="inlineStr">
        <is>
          <t>Compendium aureum ac in practicam orbe toto deducibile de vnione beneficiorum acutissimi doctoris domini Petri de perusio iuris canonici illuminatoris</t>
        </is>
      </c>
      <c r="O693" t="inlineStr">
        <is>
          <t xml:space="preserve"> : </t>
        </is>
      </c>
      <c r="P693" t="inlineStr">
        <is>
          <t>X</t>
        </is>
      </c>
      <c r="Q693" t="inlineStr"/>
      <c r="R693" t="inlineStr">
        <is>
          <t>Papier- oder Pappeinband</t>
        </is>
      </c>
      <c r="S693" t="inlineStr">
        <is>
          <t>bis 25 cm</t>
        </is>
      </c>
      <c r="T693" t="inlineStr">
        <is>
          <t>180°</t>
        </is>
      </c>
      <c r="U693" t="inlineStr">
        <is>
          <t>hohler Rücken</t>
        </is>
      </c>
      <c r="V693" t="inlineStr"/>
      <c r="W693" t="inlineStr"/>
      <c r="X693" t="inlineStr">
        <is>
          <t>Signaturfahne austauschen</t>
        </is>
      </c>
      <c r="Y693" t="n">
        <v>0</v>
      </c>
      <c r="Z693" t="inlineStr"/>
      <c r="AA693" t="inlineStr"/>
      <c r="AB693" t="inlineStr"/>
      <c r="AC693" t="inlineStr"/>
      <c r="AD693" t="inlineStr"/>
      <c r="AE693" t="inlineStr"/>
      <c r="AF693" t="inlineStr"/>
      <c r="AG693" t="inlineStr"/>
      <c r="AH693" t="inlineStr"/>
      <c r="AI693" t="inlineStr">
        <is>
          <t>Pa</t>
        </is>
      </c>
      <c r="AJ693" t="inlineStr"/>
      <c r="AK693" t="inlineStr"/>
      <c r="AL693" t="inlineStr"/>
      <c r="AM693" t="inlineStr">
        <is>
          <t>h/E</t>
        </is>
      </c>
      <c r="AN693" t="inlineStr"/>
      <c r="AO693" t="inlineStr"/>
      <c r="AP693" t="inlineStr"/>
      <c r="AQ693" t="inlineStr"/>
      <c r="AR693" t="inlineStr"/>
      <c r="AS693" t="inlineStr">
        <is>
          <t>Pa</t>
        </is>
      </c>
      <c r="AT693" t="inlineStr"/>
      <c r="AU693" t="inlineStr"/>
      <c r="AV693" t="inlineStr"/>
      <c r="AW693" t="inlineStr"/>
      <c r="AX693" t="inlineStr"/>
      <c r="AY693" t="inlineStr"/>
      <c r="AZ693" t="inlineStr"/>
      <c r="BA693" t="inlineStr"/>
      <c r="BB693" t="inlineStr"/>
      <c r="BC693" t="inlineStr"/>
      <c r="BD693" t="inlineStr"/>
      <c r="BE693" t="inlineStr"/>
      <c r="BF693" t="inlineStr"/>
      <c r="BG693" t="n">
        <v>110</v>
      </c>
      <c r="BH693" t="inlineStr"/>
      <c r="BI693" t="inlineStr"/>
      <c r="BJ693" t="inlineStr"/>
      <c r="BK693" t="inlineStr"/>
      <c r="BL693" t="inlineStr"/>
      <c r="BM693" t="inlineStr">
        <is>
          <t>n</t>
        </is>
      </c>
      <c r="BN693" t="n">
        <v>0</v>
      </c>
      <c r="BO693" t="inlineStr"/>
      <c r="BP693" t="inlineStr"/>
      <c r="BQ693" t="inlineStr"/>
      <c r="BR693" t="inlineStr"/>
      <c r="BS693" t="inlineStr"/>
      <c r="BT693" t="inlineStr"/>
      <c r="BU693" t="inlineStr"/>
      <c r="BV693" t="inlineStr">
        <is>
          <t>Schaden stabil</t>
        </is>
      </c>
      <c r="BW693" t="inlineStr"/>
      <c r="BX693" t="inlineStr"/>
      <c r="BY693" t="inlineStr"/>
      <c r="BZ693" t="inlineStr"/>
      <c r="CA693" t="inlineStr"/>
      <c r="CB693" t="inlineStr"/>
      <c r="CC693" t="inlineStr"/>
      <c r="CD693" t="inlineStr"/>
      <c r="CE693" t="inlineStr"/>
      <c r="CF693" t="inlineStr"/>
      <c r="CG693" t="inlineStr"/>
      <c r="CH693" t="inlineStr"/>
      <c r="CI693" t="inlineStr"/>
      <c r="CJ693" t="inlineStr"/>
      <c r="CK693" t="inlineStr"/>
      <c r="CL693" t="inlineStr"/>
      <c r="CM693" t="inlineStr"/>
      <c r="CN693" t="inlineStr"/>
      <c r="CO693" t="inlineStr"/>
      <c r="CP693" t="inlineStr"/>
      <c r="CQ693" t="inlineStr"/>
      <c r="CR693" t="inlineStr"/>
      <c r="CS693" t="inlineStr"/>
      <c r="CT693" t="inlineStr"/>
      <c r="CU693" t="inlineStr"/>
      <c r="CV693" t="inlineStr"/>
      <c r="CW693" t="inlineStr"/>
      <c r="CX693" t="inlineStr"/>
      <c r="CY693" t="inlineStr"/>
      <c r="CZ693" t="inlineStr"/>
      <c r="DA693" t="inlineStr"/>
      <c r="DB693" t="inlineStr"/>
      <c r="DC693" t="inlineStr"/>
      <c r="DD693" t="inlineStr"/>
      <c r="DE693" t="inlineStr"/>
      <c r="DF693" t="inlineStr"/>
      <c r="DG693" t="inlineStr"/>
    </row>
    <row r="694">
      <c r="A694" t="inlineStr">
        <is>
          <t>III</t>
        </is>
      </c>
      <c r="B694" t="b">
        <v>1</v>
      </c>
      <c r="C694" t="inlineStr"/>
      <c r="D694" t="inlineStr"/>
      <c r="E694" t="n">
        <v>762</v>
      </c>
      <c r="F694">
        <f>HYPERLINK("https://portal.dnb.de/opac.htm?method=simpleSearch&amp;cqlMode=true&amp;query=idn%3D1066674361", "Portal")</f>
        <v/>
      </c>
      <c r="G694" t="inlineStr">
        <is>
          <t>Aaf</t>
        </is>
      </c>
      <c r="H694" t="inlineStr">
        <is>
          <t>L-1514-31506286X</t>
        </is>
      </c>
      <c r="I694" t="inlineStr">
        <is>
          <t>1066674361</t>
        </is>
      </c>
      <c r="J694" t="inlineStr">
        <is>
          <t>III 73, 32</t>
        </is>
      </c>
      <c r="K694" t="inlineStr">
        <is>
          <t>III 73, 32</t>
        </is>
      </c>
      <c r="L694" t="inlineStr">
        <is>
          <t>III 73, 32</t>
        </is>
      </c>
      <c r="M694" t="inlineStr"/>
      <c r="N694" t="inlineStr">
        <is>
          <t>Artificalis introductio permodum Epitomatis : in decem libros Ethicorum Aristotelis adiectis elucidata commentariis</t>
        </is>
      </c>
      <c r="O694" t="inlineStr">
        <is>
          <t xml:space="preserve"> : </t>
        </is>
      </c>
      <c r="P694" t="inlineStr"/>
      <c r="Q694" t="inlineStr"/>
      <c r="R694" t="inlineStr">
        <is>
          <t>Pergamentband</t>
        </is>
      </c>
      <c r="S694" t="inlineStr">
        <is>
          <t>bis 35 cm</t>
        </is>
      </c>
      <c r="T694" t="inlineStr">
        <is>
          <t>180°</t>
        </is>
      </c>
      <c r="U694" t="inlineStr">
        <is>
          <t>hohler Rücken</t>
        </is>
      </c>
      <c r="V694" t="inlineStr"/>
      <c r="W694" t="inlineStr">
        <is>
          <t>Kassette</t>
        </is>
      </c>
      <c r="X694" t="inlineStr">
        <is>
          <t>Nein</t>
        </is>
      </c>
      <c r="Y694" t="n">
        <v>0</v>
      </c>
      <c r="Z694" t="inlineStr"/>
      <c r="AA694" t="inlineStr"/>
      <c r="AB694" t="inlineStr"/>
      <c r="AC694" t="inlineStr"/>
      <c r="AD694" t="inlineStr"/>
      <c r="AE694" t="inlineStr"/>
      <c r="AF694" t="inlineStr"/>
      <c r="AG694" t="inlineStr"/>
      <c r="AH694" t="inlineStr"/>
      <c r="AI694" t="inlineStr"/>
      <c r="AJ694" t="inlineStr"/>
      <c r="AK694" t="inlineStr"/>
      <c r="AL694" t="inlineStr"/>
      <c r="AM694" t="inlineStr"/>
      <c r="AN694" t="inlineStr"/>
      <c r="AO694" t="inlineStr"/>
      <c r="AP694" t="inlineStr"/>
      <c r="AQ694" t="inlineStr"/>
      <c r="AR694" t="inlineStr"/>
      <c r="AS694" t="inlineStr"/>
      <c r="AT694" t="inlineStr"/>
      <c r="AU694" t="inlineStr"/>
      <c r="AV694" t="inlineStr"/>
      <c r="AW694" t="inlineStr"/>
      <c r="AX694" t="inlineStr"/>
      <c r="AY694" t="inlineStr"/>
      <c r="AZ694" t="inlineStr"/>
      <c r="BA694" t="inlineStr"/>
      <c r="BB694" t="inlineStr"/>
      <c r="BC694" t="inlineStr"/>
      <c r="BD694" t="inlineStr"/>
      <c r="BE694" t="inlineStr"/>
      <c r="BF694" t="inlineStr"/>
      <c r="BG694" t="inlineStr"/>
      <c r="BH694" t="inlineStr"/>
      <c r="BI694" t="inlineStr"/>
      <c r="BJ694" t="inlineStr"/>
      <c r="BK694" t="inlineStr"/>
      <c r="BL694" t="inlineStr"/>
      <c r="BM694" t="inlineStr"/>
      <c r="BN694" t="n">
        <v>0</v>
      </c>
      <c r="BO694" t="inlineStr"/>
      <c r="BP694" t="inlineStr"/>
      <c r="BQ694" t="inlineStr"/>
      <c r="BR694" t="inlineStr"/>
      <c r="BS694" t="inlineStr"/>
      <c r="BT694" t="inlineStr"/>
      <c r="BU694" t="inlineStr"/>
      <c r="BV694" t="inlineStr"/>
      <c r="BW694" t="inlineStr"/>
      <c r="BX694" t="inlineStr"/>
      <c r="BY694" t="inlineStr"/>
      <c r="BZ694" t="inlineStr"/>
      <c r="CA694" t="inlineStr"/>
      <c r="CB694" t="inlineStr"/>
      <c r="CC694" t="inlineStr"/>
      <c r="CD694" t="inlineStr"/>
      <c r="CE694" t="inlineStr"/>
      <c r="CF694" t="inlineStr"/>
      <c r="CG694" t="inlineStr"/>
      <c r="CH694" t="inlineStr"/>
      <c r="CI694" t="inlineStr"/>
      <c r="CJ694" t="inlineStr"/>
      <c r="CK694" t="inlineStr"/>
      <c r="CL694" t="inlineStr"/>
      <c r="CM694" t="inlineStr"/>
      <c r="CN694" t="inlineStr"/>
      <c r="CO694" t="inlineStr"/>
      <c r="CP694" t="inlineStr"/>
      <c r="CQ694" t="inlineStr"/>
      <c r="CR694" t="inlineStr"/>
      <c r="CS694" t="inlineStr"/>
      <c r="CT694" t="inlineStr"/>
      <c r="CU694" t="inlineStr"/>
      <c r="CV694" t="inlineStr"/>
      <c r="CW694" t="inlineStr"/>
      <c r="CX694" t="inlineStr"/>
      <c r="CY694" t="inlineStr"/>
      <c r="CZ694" t="inlineStr"/>
      <c r="DA694" t="inlineStr"/>
      <c r="DB694" t="inlineStr"/>
      <c r="DC694" t="inlineStr"/>
      <c r="DD694" t="inlineStr"/>
      <c r="DE694" t="inlineStr"/>
      <c r="DF694" t="inlineStr"/>
      <c r="DG694" t="inlineStr"/>
    </row>
    <row r="695">
      <c r="A695" t="inlineStr">
        <is>
          <t>III</t>
        </is>
      </c>
      <c r="B695" t="b">
        <v>1</v>
      </c>
      <c r="C695" t="inlineStr"/>
      <c r="D695" t="inlineStr"/>
      <c r="E695" t="inlineStr"/>
      <c r="F695">
        <f>HYPERLINK("https://portal.dnb.de/opac.htm?method=simpleSearch&amp;cqlMode=true&amp;query=idn%3D1253118221", "Portal")</f>
        <v/>
      </c>
      <c r="G695" t="inlineStr">
        <is>
          <t>Qd</t>
        </is>
      </c>
      <c r="H695" t="inlineStr">
        <is>
          <t>L-1509-765660482</t>
        </is>
      </c>
      <c r="I695" t="inlineStr">
        <is>
          <t>1253118221</t>
        </is>
      </c>
      <c r="J695" t="inlineStr">
        <is>
          <t>III 73, 32a</t>
        </is>
      </c>
      <c r="K695" t="inlineStr">
        <is>
          <t>III 73, 32a</t>
        </is>
      </c>
      <c r="L695" t="inlineStr">
        <is>
          <t>III 73, 32a</t>
        </is>
      </c>
      <c r="M695" t="inlineStr"/>
      <c r="N695" t="inlineStr">
        <is>
          <t xml:space="preserve">Sammelband mit Drucken des 16. Jahrhunderts : </t>
        </is>
      </c>
      <c r="O695" t="inlineStr">
        <is>
          <t xml:space="preserve"> : </t>
        </is>
      </c>
      <c r="P695" t="inlineStr">
        <is>
          <t>X</t>
        </is>
      </c>
      <c r="Q695" t="inlineStr">
        <is>
          <t>1500,00 EUR</t>
        </is>
      </c>
      <c r="R695" t="inlineStr">
        <is>
          <t>Halbledereinband, Schließen, erhabene Buchbeschläge</t>
        </is>
      </c>
      <c r="S695" t="inlineStr">
        <is>
          <t>bis 35 cm</t>
        </is>
      </c>
      <c r="T695" t="inlineStr">
        <is>
          <t>80° bis 110°, einseitig digitalisierbar?</t>
        </is>
      </c>
      <c r="U695" t="inlineStr">
        <is>
          <t>fester Rücken mit Schmuckprägung, Schrift bis in den Falz</t>
        </is>
      </c>
      <c r="V695" t="inlineStr"/>
      <c r="W695" t="inlineStr">
        <is>
          <t>Buchschuh</t>
        </is>
      </c>
      <c r="X695" t="inlineStr">
        <is>
          <t>Nein</t>
        </is>
      </c>
      <c r="Y695" t="n">
        <v>1</v>
      </c>
      <c r="Z695" t="inlineStr"/>
      <c r="AA695" t="inlineStr"/>
      <c r="AB695" t="inlineStr"/>
      <c r="AC695" t="inlineStr"/>
      <c r="AD695" t="inlineStr"/>
      <c r="AE695" t="inlineStr"/>
      <c r="AF695" t="inlineStr"/>
      <c r="AG695" t="inlineStr"/>
      <c r="AH695" t="inlineStr"/>
      <c r="AI695" t="inlineStr"/>
      <c r="AJ695" t="inlineStr"/>
      <c r="AK695" t="inlineStr"/>
      <c r="AL695" t="inlineStr"/>
      <c r="AM695" t="inlineStr"/>
      <c r="AN695" t="inlineStr"/>
      <c r="AO695" t="inlineStr"/>
      <c r="AP695" t="inlineStr"/>
      <c r="AQ695" t="inlineStr"/>
      <c r="AR695" t="inlineStr"/>
      <c r="AS695" t="inlineStr"/>
      <c r="AT695" t="inlineStr"/>
      <c r="AU695" t="inlineStr"/>
      <c r="AV695" t="inlineStr"/>
      <c r="AW695" t="inlineStr"/>
      <c r="AX695" t="inlineStr"/>
      <c r="AY695" t="inlineStr"/>
      <c r="AZ695" t="inlineStr"/>
      <c r="BA695" t="inlineStr"/>
      <c r="BB695" t="inlineStr"/>
      <c r="BC695" t="inlineStr"/>
      <c r="BD695" t="inlineStr"/>
      <c r="BE695" t="inlineStr"/>
      <c r="BF695" t="inlineStr"/>
      <c r="BG695" t="inlineStr"/>
      <c r="BH695" t="inlineStr"/>
      <c r="BI695" t="inlineStr"/>
      <c r="BJ695" t="inlineStr"/>
      <c r="BK695" t="inlineStr"/>
      <c r="BL695" t="inlineStr"/>
      <c r="BM695" t="inlineStr"/>
      <c r="BN695" t="n">
        <v>0</v>
      </c>
      <c r="BO695" t="inlineStr"/>
      <c r="BP695" t="inlineStr"/>
      <c r="BQ695" t="inlineStr"/>
      <c r="BR695" t="inlineStr"/>
      <c r="BS695" t="inlineStr"/>
      <c r="BT695" t="inlineStr"/>
      <c r="BU695" t="inlineStr"/>
      <c r="BV695" t="inlineStr"/>
      <c r="BW695" t="inlineStr"/>
      <c r="BX695" t="inlineStr"/>
      <c r="BY695" t="inlineStr"/>
      <c r="BZ695" t="inlineStr"/>
      <c r="CA695" t="inlineStr"/>
      <c r="CB695" t="inlineStr"/>
      <c r="CC695" t="inlineStr"/>
      <c r="CD695" t="inlineStr"/>
      <c r="CE695" t="inlineStr"/>
      <c r="CF695" t="inlineStr"/>
      <c r="CG695" t="inlineStr"/>
      <c r="CH695" t="inlineStr"/>
      <c r="CI695" t="inlineStr"/>
      <c r="CJ695" t="inlineStr"/>
      <c r="CK695" t="inlineStr"/>
      <c r="CL695" t="inlineStr"/>
      <c r="CM695" t="inlineStr"/>
      <c r="CN695" t="inlineStr"/>
      <c r="CO695" t="inlineStr"/>
      <c r="CP695" t="inlineStr"/>
      <c r="CQ695" t="inlineStr"/>
      <c r="CR695" t="inlineStr"/>
      <c r="CS695" t="inlineStr"/>
      <c r="CT695" t="inlineStr"/>
      <c r="CU695" t="inlineStr"/>
      <c r="CV695" t="inlineStr"/>
      <c r="CW695" t="inlineStr"/>
      <c r="CX695" t="inlineStr"/>
      <c r="CY695" t="inlineStr"/>
      <c r="CZ695" t="inlineStr"/>
      <c r="DA695" t="inlineStr"/>
      <c r="DB695" t="inlineStr"/>
      <c r="DC695" t="inlineStr"/>
      <c r="DD695" t="inlineStr"/>
      <c r="DE695" t="inlineStr"/>
      <c r="DF695" t="inlineStr"/>
      <c r="DG695" t="inlineStr"/>
    </row>
    <row r="696">
      <c r="A696" t="inlineStr">
        <is>
          <t>III</t>
        </is>
      </c>
      <c r="B696" t="b">
        <v>1</v>
      </c>
      <c r="C696" t="inlineStr"/>
      <c r="D696" t="inlineStr"/>
      <c r="E696" t="n">
        <v>763</v>
      </c>
      <c r="F696">
        <f>HYPERLINK("https://portal.dnb.de/opac.htm?method=simpleSearch&amp;cqlMode=true&amp;query=idn%3D1066873933", "Portal")</f>
        <v/>
      </c>
      <c r="G696" t="inlineStr">
        <is>
          <t>Aaf</t>
        </is>
      </c>
      <c r="H696" t="inlineStr">
        <is>
          <t>L-1517-315331739</t>
        </is>
      </c>
      <c r="I696" t="inlineStr">
        <is>
          <t>1066873933</t>
        </is>
      </c>
      <c r="J696" t="inlineStr">
        <is>
          <t>III 73, 33</t>
        </is>
      </c>
      <c r="K696" t="inlineStr">
        <is>
          <t>III 73, 33</t>
        </is>
      </c>
      <c r="L696" t="inlineStr">
        <is>
          <t>III 73, 33</t>
        </is>
      </c>
      <c r="M696" t="inlineStr"/>
      <c r="N696" t="inlineStr">
        <is>
          <t xml:space="preserve">Pe. Rosseti Laurētias Stephanis Panegyris, opuscūlu de puero Iudeo &amp; miraculo Eucharistie : </t>
        </is>
      </c>
      <c r="O696" t="inlineStr">
        <is>
          <t xml:space="preserve"> : </t>
        </is>
      </c>
      <c r="P696" t="inlineStr">
        <is>
          <t>X</t>
        </is>
      </c>
      <c r="Q696" t="inlineStr"/>
      <c r="R696" t="inlineStr">
        <is>
          <t>Papier- oder Pappeinband</t>
        </is>
      </c>
      <c r="S696" t="inlineStr">
        <is>
          <t>bis 25 cm</t>
        </is>
      </c>
      <c r="T696" t="inlineStr">
        <is>
          <t>80° bis 110°, einseitig digitalisierbar?</t>
        </is>
      </c>
      <c r="U696" t="inlineStr">
        <is>
          <t>hohler Rücken, welliger Buchblock</t>
        </is>
      </c>
      <c r="V696" t="inlineStr"/>
      <c r="W696" t="inlineStr"/>
      <c r="X696" t="inlineStr">
        <is>
          <t>Signaturfahne austauschen</t>
        </is>
      </c>
      <c r="Y696" t="n">
        <v>0</v>
      </c>
      <c r="Z696" t="inlineStr"/>
      <c r="AA696" t="inlineStr"/>
      <c r="AB696" t="inlineStr"/>
      <c r="AC696" t="inlineStr"/>
      <c r="AD696" t="inlineStr"/>
      <c r="AE696" t="inlineStr"/>
      <c r="AF696" t="inlineStr"/>
      <c r="AG696" t="inlineStr"/>
      <c r="AH696" t="inlineStr"/>
      <c r="AI696" t="inlineStr"/>
      <c r="AJ696" t="inlineStr"/>
      <c r="AK696" t="inlineStr"/>
      <c r="AL696" t="inlineStr"/>
      <c r="AM696" t="inlineStr"/>
      <c r="AN696" t="inlineStr"/>
      <c r="AO696" t="inlineStr"/>
      <c r="AP696" t="inlineStr"/>
      <c r="AQ696" t="inlineStr"/>
      <c r="AR696" t="inlineStr"/>
      <c r="AS696" t="inlineStr"/>
      <c r="AT696" t="inlineStr"/>
      <c r="AU696" t="inlineStr"/>
      <c r="AV696" t="inlineStr"/>
      <c r="AW696" t="inlineStr"/>
      <c r="AX696" t="inlineStr"/>
      <c r="AY696" t="inlineStr"/>
      <c r="AZ696" t="inlineStr"/>
      <c r="BA696" t="inlineStr"/>
      <c r="BB696" t="inlineStr"/>
      <c r="BC696" t="inlineStr"/>
      <c r="BD696" t="inlineStr"/>
      <c r="BE696" t="inlineStr"/>
      <c r="BF696" t="inlineStr"/>
      <c r="BG696" t="inlineStr"/>
      <c r="BH696" t="inlineStr"/>
      <c r="BI696" t="inlineStr"/>
      <c r="BJ696" t="inlineStr"/>
      <c r="BK696" t="inlineStr"/>
      <c r="BL696" t="inlineStr"/>
      <c r="BM696" t="inlineStr"/>
      <c r="BN696" t="n">
        <v>0</v>
      </c>
      <c r="BO696" t="inlineStr"/>
      <c r="BP696" t="inlineStr"/>
      <c r="BQ696" t="inlineStr"/>
      <c r="BR696" t="inlineStr"/>
      <c r="BS696" t="inlineStr"/>
      <c r="BT696" t="inlineStr"/>
      <c r="BU696" t="inlineStr"/>
      <c r="BV696" t="inlineStr"/>
      <c r="BW696" t="inlineStr"/>
      <c r="BX696" t="inlineStr"/>
      <c r="BY696" t="inlineStr"/>
      <c r="BZ696" t="inlineStr"/>
      <c r="CA696" t="inlineStr"/>
      <c r="CB696" t="inlineStr"/>
      <c r="CC696" t="inlineStr"/>
      <c r="CD696" t="inlineStr"/>
      <c r="CE696" t="inlineStr"/>
      <c r="CF696" t="inlineStr"/>
      <c r="CG696" t="inlineStr"/>
      <c r="CH696" t="inlineStr"/>
      <c r="CI696" t="inlineStr"/>
      <c r="CJ696" t="inlineStr"/>
      <c r="CK696" t="inlineStr"/>
      <c r="CL696" t="inlineStr"/>
      <c r="CM696" t="inlineStr"/>
      <c r="CN696" t="inlineStr"/>
      <c r="CO696" t="inlineStr"/>
      <c r="CP696" t="inlineStr"/>
      <c r="CQ696" t="inlineStr"/>
      <c r="CR696" t="inlineStr"/>
      <c r="CS696" t="inlineStr"/>
      <c r="CT696" t="inlineStr"/>
      <c r="CU696" t="inlineStr"/>
      <c r="CV696" t="inlineStr"/>
      <c r="CW696" t="inlineStr"/>
      <c r="CX696" t="inlineStr"/>
      <c r="CY696" t="inlineStr"/>
      <c r="CZ696" t="inlineStr"/>
      <c r="DA696" t="inlineStr"/>
      <c r="DB696" t="inlineStr"/>
      <c r="DC696" t="inlineStr"/>
      <c r="DD696" t="inlineStr"/>
      <c r="DE696" t="inlineStr"/>
      <c r="DF696" t="inlineStr"/>
      <c r="DG696" t="inlineStr"/>
    </row>
    <row r="697">
      <c r="A697" t="inlineStr">
        <is>
          <t>III</t>
        </is>
      </c>
      <c r="B697" t="b">
        <v>1</v>
      </c>
      <c r="C697" t="inlineStr"/>
      <c r="D697" t="inlineStr"/>
      <c r="E697" t="n">
        <v>810</v>
      </c>
      <c r="F697">
        <f>HYPERLINK("https://portal.dnb.de/opac.htm?method=simpleSearch&amp;cqlMode=true&amp;query=idn%3D1000777227", "Portal")</f>
        <v/>
      </c>
      <c r="G697" t="inlineStr">
        <is>
          <t>Afl</t>
        </is>
      </c>
      <c r="H697" t="inlineStr">
        <is>
          <t>L-1555-171141768</t>
        </is>
      </c>
      <c r="I697" t="inlineStr">
        <is>
          <t>1000777227</t>
        </is>
      </c>
      <c r="J697" t="inlineStr">
        <is>
          <t>III 73, 33a</t>
        </is>
      </c>
      <c r="K697" t="inlineStr">
        <is>
          <t>III 73, 33a</t>
        </is>
      </c>
      <c r="L697" t="inlineStr">
        <is>
          <t>III 73, 33 a</t>
        </is>
      </c>
      <c r="M697" t="inlineStr"/>
      <c r="N697" t="inlineStr">
        <is>
          <t>Homiliae per fe-||stivitates sancto-||rum</t>
        </is>
      </c>
      <c r="O697" t="inlineStr">
        <is>
          <t xml:space="preserve"> : P. hyemalis</t>
        </is>
      </c>
      <c r="P697" t="inlineStr">
        <is>
          <t>X</t>
        </is>
      </c>
      <c r="Q697" t="inlineStr"/>
      <c r="R697" t="inlineStr">
        <is>
          <t>Ledereinband</t>
        </is>
      </c>
      <c r="S697" t="inlineStr">
        <is>
          <t>bis 25 cm</t>
        </is>
      </c>
      <c r="T697" t="inlineStr">
        <is>
          <t>80° bis 110°, einseitig digitalisierbar?</t>
        </is>
      </c>
      <c r="U697" t="inlineStr">
        <is>
          <t>fester Rücken mit Schmuckprägung, Schrift bis in den Falz</t>
        </is>
      </c>
      <c r="V697" t="inlineStr"/>
      <c r="W697" t="inlineStr">
        <is>
          <t>Kassette</t>
        </is>
      </c>
      <c r="X697" t="inlineStr">
        <is>
          <t>Nein</t>
        </is>
      </c>
      <c r="Y697" t="n">
        <v>0</v>
      </c>
      <c r="Z697" t="inlineStr"/>
      <c r="AA697" t="inlineStr"/>
      <c r="AB697" t="inlineStr"/>
      <c r="AC697" t="inlineStr"/>
      <c r="AD697" t="inlineStr"/>
      <c r="AE697" t="inlineStr"/>
      <c r="AF697" t="inlineStr"/>
      <c r="AG697" t="inlineStr"/>
      <c r="AH697" t="inlineStr"/>
      <c r="AI697" t="inlineStr"/>
      <c r="AJ697" t="inlineStr"/>
      <c r="AK697" t="inlineStr"/>
      <c r="AL697" t="inlineStr"/>
      <c r="AM697" t="inlineStr"/>
      <c r="AN697" t="inlineStr"/>
      <c r="AO697" t="inlineStr"/>
      <c r="AP697" t="inlineStr"/>
      <c r="AQ697" t="inlineStr"/>
      <c r="AR697" t="inlineStr"/>
      <c r="AS697" t="inlineStr"/>
      <c r="AT697" t="inlineStr"/>
      <c r="AU697" t="inlineStr"/>
      <c r="AV697" t="inlineStr"/>
      <c r="AW697" t="inlineStr"/>
      <c r="AX697" t="inlineStr"/>
      <c r="AY697" t="inlineStr"/>
      <c r="AZ697" t="inlineStr"/>
      <c r="BA697" t="inlineStr"/>
      <c r="BB697" t="inlineStr"/>
      <c r="BC697" t="inlineStr"/>
      <c r="BD697" t="inlineStr"/>
      <c r="BE697" t="inlineStr"/>
      <c r="BF697" t="inlineStr"/>
      <c r="BG697" t="inlineStr"/>
      <c r="BH697" t="inlineStr"/>
      <c r="BI697" t="inlineStr"/>
      <c r="BJ697" t="inlineStr"/>
      <c r="BK697" t="inlineStr"/>
      <c r="BL697" t="inlineStr"/>
      <c r="BM697" t="inlineStr"/>
      <c r="BN697" t="n">
        <v>0</v>
      </c>
      <c r="BO697" t="inlineStr"/>
      <c r="BP697" t="inlineStr"/>
      <c r="BQ697" t="inlineStr"/>
      <c r="BR697" t="inlineStr"/>
      <c r="BS697" t="inlineStr"/>
      <c r="BT697" t="inlineStr"/>
      <c r="BU697" t="inlineStr"/>
      <c r="BV697" t="inlineStr"/>
      <c r="BW697" t="inlineStr"/>
      <c r="BX697" t="inlineStr"/>
      <c r="BY697" t="inlineStr"/>
      <c r="BZ697" t="inlineStr"/>
      <c r="CA697" t="inlineStr"/>
      <c r="CB697" t="inlineStr"/>
      <c r="CC697" t="inlineStr"/>
      <c r="CD697" t="inlineStr"/>
      <c r="CE697" t="inlineStr"/>
      <c r="CF697" t="inlineStr"/>
      <c r="CG697" t="inlineStr"/>
      <c r="CH697" t="inlineStr"/>
      <c r="CI697" t="inlineStr"/>
      <c r="CJ697" t="inlineStr"/>
      <c r="CK697" t="inlineStr"/>
      <c r="CL697" t="inlineStr"/>
      <c r="CM697" t="inlineStr"/>
      <c r="CN697" t="inlineStr"/>
      <c r="CO697" t="inlineStr"/>
      <c r="CP697" t="inlineStr"/>
      <c r="CQ697" t="inlineStr"/>
      <c r="CR697" t="inlineStr"/>
      <c r="CS697" t="inlineStr"/>
      <c r="CT697" t="inlineStr"/>
      <c r="CU697" t="inlineStr"/>
      <c r="CV697" t="inlineStr"/>
      <c r="CW697" t="inlineStr"/>
      <c r="CX697" t="inlineStr"/>
      <c r="CY697" t="inlineStr"/>
      <c r="CZ697" t="inlineStr"/>
      <c r="DA697" t="inlineStr"/>
      <c r="DB697" t="inlineStr"/>
      <c r="DC697" t="inlineStr"/>
      <c r="DD697" t="inlineStr"/>
      <c r="DE697" t="inlineStr"/>
      <c r="DF697" t="inlineStr"/>
      <c r="DG697" t="inlineStr"/>
    </row>
    <row r="698">
      <c r="A698" t="inlineStr">
        <is>
          <t>III</t>
        </is>
      </c>
      <c r="B698" t="b">
        <v>1</v>
      </c>
      <c r="C698" t="inlineStr"/>
      <c r="D698" t="inlineStr"/>
      <c r="E698" t="n">
        <v>811</v>
      </c>
      <c r="F698">
        <f>HYPERLINK("https://portal.dnb.de/opac.htm?method=simpleSearch&amp;cqlMode=true&amp;query=idn%3D1000777332", "Portal")</f>
        <v/>
      </c>
      <c r="G698" t="inlineStr">
        <is>
          <t>Afl</t>
        </is>
      </c>
      <c r="H698" t="inlineStr">
        <is>
          <t>L-1557-171141873</t>
        </is>
      </c>
      <c r="I698" t="inlineStr">
        <is>
          <t>1000777332</t>
        </is>
      </c>
      <c r="J698" t="inlineStr">
        <is>
          <t>III 73, 33a</t>
        </is>
      </c>
      <c r="K698" t="inlineStr">
        <is>
          <t>III 73, 33a</t>
        </is>
      </c>
      <c r="L698" t="inlineStr">
        <is>
          <t>III 73, 33 a ( angebundenes Werk)</t>
        </is>
      </c>
      <c r="M698" t="inlineStr"/>
      <c r="N698" t="inlineStr">
        <is>
          <t>Homiliae per fe-||stivitates sancto-||rum</t>
        </is>
      </c>
      <c r="O698" t="inlineStr">
        <is>
          <t xml:space="preserve"> : P. aestivalis</t>
        </is>
      </c>
      <c r="P698" t="inlineStr"/>
      <c r="Q698" t="inlineStr"/>
      <c r="R698" t="inlineStr"/>
      <c r="S698" t="inlineStr"/>
      <c r="T698" t="inlineStr"/>
      <c r="U698" t="inlineStr"/>
      <c r="V698" t="inlineStr"/>
      <c r="W698" t="inlineStr"/>
      <c r="X698" t="inlineStr"/>
      <c r="Y698" t="inlineStr"/>
      <c r="Z698" t="inlineStr"/>
      <c r="AA698" t="inlineStr"/>
      <c r="AB698" t="inlineStr"/>
      <c r="AC698" t="inlineStr"/>
      <c r="AD698" t="inlineStr"/>
      <c r="AE698" t="inlineStr"/>
      <c r="AF698" t="inlineStr"/>
      <c r="AG698" t="inlineStr"/>
      <c r="AH698" t="inlineStr"/>
      <c r="AI698" t="inlineStr"/>
      <c r="AJ698" t="inlineStr"/>
      <c r="AK698" t="inlineStr"/>
      <c r="AL698" t="inlineStr"/>
      <c r="AM698" t="inlineStr"/>
      <c r="AN698" t="inlineStr"/>
      <c r="AO698" t="inlineStr"/>
      <c r="AP698" t="inlineStr"/>
      <c r="AQ698" t="inlineStr"/>
      <c r="AR698" t="inlineStr"/>
      <c r="AS698" t="inlineStr"/>
      <c r="AT698" t="inlineStr"/>
      <c r="AU698" t="inlineStr"/>
      <c r="AV698" t="inlineStr"/>
      <c r="AW698" t="inlineStr"/>
      <c r="AX698" t="inlineStr"/>
      <c r="AY698" t="inlineStr"/>
      <c r="AZ698" t="inlineStr"/>
      <c r="BA698" t="inlineStr"/>
      <c r="BB698" t="inlineStr"/>
      <c r="BC698" t="inlineStr"/>
      <c r="BD698" t="inlineStr"/>
      <c r="BE698" t="inlineStr"/>
      <c r="BF698" t="inlineStr"/>
      <c r="BG698" t="inlineStr"/>
      <c r="BH698" t="inlineStr"/>
      <c r="BI698" t="inlineStr"/>
      <c r="BJ698" t="inlineStr"/>
      <c r="BK698" t="inlineStr"/>
      <c r="BL698" t="inlineStr"/>
      <c r="BM698" t="inlineStr"/>
      <c r="BN698" t="n">
        <v>0</v>
      </c>
      <c r="BO698" t="inlineStr"/>
      <c r="BP698" t="inlineStr"/>
      <c r="BQ698" t="inlineStr"/>
      <c r="BR698" t="inlineStr"/>
      <c r="BS698" t="inlineStr"/>
      <c r="BT698" t="inlineStr"/>
      <c r="BU698" t="inlineStr"/>
      <c r="BV698" t="inlineStr"/>
      <c r="BW698" t="inlineStr"/>
      <c r="BX698" t="inlineStr"/>
      <c r="BY698" t="inlineStr"/>
      <c r="BZ698" t="inlineStr"/>
      <c r="CA698" t="inlineStr"/>
      <c r="CB698" t="inlineStr"/>
      <c r="CC698" t="inlineStr"/>
      <c r="CD698" t="inlineStr"/>
      <c r="CE698" t="inlineStr"/>
      <c r="CF698" t="inlineStr"/>
      <c r="CG698" t="inlineStr"/>
      <c r="CH698" t="inlineStr"/>
      <c r="CI698" t="inlineStr"/>
      <c r="CJ698" t="inlineStr"/>
      <c r="CK698" t="inlineStr"/>
      <c r="CL698" t="inlineStr"/>
      <c r="CM698" t="inlineStr"/>
      <c r="CN698" t="inlineStr"/>
      <c r="CO698" t="inlineStr"/>
      <c r="CP698" t="inlineStr"/>
      <c r="CQ698" t="inlineStr"/>
      <c r="CR698" t="inlineStr"/>
      <c r="CS698" t="inlineStr"/>
      <c r="CT698" t="inlineStr"/>
      <c r="CU698" t="inlineStr"/>
      <c r="CV698" t="inlineStr"/>
      <c r="CW698" t="inlineStr"/>
      <c r="CX698" t="inlineStr"/>
      <c r="CY698" t="inlineStr"/>
      <c r="CZ698" t="inlineStr"/>
      <c r="DA698" t="inlineStr"/>
      <c r="DB698" t="inlineStr"/>
      <c r="DC698" t="inlineStr"/>
      <c r="DD698" t="inlineStr"/>
      <c r="DE698" t="inlineStr"/>
      <c r="DF698" t="inlineStr"/>
      <c r="DG698" t="inlineStr"/>
    </row>
    <row r="699">
      <c r="A699" t="inlineStr">
        <is>
          <t>III</t>
        </is>
      </c>
      <c r="B699" t="b">
        <v>1</v>
      </c>
      <c r="C699" t="inlineStr"/>
      <c r="D699" t="inlineStr"/>
      <c r="E699" t="n">
        <v>764</v>
      </c>
      <c r="F699">
        <f>HYPERLINK("https://portal.dnb.de/opac.htm?method=simpleSearch&amp;cqlMode=true&amp;query=idn%3D1066851433", "Portal")</f>
        <v/>
      </c>
      <c r="G699" t="inlineStr">
        <is>
          <t>Aaf</t>
        </is>
      </c>
      <c r="H699" t="inlineStr">
        <is>
          <t>L-1517-315310413</t>
        </is>
      </c>
      <c r="I699" t="inlineStr">
        <is>
          <t>1066851433</t>
        </is>
      </c>
      <c r="J699" t="inlineStr">
        <is>
          <t>III 73, 34</t>
        </is>
      </c>
      <c r="K699" t="inlineStr">
        <is>
          <t>III 73, 34</t>
        </is>
      </c>
      <c r="L699" t="inlineStr">
        <is>
          <t>III 73, 34</t>
        </is>
      </c>
      <c r="M699" t="inlineStr"/>
      <c r="N699" t="inlineStr">
        <is>
          <t xml:space="preserve">Epistole diui Pauli apostoli : </t>
        </is>
      </c>
      <c r="O699" t="inlineStr">
        <is>
          <t xml:space="preserve"> : </t>
        </is>
      </c>
      <c r="P699" t="inlineStr">
        <is>
          <t>X</t>
        </is>
      </c>
      <c r="Q699" t="inlineStr"/>
      <c r="R699" t="inlineStr">
        <is>
          <t>Halbledereinband, Schließen, erhabene Buchbeschläge</t>
        </is>
      </c>
      <c r="S699" t="inlineStr">
        <is>
          <t>bis 35 cm</t>
        </is>
      </c>
      <c r="T699" t="inlineStr">
        <is>
          <t>180°</t>
        </is>
      </c>
      <c r="U699" t="inlineStr">
        <is>
          <t>hohler Rücken</t>
        </is>
      </c>
      <c r="V699" t="inlineStr"/>
      <c r="W699" t="inlineStr">
        <is>
          <t>Buchschuh</t>
        </is>
      </c>
      <c r="X699" t="inlineStr">
        <is>
          <t>Nein</t>
        </is>
      </c>
      <c r="Y699" t="n">
        <v>2</v>
      </c>
      <c r="Z699" t="inlineStr"/>
      <c r="AA699" t="inlineStr"/>
      <c r="AB699" t="inlineStr"/>
      <c r="AC699" t="inlineStr"/>
      <c r="AD699" t="inlineStr"/>
      <c r="AE699" t="inlineStr"/>
      <c r="AF699" t="inlineStr"/>
      <c r="AG699" t="inlineStr"/>
      <c r="AH699" t="inlineStr"/>
      <c r="AI699" t="inlineStr">
        <is>
          <t>HL</t>
        </is>
      </c>
      <c r="AJ699" t="inlineStr"/>
      <c r="AK699" t="inlineStr">
        <is>
          <t>x</t>
        </is>
      </c>
      <c r="AL699" t="inlineStr"/>
      <c r="AM699" t="inlineStr">
        <is>
          <t>h/E</t>
        </is>
      </c>
      <c r="AN699" t="inlineStr"/>
      <c r="AO699" t="inlineStr"/>
      <c r="AP699" t="inlineStr"/>
      <c r="AQ699" t="inlineStr"/>
      <c r="AR699" t="inlineStr"/>
      <c r="AS699" t="inlineStr">
        <is>
          <t>Pa</t>
        </is>
      </c>
      <c r="AT699" t="inlineStr"/>
      <c r="AU699" t="inlineStr"/>
      <c r="AV699" t="inlineStr"/>
      <c r="AW699" t="inlineStr"/>
      <c r="AX699" t="inlineStr"/>
      <c r="AY699" t="inlineStr"/>
      <c r="AZ699" t="inlineStr"/>
      <c r="BA699" t="inlineStr"/>
      <c r="BB699" t="inlineStr"/>
      <c r="BC699" t="inlineStr"/>
      <c r="BD699" t="inlineStr"/>
      <c r="BE699" t="inlineStr"/>
      <c r="BF699" t="inlineStr"/>
      <c r="BG699" t="n">
        <v>110</v>
      </c>
      <c r="BH699" t="inlineStr"/>
      <c r="BI699" t="inlineStr"/>
      <c r="BJ699" t="inlineStr"/>
      <c r="BK699" t="inlineStr"/>
      <c r="BL699" t="inlineStr"/>
      <c r="BM699" t="inlineStr">
        <is>
          <t>n</t>
        </is>
      </c>
      <c r="BN699" t="n">
        <v>0</v>
      </c>
      <c r="BO699" t="inlineStr"/>
      <c r="BP699" t="inlineStr"/>
      <c r="BQ699" t="inlineStr"/>
      <c r="BR699" t="inlineStr">
        <is>
          <t>x</t>
        </is>
      </c>
      <c r="BS699" t="inlineStr"/>
      <c r="BT699" t="inlineStr"/>
      <c r="BU699" t="inlineStr"/>
      <c r="BV699" t="inlineStr">
        <is>
          <t>Schaden stabil</t>
        </is>
      </c>
      <c r="BW699" t="inlineStr"/>
      <c r="BX699" t="inlineStr"/>
      <c r="BY699" t="inlineStr"/>
      <c r="BZ699" t="inlineStr"/>
      <c r="CA699" t="inlineStr"/>
      <c r="CB699" t="inlineStr"/>
      <c r="CC699" t="inlineStr"/>
      <c r="CD699" t="inlineStr"/>
      <c r="CE699" t="inlineStr"/>
      <c r="CF699" t="inlineStr"/>
      <c r="CG699" t="inlineStr"/>
      <c r="CH699" t="inlineStr"/>
      <c r="CI699" t="inlineStr"/>
      <c r="CJ699" t="inlineStr"/>
      <c r="CK699" t="inlineStr"/>
      <c r="CL699" t="inlineStr"/>
      <c r="CM699" t="inlineStr"/>
      <c r="CN699" t="inlineStr"/>
      <c r="CO699" t="inlineStr"/>
      <c r="CP699" t="inlineStr"/>
      <c r="CQ699" t="inlineStr"/>
      <c r="CR699" t="inlineStr"/>
      <c r="CS699" t="inlineStr"/>
      <c r="CT699" t="inlineStr"/>
      <c r="CU699" t="inlineStr"/>
      <c r="CV699" t="inlineStr"/>
      <c r="CW699" t="inlineStr"/>
      <c r="CX699" t="inlineStr"/>
      <c r="CY699" t="inlineStr"/>
      <c r="CZ699" t="inlineStr"/>
      <c r="DA699" t="inlineStr"/>
      <c r="DB699" t="inlineStr"/>
      <c r="DC699" t="inlineStr"/>
      <c r="DD699" t="inlineStr"/>
      <c r="DE699" t="inlineStr"/>
      <c r="DF699" t="inlineStr"/>
      <c r="DG699" t="inlineStr"/>
    </row>
    <row r="700">
      <c r="A700" t="inlineStr">
        <is>
          <t>III</t>
        </is>
      </c>
      <c r="B700" t="b">
        <v>1</v>
      </c>
      <c r="C700" t="inlineStr"/>
      <c r="D700" t="inlineStr"/>
      <c r="E700" t="n">
        <v>765</v>
      </c>
      <c r="F700">
        <f>HYPERLINK("https://portal.dnb.de/opac.htm?method=simpleSearch&amp;cqlMode=true&amp;query=idn%3D1066929327", "Portal")</f>
        <v/>
      </c>
      <c r="G700" t="inlineStr">
        <is>
          <t>Aaf</t>
        </is>
      </c>
      <c r="H700" t="inlineStr">
        <is>
          <t>L-1520-315457872</t>
        </is>
      </c>
      <c r="I700" t="inlineStr">
        <is>
          <t>1066929327</t>
        </is>
      </c>
      <c r="J700" t="inlineStr">
        <is>
          <t>III 73, 35</t>
        </is>
      </c>
      <c r="K700" t="inlineStr">
        <is>
          <t>III 73, 35</t>
        </is>
      </c>
      <c r="L700" t="inlineStr">
        <is>
          <t>III 73, 35</t>
        </is>
      </c>
      <c r="M700" t="inlineStr"/>
      <c r="N700" t="inlineStr">
        <is>
          <t xml:space="preserve">Claudii Seysselli, archiepiscopi Tavrinensis, de Diuina prouidentia Tractatus : </t>
        </is>
      </c>
      <c r="O700" t="inlineStr">
        <is>
          <t xml:space="preserve"> : </t>
        </is>
      </c>
      <c r="P700" t="inlineStr">
        <is>
          <t>X</t>
        </is>
      </c>
      <c r="Q700" t="inlineStr"/>
      <c r="R700" t="inlineStr">
        <is>
          <t>Gewebeeinband</t>
        </is>
      </c>
      <c r="S700" t="inlineStr">
        <is>
          <t>bis 25 cm</t>
        </is>
      </c>
      <c r="T700" t="inlineStr"/>
      <c r="U700" t="inlineStr">
        <is>
          <t>hohler Rücken, welliger Buchblock</t>
        </is>
      </c>
      <c r="V700" t="inlineStr"/>
      <c r="W700" t="inlineStr"/>
      <c r="X700" t="inlineStr"/>
      <c r="Y700" t="n">
        <v>0</v>
      </c>
      <c r="Z700" t="inlineStr"/>
      <c r="AA700" t="inlineStr"/>
      <c r="AB700" t="inlineStr"/>
      <c r="AC700" t="inlineStr"/>
      <c r="AD700" t="inlineStr"/>
      <c r="AE700" t="inlineStr"/>
      <c r="AF700" t="inlineStr"/>
      <c r="AG700" t="inlineStr"/>
      <c r="AH700" t="inlineStr"/>
      <c r="AI700" t="inlineStr"/>
      <c r="AJ700" t="inlineStr"/>
      <c r="AK700" t="inlineStr"/>
      <c r="AL700" t="inlineStr"/>
      <c r="AM700" t="inlineStr"/>
      <c r="AN700" t="inlineStr"/>
      <c r="AO700" t="inlineStr"/>
      <c r="AP700" t="inlineStr"/>
      <c r="AQ700" t="inlineStr"/>
      <c r="AR700" t="inlineStr"/>
      <c r="AS700" t="inlineStr"/>
      <c r="AT700" t="inlineStr"/>
      <c r="AU700" t="inlineStr"/>
      <c r="AV700" t="inlineStr"/>
      <c r="AW700" t="inlineStr"/>
      <c r="AX700" t="inlineStr"/>
      <c r="AY700" t="inlineStr"/>
      <c r="AZ700" t="inlineStr"/>
      <c r="BA700" t="inlineStr"/>
      <c r="BB700" t="inlineStr"/>
      <c r="BC700" t="inlineStr"/>
      <c r="BD700" t="inlineStr"/>
      <c r="BE700" t="inlineStr"/>
      <c r="BF700" t="inlineStr"/>
      <c r="BG700" t="inlineStr"/>
      <c r="BH700" t="inlineStr"/>
      <c r="BI700" t="inlineStr"/>
      <c r="BJ700" t="inlineStr"/>
      <c r="BK700" t="inlineStr"/>
      <c r="BL700" t="inlineStr"/>
      <c r="BM700" t="inlineStr"/>
      <c r="BN700" t="n">
        <v>0</v>
      </c>
      <c r="BO700" t="inlineStr"/>
      <c r="BP700" t="inlineStr"/>
      <c r="BQ700" t="inlineStr"/>
      <c r="BR700" t="inlineStr"/>
      <c r="BS700" t="inlineStr"/>
      <c r="BT700" t="inlineStr"/>
      <c r="BU700" t="inlineStr"/>
      <c r="BV700" t="inlineStr"/>
      <c r="BW700" t="inlineStr"/>
      <c r="BX700" t="inlineStr"/>
      <c r="BY700" t="inlineStr"/>
      <c r="BZ700" t="inlineStr"/>
      <c r="CA700" t="inlineStr"/>
      <c r="CB700" t="inlineStr"/>
      <c r="CC700" t="inlineStr"/>
      <c r="CD700" t="inlineStr"/>
      <c r="CE700" t="inlineStr"/>
      <c r="CF700" t="inlineStr"/>
      <c r="CG700" t="inlineStr"/>
      <c r="CH700" t="inlineStr"/>
      <c r="CI700" t="inlineStr"/>
      <c r="CJ700" t="inlineStr"/>
      <c r="CK700" t="inlineStr"/>
      <c r="CL700" t="inlineStr"/>
      <c r="CM700" t="inlineStr"/>
      <c r="CN700" t="inlineStr"/>
      <c r="CO700" t="inlineStr"/>
      <c r="CP700" t="inlineStr"/>
      <c r="CQ700" t="inlineStr"/>
      <c r="CR700" t="inlineStr"/>
      <c r="CS700" t="inlineStr"/>
      <c r="CT700" t="inlineStr"/>
      <c r="CU700" t="inlineStr"/>
      <c r="CV700" t="inlineStr"/>
      <c r="CW700" t="inlineStr"/>
      <c r="CX700" t="inlineStr"/>
      <c r="CY700" t="inlineStr"/>
      <c r="CZ700" t="inlineStr"/>
      <c r="DA700" t="inlineStr"/>
      <c r="DB700" t="inlineStr"/>
      <c r="DC700" t="inlineStr"/>
      <c r="DD700" t="inlineStr"/>
      <c r="DE700" t="inlineStr"/>
      <c r="DF700" t="inlineStr"/>
      <c r="DG700" t="inlineStr"/>
    </row>
    <row r="701">
      <c r="A701" t="inlineStr">
        <is>
          <t>III</t>
        </is>
      </c>
      <c r="B701" t="b">
        <v>1</v>
      </c>
      <c r="C701" t="inlineStr"/>
      <c r="D701" t="inlineStr"/>
      <c r="E701" t="inlineStr"/>
      <c r="F701">
        <f>HYPERLINK("https://portal.dnb.de/opac.htm?method=simpleSearch&amp;cqlMode=true&amp;query=idn%3D1268677469", "Portal")</f>
        <v/>
      </c>
      <c r="G701" t="inlineStr">
        <is>
          <t>Aa</t>
        </is>
      </c>
      <c r="H701" t="inlineStr">
        <is>
          <t>L-1520-833772759</t>
        </is>
      </c>
      <c r="I701" t="inlineStr">
        <is>
          <t>1268677469</t>
        </is>
      </c>
      <c r="J701" t="inlineStr">
        <is>
          <t>III 73, 36</t>
        </is>
      </c>
      <c r="K701" t="inlineStr">
        <is>
          <t>III 73, 36</t>
        </is>
      </c>
      <c r="L701" t="inlineStr">
        <is>
          <t>III 73, 36</t>
        </is>
      </c>
      <c r="M701" t="inlineStr"/>
      <c r="N701" t="inlineStr">
        <is>
          <t xml:space="preserve">Regule morales Johanis de Gersonno doctoris christianissimi : </t>
        </is>
      </c>
      <c r="O701" t="inlineStr">
        <is>
          <t xml:space="preserve"> : </t>
        </is>
      </c>
      <c r="P701" t="inlineStr">
        <is>
          <t>X</t>
        </is>
      </c>
      <c r="Q701" t="inlineStr"/>
      <c r="R701" t="inlineStr">
        <is>
          <t>Ledereinband</t>
        </is>
      </c>
      <c r="S701" t="inlineStr">
        <is>
          <t>bis 25 cm</t>
        </is>
      </c>
      <c r="T701" t="inlineStr">
        <is>
          <t>80° bis 110°, einseitig digitalisierbar?</t>
        </is>
      </c>
      <c r="U701" t="inlineStr">
        <is>
          <t>hohler Rücken, Schrift bis in den Falz</t>
        </is>
      </c>
      <c r="V701" t="inlineStr"/>
      <c r="W701" t="inlineStr"/>
      <c r="X701" t="inlineStr">
        <is>
          <t>Signaturfahne austauschen</t>
        </is>
      </c>
      <c r="Y701" t="n">
        <v>0</v>
      </c>
      <c r="Z701" t="inlineStr"/>
      <c r="AA701" t="inlineStr"/>
      <c r="AB701" t="inlineStr"/>
      <c r="AC701" t="inlineStr"/>
      <c r="AD701" t="inlineStr"/>
      <c r="AE701" t="inlineStr"/>
      <c r="AF701" t="inlineStr"/>
      <c r="AG701" t="inlineStr"/>
      <c r="AH701" t="inlineStr"/>
      <c r="AI701" t="inlineStr"/>
      <c r="AJ701" t="inlineStr"/>
      <c r="AK701" t="inlineStr"/>
      <c r="AL701" t="inlineStr"/>
      <c r="AM701" t="inlineStr"/>
      <c r="AN701" t="inlineStr"/>
      <c r="AO701" t="inlineStr"/>
      <c r="AP701" t="inlineStr"/>
      <c r="AQ701" t="inlineStr"/>
      <c r="AR701" t="inlineStr"/>
      <c r="AS701" t="inlineStr"/>
      <c r="AT701" t="inlineStr"/>
      <c r="AU701" t="inlineStr"/>
      <c r="AV701" t="inlineStr"/>
      <c r="AW701" t="inlineStr"/>
      <c r="AX701" t="inlineStr"/>
      <c r="AY701" t="inlineStr"/>
      <c r="AZ701" t="inlineStr"/>
      <c r="BA701" t="inlineStr"/>
      <c r="BB701" t="inlineStr"/>
      <c r="BC701" t="inlineStr"/>
      <c r="BD701" t="inlineStr"/>
      <c r="BE701" t="inlineStr"/>
      <c r="BF701" t="inlineStr"/>
      <c r="BG701" t="inlineStr"/>
      <c r="BH701" t="inlineStr"/>
      <c r="BI701" t="inlineStr"/>
      <c r="BJ701" t="inlineStr"/>
      <c r="BK701" t="inlineStr"/>
      <c r="BL701" t="inlineStr"/>
      <c r="BM701" t="inlineStr"/>
      <c r="BN701" t="n">
        <v>0</v>
      </c>
      <c r="BO701" t="inlineStr"/>
      <c r="BP701" t="inlineStr"/>
      <c r="BQ701" t="inlineStr"/>
      <c r="BR701" t="inlineStr"/>
      <c r="BS701" t="inlineStr"/>
      <c r="BT701" t="inlineStr"/>
      <c r="BU701" t="inlineStr"/>
      <c r="BV701" t="inlineStr"/>
      <c r="BW701" t="inlineStr"/>
      <c r="BX701" t="inlineStr"/>
      <c r="BY701" t="inlineStr"/>
      <c r="BZ701" t="inlineStr"/>
      <c r="CA701" t="inlineStr"/>
      <c r="CB701" t="inlineStr"/>
      <c r="CC701" t="inlineStr"/>
      <c r="CD701" t="inlineStr"/>
      <c r="CE701" t="inlineStr"/>
      <c r="CF701" t="inlineStr"/>
      <c r="CG701" t="inlineStr"/>
      <c r="CH701" t="inlineStr"/>
      <c r="CI701" t="inlineStr"/>
      <c r="CJ701" t="inlineStr"/>
      <c r="CK701" t="inlineStr"/>
      <c r="CL701" t="inlineStr"/>
      <c r="CM701" t="inlineStr"/>
      <c r="CN701" t="inlineStr"/>
      <c r="CO701" t="inlineStr"/>
      <c r="CP701" t="inlineStr"/>
      <c r="CQ701" t="inlineStr"/>
      <c r="CR701" t="inlineStr"/>
      <c r="CS701" t="inlineStr"/>
      <c r="CT701" t="inlineStr"/>
      <c r="CU701" t="inlineStr"/>
      <c r="CV701" t="inlineStr"/>
      <c r="CW701" t="inlineStr"/>
      <c r="CX701" t="inlineStr"/>
      <c r="CY701" t="inlineStr"/>
      <c r="CZ701" t="inlineStr"/>
      <c r="DA701" t="inlineStr"/>
      <c r="DB701" t="inlineStr"/>
      <c r="DC701" t="inlineStr"/>
      <c r="DD701" t="inlineStr"/>
      <c r="DE701" t="inlineStr"/>
      <c r="DF701" t="inlineStr"/>
      <c r="DG701" t="inlineStr"/>
    </row>
    <row r="702">
      <c r="A702" t="inlineStr">
        <is>
          <t>III</t>
        </is>
      </c>
      <c r="B702" t="b">
        <v>1</v>
      </c>
      <c r="C702" t="inlineStr"/>
      <c r="D702" t="inlineStr"/>
      <c r="E702" t="n">
        <v>766</v>
      </c>
      <c r="F702">
        <f>HYPERLINK("https://portal.dnb.de/opac.htm?method=simpleSearch&amp;cqlMode=true&amp;query=idn%3D1066878196", "Portal")</f>
        <v/>
      </c>
      <c r="G702" t="inlineStr">
        <is>
          <t>Aaf</t>
        </is>
      </c>
      <c r="H702" t="inlineStr">
        <is>
          <t>L-1520-315335866</t>
        </is>
      </c>
      <c r="I702" t="inlineStr">
        <is>
          <t>1066878196</t>
        </is>
      </c>
      <c r="J702" t="inlineStr">
        <is>
          <t>III 73, 37</t>
        </is>
      </c>
      <c r="K702" t="inlineStr">
        <is>
          <t>III 73, 37</t>
        </is>
      </c>
      <c r="L702" t="inlineStr">
        <is>
          <t>III 73, 37</t>
        </is>
      </c>
      <c r="M702" t="inlineStr"/>
      <c r="N702" t="inlineStr">
        <is>
          <t>Concordata inter sanctissimum Dominum nostrum Papam Leonem decimum et christianissimum Dominum nostrum Franciscum hujus nominis primum Lecta, publicat</t>
        </is>
      </c>
      <c r="O702" t="inlineStr">
        <is>
          <t xml:space="preserve"> : </t>
        </is>
      </c>
      <c r="P702" t="inlineStr">
        <is>
          <t>X</t>
        </is>
      </c>
      <c r="Q702" t="inlineStr"/>
      <c r="R702" t="inlineStr">
        <is>
          <t>Halbledereinband, Schließen, erhabene Buchbeschläge</t>
        </is>
      </c>
      <c r="S702" t="inlineStr">
        <is>
          <t>bis 25 cm</t>
        </is>
      </c>
      <c r="T702" t="inlineStr">
        <is>
          <t>80° bis 110°, einseitig digitalisierbar?</t>
        </is>
      </c>
      <c r="U702" t="inlineStr">
        <is>
          <t>hohler Rücken</t>
        </is>
      </c>
      <c r="V702" t="inlineStr"/>
      <c r="W702" t="inlineStr">
        <is>
          <t>Buchschuh</t>
        </is>
      </c>
      <c r="X702" t="inlineStr">
        <is>
          <t>Nein, Signaturfahne austauschen</t>
        </is>
      </c>
      <c r="Y702" t="n">
        <v>0</v>
      </c>
      <c r="Z702" t="inlineStr"/>
      <c r="AA702" t="inlineStr"/>
      <c r="AB702" t="inlineStr"/>
      <c r="AC702" t="inlineStr"/>
      <c r="AD702" t="inlineStr"/>
      <c r="AE702" t="inlineStr"/>
      <c r="AF702" t="inlineStr"/>
      <c r="AG702" t="inlineStr"/>
      <c r="AH702" t="inlineStr"/>
      <c r="AI702" t="inlineStr"/>
      <c r="AJ702" t="inlineStr"/>
      <c r="AK702" t="inlineStr"/>
      <c r="AL702" t="inlineStr"/>
      <c r="AM702" t="inlineStr"/>
      <c r="AN702" t="inlineStr"/>
      <c r="AO702" t="inlineStr"/>
      <c r="AP702" t="inlineStr"/>
      <c r="AQ702" t="inlineStr"/>
      <c r="AR702" t="inlineStr"/>
      <c r="AS702" t="inlineStr"/>
      <c r="AT702" t="inlineStr"/>
      <c r="AU702" t="inlineStr"/>
      <c r="AV702" t="inlineStr"/>
      <c r="AW702" t="inlineStr"/>
      <c r="AX702" t="inlineStr"/>
      <c r="AY702" t="inlineStr"/>
      <c r="AZ702" t="inlineStr"/>
      <c r="BA702" t="inlineStr"/>
      <c r="BB702" t="inlineStr"/>
      <c r="BC702" t="inlineStr"/>
      <c r="BD702" t="inlineStr"/>
      <c r="BE702" t="inlineStr"/>
      <c r="BF702" t="inlineStr"/>
      <c r="BG702" t="inlineStr"/>
      <c r="BH702" t="inlineStr"/>
      <c r="BI702" t="inlineStr"/>
      <c r="BJ702" t="inlineStr"/>
      <c r="BK702" t="inlineStr"/>
      <c r="BL702" t="inlineStr"/>
      <c r="BM702" t="inlineStr"/>
      <c r="BN702" t="n">
        <v>0</v>
      </c>
      <c r="BO702" t="inlineStr"/>
      <c r="BP702" t="inlineStr"/>
      <c r="BQ702" t="inlineStr"/>
      <c r="BR702" t="inlineStr"/>
      <c r="BS702" t="inlineStr"/>
      <c r="BT702" t="inlineStr"/>
      <c r="BU702" t="inlineStr"/>
      <c r="BV702" t="inlineStr"/>
      <c r="BW702" t="inlineStr"/>
      <c r="BX702" t="inlineStr"/>
      <c r="BY702" t="inlineStr"/>
      <c r="BZ702" t="inlineStr"/>
      <c r="CA702" t="inlineStr"/>
      <c r="CB702" t="inlineStr"/>
      <c r="CC702" t="inlineStr"/>
      <c r="CD702" t="inlineStr"/>
      <c r="CE702" t="inlineStr"/>
      <c r="CF702" t="inlineStr"/>
      <c r="CG702" t="inlineStr"/>
      <c r="CH702" t="inlineStr"/>
      <c r="CI702" t="inlineStr"/>
      <c r="CJ702" t="inlineStr"/>
      <c r="CK702" t="inlineStr"/>
      <c r="CL702" t="inlineStr"/>
      <c r="CM702" t="inlineStr"/>
      <c r="CN702" t="inlineStr"/>
      <c r="CO702" t="inlineStr"/>
      <c r="CP702" t="inlineStr"/>
      <c r="CQ702" t="inlineStr"/>
      <c r="CR702" t="inlineStr"/>
      <c r="CS702" t="inlineStr"/>
      <c r="CT702" t="inlineStr"/>
      <c r="CU702" t="inlineStr"/>
      <c r="CV702" t="inlineStr"/>
      <c r="CW702" t="inlineStr"/>
      <c r="CX702" t="inlineStr"/>
      <c r="CY702" t="inlineStr"/>
      <c r="CZ702" t="inlineStr"/>
      <c r="DA702" t="inlineStr"/>
      <c r="DB702" t="inlineStr"/>
      <c r="DC702" t="inlineStr"/>
      <c r="DD702" t="inlineStr"/>
      <c r="DE702" t="inlineStr"/>
      <c r="DF702" t="inlineStr"/>
      <c r="DG702" t="inlineStr"/>
    </row>
    <row r="703">
      <c r="A703" t="inlineStr">
        <is>
          <t>III</t>
        </is>
      </c>
      <c r="B703" t="b">
        <v>1</v>
      </c>
      <c r="C703" t="inlineStr"/>
      <c r="D703" t="inlineStr"/>
      <c r="E703" t="n">
        <v>767</v>
      </c>
      <c r="F703">
        <f>HYPERLINK("https://portal.dnb.de/opac.htm?method=simpleSearch&amp;cqlMode=true&amp;query=idn%3D1066936382", "Portal")</f>
        <v/>
      </c>
      <c r="G703" t="inlineStr">
        <is>
          <t>Aaf</t>
        </is>
      </c>
      <c r="H703" t="inlineStr">
        <is>
          <t>L-1520-315464259</t>
        </is>
      </c>
      <c r="I703" t="inlineStr">
        <is>
          <t>1066936382</t>
        </is>
      </c>
      <c r="J703" t="inlineStr">
        <is>
          <t>III 73, 38</t>
        </is>
      </c>
      <c r="K703" t="inlineStr">
        <is>
          <t>III 73, 38</t>
        </is>
      </c>
      <c r="L703" t="inlineStr">
        <is>
          <t>III 73, 38</t>
        </is>
      </c>
      <c r="M703" t="inlineStr"/>
      <c r="N703" t="inlineStr">
        <is>
          <t xml:space="preserve">Les @presentes heures a lusage de Paris tout au long sans riens reqrir auec qs. les YV oraisos. saite. brigide : </t>
        </is>
      </c>
      <c r="O703" t="inlineStr">
        <is>
          <t xml:space="preserve"> : </t>
        </is>
      </c>
      <c r="P703" t="inlineStr">
        <is>
          <t>X</t>
        </is>
      </c>
      <c r="Q703" t="inlineStr"/>
      <c r="R703" t="inlineStr">
        <is>
          <t>Ledereinband</t>
        </is>
      </c>
      <c r="S703" t="inlineStr">
        <is>
          <t>bis 25 cm</t>
        </is>
      </c>
      <c r="T703" t="inlineStr">
        <is>
          <t>80° bis 110°, einseitig digitalisierbar?</t>
        </is>
      </c>
      <c r="U703" t="inlineStr">
        <is>
          <t>hohler Rücken, erhabene Illuminationen</t>
        </is>
      </c>
      <c r="V703" t="inlineStr">
        <is>
          <t>nicht auflegen</t>
        </is>
      </c>
      <c r="W703" t="inlineStr">
        <is>
          <t>Kassette</t>
        </is>
      </c>
      <c r="X703" t="inlineStr">
        <is>
          <t>Nein</t>
        </is>
      </c>
      <c r="Y703" t="n">
        <v>0</v>
      </c>
      <c r="Z703" t="inlineStr"/>
      <c r="AA703" t="inlineStr"/>
      <c r="AB703" t="inlineStr"/>
      <c r="AC703" t="inlineStr"/>
      <c r="AD703" t="inlineStr"/>
      <c r="AE703" t="inlineStr"/>
      <c r="AF703" t="inlineStr"/>
      <c r="AG703" t="inlineStr"/>
      <c r="AH703" t="inlineStr"/>
      <c r="AI703" t="inlineStr"/>
      <c r="AJ703" t="inlineStr"/>
      <c r="AK703" t="inlineStr"/>
      <c r="AL703" t="inlineStr"/>
      <c r="AM703" t="inlineStr"/>
      <c r="AN703" t="inlineStr"/>
      <c r="AO703" t="inlineStr"/>
      <c r="AP703" t="inlineStr"/>
      <c r="AQ703" t="inlineStr"/>
      <c r="AR703" t="inlineStr"/>
      <c r="AS703" t="inlineStr"/>
      <c r="AT703" t="inlineStr"/>
      <c r="AU703" t="inlineStr"/>
      <c r="AV703" t="inlineStr"/>
      <c r="AW703" t="inlineStr"/>
      <c r="AX703" t="inlineStr"/>
      <c r="AY703" t="inlineStr"/>
      <c r="AZ703" t="inlineStr"/>
      <c r="BA703" t="inlineStr"/>
      <c r="BB703" t="inlineStr"/>
      <c r="BC703" t="inlineStr"/>
      <c r="BD703" t="inlineStr"/>
      <c r="BE703" t="inlineStr"/>
      <c r="BF703" t="inlineStr"/>
      <c r="BG703" t="inlineStr"/>
      <c r="BH703" t="inlineStr"/>
      <c r="BI703" t="inlineStr"/>
      <c r="BJ703" t="inlineStr"/>
      <c r="BK703" t="inlineStr"/>
      <c r="BL703" t="inlineStr"/>
      <c r="BM703" t="inlineStr"/>
      <c r="BN703" t="n">
        <v>0</v>
      </c>
      <c r="BO703" t="inlineStr"/>
      <c r="BP703" t="inlineStr"/>
      <c r="BQ703" t="inlineStr"/>
      <c r="BR703" t="inlineStr"/>
      <c r="BS703" t="inlineStr"/>
      <c r="BT703" t="inlineStr"/>
      <c r="BU703" t="inlineStr"/>
      <c r="BV703" t="inlineStr"/>
      <c r="BW703" t="inlineStr"/>
      <c r="BX703" t="inlineStr"/>
      <c r="BY703" t="inlineStr"/>
      <c r="BZ703" t="inlineStr"/>
      <c r="CA703" t="inlineStr"/>
      <c r="CB703" t="inlineStr"/>
      <c r="CC703" t="inlineStr"/>
      <c r="CD703" t="inlineStr"/>
      <c r="CE703" t="inlineStr"/>
      <c r="CF703" t="inlineStr"/>
      <c r="CG703" t="inlineStr"/>
      <c r="CH703" t="inlineStr"/>
      <c r="CI703" t="inlineStr"/>
      <c r="CJ703" t="inlineStr"/>
      <c r="CK703" t="inlineStr"/>
      <c r="CL703" t="inlineStr"/>
      <c r="CM703" t="inlineStr"/>
      <c r="CN703" t="inlineStr"/>
      <c r="CO703" t="inlineStr"/>
      <c r="CP703" t="inlineStr"/>
      <c r="CQ703" t="inlineStr"/>
      <c r="CR703" t="inlineStr"/>
      <c r="CS703" t="inlineStr"/>
      <c r="CT703" t="inlineStr"/>
      <c r="CU703" t="inlineStr"/>
      <c r="CV703" t="inlineStr"/>
      <c r="CW703" t="inlineStr"/>
      <c r="CX703" t="inlineStr"/>
      <c r="CY703" t="inlineStr"/>
      <c r="CZ703" t="inlineStr"/>
      <c r="DA703" t="inlineStr"/>
      <c r="DB703" t="inlineStr"/>
      <c r="DC703" t="inlineStr"/>
      <c r="DD703" t="inlineStr"/>
      <c r="DE703" t="inlineStr"/>
      <c r="DF703" t="inlineStr"/>
      <c r="DG703" t="inlineStr"/>
    </row>
    <row r="704">
      <c r="A704" t="inlineStr">
        <is>
          <t>III</t>
        </is>
      </c>
      <c r="B704" t="b">
        <v>1</v>
      </c>
      <c r="C704" t="inlineStr"/>
      <c r="D704" t="inlineStr"/>
      <c r="E704" t="n">
        <v>768</v>
      </c>
      <c r="F704">
        <f>HYPERLINK("https://portal.dnb.de/opac.htm?method=simpleSearch&amp;cqlMode=true&amp;query=idn%3D106684092X", "Portal")</f>
        <v/>
      </c>
      <c r="G704" t="inlineStr">
        <is>
          <t>Aaf</t>
        </is>
      </c>
      <c r="H704" t="inlineStr">
        <is>
          <t>L-1521-315300833</t>
        </is>
      </c>
      <c r="I704" t="inlineStr">
        <is>
          <t>106684092X</t>
        </is>
      </c>
      <c r="J704" t="inlineStr">
        <is>
          <t>III 73, 39</t>
        </is>
      </c>
      <c r="K704" t="inlineStr">
        <is>
          <t>III 73, 39</t>
        </is>
      </c>
      <c r="L704" t="inlineStr">
        <is>
          <t>III 73, 39</t>
        </is>
      </c>
      <c r="M704" t="inlineStr"/>
      <c r="N704" t="inlineStr">
        <is>
          <t xml:space="preserve">De Primatv Petri adversvs Lvddervm Ioannis Eckii Libri tres : </t>
        </is>
      </c>
      <c r="O704" t="inlineStr">
        <is>
          <t xml:space="preserve"> : </t>
        </is>
      </c>
      <c r="P704" t="inlineStr">
        <is>
          <t>X</t>
        </is>
      </c>
      <c r="Q704" t="inlineStr"/>
      <c r="R704" t="inlineStr">
        <is>
          <t>Pergamentband</t>
        </is>
      </c>
      <c r="S704" t="inlineStr">
        <is>
          <t>bis 35 cm</t>
        </is>
      </c>
      <c r="T704" t="inlineStr">
        <is>
          <t>180°</t>
        </is>
      </c>
      <c r="U704" t="inlineStr">
        <is>
          <t>hohler Rücken, Einband mit Schutz- oder Stoßkanten</t>
        </is>
      </c>
      <c r="V704" t="inlineStr"/>
      <c r="W704" t="inlineStr"/>
      <c r="X704" t="inlineStr"/>
      <c r="Y704" t="n">
        <v>0</v>
      </c>
      <c r="Z704" t="inlineStr"/>
      <c r="AA704" t="inlineStr"/>
      <c r="AB704" t="inlineStr"/>
      <c r="AC704" t="inlineStr"/>
      <c r="AD704" t="inlineStr"/>
      <c r="AE704" t="inlineStr"/>
      <c r="AF704" t="inlineStr"/>
      <c r="AG704" t="inlineStr"/>
      <c r="AH704" t="inlineStr"/>
      <c r="AI704" t="inlineStr">
        <is>
          <t>Pg</t>
        </is>
      </c>
      <c r="AJ704" t="inlineStr"/>
      <c r="AK704" t="inlineStr"/>
      <c r="AL704" t="inlineStr">
        <is>
          <t>x</t>
        </is>
      </c>
      <c r="AM704" t="inlineStr">
        <is>
          <t>h/E</t>
        </is>
      </c>
      <c r="AN704" t="inlineStr">
        <is>
          <t>x</t>
        </is>
      </c>
      <c r="AO704" t="inlineStr"/>
      <c r="AP704" t="inlineStr"/>
      <c r="AQ704" t="inlineStr"/>
      <c r="AR704" t="inlineStr"/>
      <c r="AS704" t="inlineStr">
        <is>
          <t>Pa</t>
        </is>
      </c>
      <c r="AT704" t="inlineStr"/>
      <c r="AU704" t="inlineStr"/>
      <c r="AV704" t="inlineStr"/>
      <c r="AW704" t="inlineStr"/>
      <c r="AX704" t="inlineStr"/>
      <c r="AY704" t="inlineStr"/>
      <c r="AZ704" t="inlineStr"/>
      <c r="BA704" t="inlineStr"/>
      <c r="BB704" t="inlineStr"/>
      <c r="BC704" t="inlineStr"/>
      <c r="BD704" t="inlineStr"/>
      <c r="BE704" t="inlineStr"/>
      <c r="BF704" t="inlineStr"/>
      <c r="BG704" t="n">
        <v>180</v>
      </c>
      <c r="BH704" t="inlineStr"/>
      <c r="BI704" t="inlineStr"/>
      <c r="BJ704" t="inlineStr"/>
      <c r="BK704" t="inlineStr"/>
      <c r="BL704" t="inlineStr"/>
      <c r="BM704" t="inlineStr">
        <is>
          <t>n</t>
        </is>
      </c>
      <c r="BN704" t="n">
        <v>0</v>
      </c>
      <c r="BO704" t="inlineStr"/>
      <c r="BP704" t="inlineStr"/>
      <c r="BQ704" t="inlineStr"/>
      <c r="BR704" t="inlineStr"/>
      <c r="BS704" t="inlineStr"/>
      <c r="BT704" t="inlineStr"/>
      <c r="BU704" t="inlineStr"/>
      <c r="BV704" t="inlineStr">
        <is>
          <t>Rest des Klemmeinbandes steht bei GF (in Mappe) hätte aber bei NF von Höhe her Platz (Regalboden ist allerdings mehr als voll)</t>
        </is>
      </c>
      <c r="BW704" t="inlineStr"/>
      <c r="BX704" t="inlineStr"/>
      <c r="BY704" t="inlineStr"/>
      <c r="BZ704" t="inlineStr"/>
      <c r="CA704" t="inlineStr"/>
      <c r="CB704" t="inlineStr"/>
      <c r="CC704" t="inlineStr"/>
      <c r="CD704" t="inlineStr"/>
      <c r="CE704" t="inlineStr"/>
      <c r="CF704" t="inlineStr"/>
      <c r="CG704" t="inlineStr"/>
      <c r="CH704" t="inlineStr"/>
      <c r="CI704" t="inlineStr"/>
      <c r="CJ704" t="inlineStr"/>
      <c r="CK704" t="inlineStr"/>
      <c r="CL704" t="inlineStr"/>
      <c r="CM704" t="inlineStr"/>
      <c r="CN704" t="inlineStr"/>
      <c r="CO704" t="inlineStr"/>
      <c r="CP704" t="inlineStr"/>
      <c r="CQ704" t="inlineStr"/>
      <c r="CR704" t="inlineStr"/>
      <c r="CS704" t="inlineStr"/>
      <c r="CT704" t="inlineStr"/>
      <c r="CU704" t="inlineStr"/>
      <c r="CV704" t="inlineStr"/>
      <c r="CW704" t="inlineStr"/>
      <c r="CX704" t="inlineStr"/>
      <c r="CY704" t="inlineStr"/>
      <c r="CZ704" t="inlineStr"/>
      <c r="DA704" t="inlineStr"/>
      <c r="DB704" t="inlineStr"/>
      <c r="DC704" t="inlineStr"/>
      <c r="DD704" t="inlineStr"/>
      <c r="DE704" t="inlineStr"/>
      <c r="DF704" t="inlineStr"/>
      <c r="DG704" t="inlineStr"/>
    </row>
    <row r="705">
      <c r="A705" t="inlineStr">
        <is>
          <t>III</t>
        </is>
      </c>
      <c r="B705" t="b">
        <v>1</v>
      </c>
      <c r="C705" t="inlineStr"/>
      <c r="D705" t="inlineStr"/>
      <c r="E705" t="n">
        <v>769</v>
      </c>
      <c r="F705">
        <f>HYPERLINK("https://portal.dnb.de/opac.htm?method=simpleSearch&amp;cqlMode=true&amp;query=idn%3D1066942129", "Portal")</f>
        <v/>
      </c>
      <c r="G705" t="inlineStr">
        <is>
          <t>Aaf</t>
        </is>
      </c>
      <c r="H705" t="inlineStr">
        <is>
          <t>L-1531-315469765</t>
        </is>
      </c>
      <c r="I705" t="inlineStr">
        <is>
          <t>1066942129</t>
        </is>
      </c>
      <c r="J705" t="inlineStr">
        <is>
          <t>III 73, 40</t>
        </is>
      </c>
      <c r="K705" t="inlineStr">
        <is>
          <t>III 73, 40</t>
        </is>
      </c>
      <c r="L705" t="inlineStr">
        <is>
          <t>III 73, 40</t>
        </is>
      </c>
      <c r="M705" t="inlineStr"/>
      <c r="N705" t="inlineStr">
        <is>
          <t xml:space="preserve">Nicolai Perotti libellus no infrugifer de metris Odarum Horatianarum : </t>
        </is>
      </c>
      <c r="O705" t="inlineStr">
        <is>
          <t xml:space="preserve"> : </t>
        </is>
      </c>
      <c r="P705" t="inlineStr">
        <is>
          <t>X</t>
        </is>
      </c>
      <c r="Q705" t="inlineStr"/>
      <c r="R705" t="inlineStr">
        <is>
          <t>Pergamentband, Schließen, erhabene Buchbeschläge</t>
        </is>
      </c>
      <c r="S705" t="inlineStr">
        <is>
          <t>bis 25 cm</t>
        </is>
      </c>
      <c r="T705" t="inlineStr">
        <is>
          <t>80° bis 110°, einseitig digitalisierbar?</t>
        </is>
      </c>
      <c r="U705" t="inlineStr">
        <is>
          <t>hohler Rücken, Einband mit Schutz- oder Stoßkanten</t>
        </is>
      </c>
      <c r="V705" t="inlineStr"/>
      <c r="W705" t="inlineStr">
        <is>
          <t>Kassette im Schuber</t>
        </is>
      </c>
      <c r="X705" t="inlineStr">
        <is>
          <t>Nein</t>
        </is>
      </c>
      <c r="Y705" t="n">
        <v>0</v>
      </c>
      <c r="Z705" t="inlineStr"/>
      <c r="AA705" t="inlineStr"/>
      <c r="AB705" t="inlineStr"/>
      <c r="AC705" t="inlineStr"/>
      <c r="AD705" t="inlineStr"/>
      <c r="AE705" t="inlineStr"/>
      <c r="AF705" t="inlineStr"/>
      <c r="AG705" t="inlineStr"/>
      <c r="AH705" t="inlineStr"/>
      <c r="AI705" t="inlineStr"/>
      <c r="AJ705" t="inlineStr"/>
      <c r="AK705" t="inlineStr"/>
      <c r="AL705" t="inlineStr"/>
      <c r="AM705" t="inlineStr"/>
      <c r="AN705" t="inlineStr"/>
      <c r="AO705" t="inlineStr"/>
      <c r="AP705" t="inlineStr"/>
      <c r="AQ705" t="inlineStr"/>
      <c r="AR705" t="inlineStr"/>
      <c r="AS705" t="inlineStr"/>
      <c r="AT705" t="inlineStr"/>
      <c r="AU705" t="inlineStr"/>
      <c r="AV705" t="inlineStr"/>
      <c r="AW705" t="inlineStr"/>
      <c r="AX705" t="inlineStr"/>
      <c r="AY705" t="inlineStr"/>
      <c r="AZ705" t="inlineStr"/>
      <c r="BA705" t="inlineStr"/>
      <c r="BB705" t="inlineStr"/>
      <c r="BC705" t="inlineStr"/>
      <c r="BD705" t="inlineStr"/>
      <c r="BE705" t="inlineStr"/>
      <c r="BF705" t="inlineStr"/>
      <c r="BG705" t="inlineStr"/>
      <c r="BH705" t="inlineStr"/>
      <c r="BI705" t="inlineStr"/>
      <c r="BJ705" t="inlineStr"/>
      <c r="BK705" t="inlineStr"/>
      <c r="BL705" t="inlineStr"/>
      <c r="BM705" t="inlineStr"/>
      <c r="BN705" t="n">
        <v>0</v>
      </c>
      <c r="BO705" t="inlineStr"/>
      <c r="BP705" t="inlineStr"/>
      <c r="BQ705" t="inlineStr"/>
      <c r="BR705" t="inlineStr"/>
      <c r="BS705" t="inlineStr"/>
      <c r="BT705" t="inlineStr"/>
      <c r="BU705" t="inlineStr"/>
      <c r="BV705" t="inlineStr"/>
      <c r="BW705" t="inlineStr"/>
      <c r="BX705" t="inlineStr"/>
      <c r="BY705" t="inlineStr"/>
      <c r="BZ705" t="inlineStr"/>
      <c r="CA705" t="inlineStr"/>
      <c r="CB705" t="inlineStr"/>
      <c r="CC705" t="inlineStr"/>
      <c r="CD705" t="inlineStr"/>
      <c r="CE705" t="inlineStr"/>
      <c r="CF705" t="inlineStr"/>
      <c r="CG705" t="inlineStr"/>
      <c r="CH705" t="inlineStr"/>
      <c r="CI705" t="inlineStr"/>
      <c r="CJ705" t="inlineStr"/>
      <c r="CK705" t="inlineStr"/>
      <c r="CL705" t="inlineStr"/>
      <c r="CM705" t="inlineStr"/>
      <c r="CN705" t="inlineStr"/>
      <c r="CO705" t="inlineStr"/>
      <c r="CP705" t="inlineStr"/>
      <c r="CQ705" t="inlineStr"/>
      <c r="CR705" t="inlineStr"/>
      <c r="CS705" t="inlineStr"/>
      <c r="CT705" t="inlineStr"/>
      <c r="CU705" t="inlineStr"/>
      <c r="CV705" t="inlineStr"/>
      <c r="CW705" t="inlineStr"/>
      <c r="CX705" t="inlineStr"/>
      <c r="CY705" t="inlineStr"/>
      <c r="CZ705" t="inlineStr"/>
      <c r="DA705" t="inlineStr"/>
      <c r="DB705" t="inlineStr"/>
      <c r="DC705" t="inlineStr"/>
      <c r="DD705" t="inlineStr"/>
      <c r="DE705" t="inlineStr"/>
      <c r="DF705" t="inlineStr"/>
      <c r="DG705" t="inlineStr"/>
    </row>
    <row r="706">
      <c r="A706" t="inlineStr">
        <is>
          <t>III</t>
        </is>
      </c>
      <c r="B706" t="b">
        <v>1</v>
      </c>
      <c r="C706" t="inlineStr"/>
      <c r="D706" t="inlineStr"/>
      <c r="E706" t="n">
        <v>812</v>
      </c>
      <c r="F706">
        <f>HYPERLINK("https://portal.dnb.de/opac.htm?method=simpleSearch&amp;cqlMode=true&amp;query=idn%3D994511248", "Portal")</f>
        <v/>
      </c>
      <c r="G706" t="inlineStr">
        <is>
          <t>Aal</t>
        </is>
      </c>
      <c r="H706" t="inlineStr">
        <is>
          <t>L-1543-156070618</t>
        </is>
      </c>
      <c r="I706" t="inlineStr">
        <is>
          <t>994511248</t>
        </is>
      </c>
      <c r="J706" t="inlineStr">
        <is>
          <t>III 73, 40 a</t>
        </is>
      </c>
      <c r="K706" t="inlineStr">
        <is>
          <t>III 73, 40 a</t>
        </is>
      </c>
      <c r="L706" t="inlineStr">
        <is>
          <t>III 73, 40 a</t>
        </is>
      </c>
      <c r="M706" t="inlineStr"/>
      <c r="N706" t="inlineStr">
        <is>
          <t>M[arcus] Tull[ius] Ciceronis de oratore dialogi tres, à Philippo Mela[n]chthone noua ac locupletiore quàm anteàv̄nquam locorum insignium enarratione i</t>
        </is>
      </c>
      <c r="O706" t="inlineStr">
        <is>
          <t xml:space="preserve"> : </t>
        </is>
      </c>
      <c r="P706" t="inlineStr">
        <is>
          <t>X</t>
        </is>
      </c>
      <c r="Q706" t="inlineStr">
        <is>
          <t>90,00 MDDR</t>
        </is>
      </c>
      <c r="R706" t="inlineStr">
        <is>
          <t>Ledereinband</t>
        </is>
      </c>
      <c r="S706" t="inlineStr">
        <is>
          <t>bis 25 cm</t>
        </is>
      </c>
      <c r="T706" t="inlineStr">
        <is>
          <t>80° bis 110°, einseitig digitalisierbar?</t>
        </is>
      </c>
      <c r="U706" t="inlineStr">
        <is>
          <t>fester Rücken mit Schmuckprägung, welliger Buchblock</t>
        </is>
      </c>
      <c r="V706" t="inlineStr"/>
      <c r="W706" t="inlineStr">
        <is>
          <t xml:space="preserve">Papierumschlag </t>
        </is>
      </c>
      <c r="X706" t="inlineStr">
        <is>
          <t>Ja</t>
        </is>
      </c>
      <c r="Y706" t="n">
        <v>0</v>
      </c>
      <c r="Z706" t="inlineStr"/>
      <c r="AA706" t="inlineStr"/>
      <c r="AB706" t="inlineStr"/>
      <c r="AC706" t="inlineStr"/>
      <c r="AD706" t="inlineStr"/>
      <c r="AE706" t="inlineStr"/>
      <c r="AF706" t="inlineStr"/>
      <c r="AG706" t="inlineStr"/>
      <c r="AH706" t="inlineStr"/>
      <c r="AI706" t="inlineStr"/>
      <c r="AJ706" t="inlineStr"/>
      <c r="AK706" t="inlineStr"/>
      <c r="AL706" t="inlineStr"/>
      <c r="AM706" t="inlineStr"/>
      <c r="AN706" t="inlineStr"/>
      <c r="AO706" t="inlineStr"/>
      <c r="AP706" t="inlineStr"/>
      <c r="AQ706" t="inlineStr"/>
      <c r="AR706" t="inlineStr"/>
      <c r="AS706" t="inlineStr"/>
      <c r="AT706" t="inlineStr"/>
      <c r="AU706" t="inlineStr"/>
      <c r="AV706" t="inlineStr"/>
      <c r="AW706" t="inlineStr"/>
      <c r="AX706" t="inlineStr"/>
      <c r="AY706" t="inlineStr"/>
      <c r="AZ706" t="inlineStr"/>
      <c r="BA706" t="inlineStr"/>
      <c r="BB706" t="inlineStr"/>
      <c r="BC706" t="inlineStr"/>
      <c r="BD706" t="inlineStr"/>
      <c r="BE706" t="inlineStr"/>
      <c r="BF706" t="inlineStr"/>
      <c r="BG706" t="inlineStr"/>
      <c r="BH706" t="inlineStr"/>
      <c r="BI706" t="inlineStr"/>
      <c r="BJ706" t="inlineStr"/>
      <c r="BK706" t="inlineStr"/>
      <c r="BL706" t="inlineStr"/>
      <c r="BM706" t="inlineStr"/>
      <c r="BN706" t="n">
        <v>0</v>
      </c>
      <c r="BO706" t="inlineStr"/>
      <c r="BP706" t="inlineStr"/>
      <c r="BQ706" t="inlineStr"/>
      <c r="BR706" t="inlineStr"/>
      <c r="BS706" t="inlineStr"/>
      <c r="BT706" t="inlineStr"/>
      <c r="BU706" t="inlineStr"/>
      <c r="BV706" t="inlineStr"/>
      <c r="BW706" t="inlineStr"/>
      <c r="BX706" t="inlineStr"/>
      <c r="BY706" t="inlineStr"/>
      <c r="BZ706" t="inlineStr"/>
      <c r="CA706" t="inlineStr"/>
      <c r="CB706" t="inlineStr"/>
      <c r="CC706" t="inlineStr"/>
      <c r="CD706" t="inlineStr"/>
      <c r="CE706" t="inlineStr"/>
      <c r="CF706" t="inlineStr"/>
      <c r="CG706" t="inlineStr"/>
      <c r="CH706" t="inlineStr"/>
      <c r="CI706" t="inlineStr"/>
      <c r="CJ706" t="inlineStr"/>
      <c r="CK706" t="inlineStr"/>
      <c r="CL706" t="inlineStr"/>
      <c r="CM706" t="inlineStr"/>
      <c r="CN706" t="inlineStr"/>
      <c r="CO706" t="inlineStr"/>
      <c r="CP706" t="inlineStr"/>
      <c r="CQ706" t="inlineStr"/>
      <c r="CR706" t="inlineStr"/>
      <c r="CS706" t="inlineStr"/>
      <c r="CT706" t="inlineStr"/>
      <c r="CU706" t="inlineStr"/>
      <c r="CV706" t="inlineStr"/>
      <c r="CW706" t="inlineStr"/>
      <c r="CX706" t="inlineStr"/>
      <c r="CY706" t="inlineStr"/>
      <c r="CZ706" t="inlineStr"/>
      <c r="DA706" t="inlineStr"/>
      <c r="DB706" t="inlineStr"/>
      <c r="DC706" t="inlineStr"/>
      <c r="DD706" t="inlineStr"/>
      <c r="DE706" t="inlineStr"/>
      <c r="DF706" t="inlineStr"/>
      <c r="DG706" t="inlineStr"/>
    </row>
    <row r="707">
      <c r="A707" t="inlineStr">
        <is>
          <t>III</t>
        </is>
      </c>
      <c r="B707" t="b">
        <v>1</v>
      </c>
      <c r="C707" t="inlineStr"/>
      <c r="D707" t="inlineStr"/>
      <c r="E707" t="inlineStr"/>
      <c r="F707">
        <f>HYPERLINK("https://portal.dnb.de/opac.htm?method=simpleSearch&amp;cqlMode=true&amp;query=idn%3D1263572855", "Portal")</f>
        <v/>
      </c>
      <c r="G707" t="inlineStr">
        <is>
          <t>Qd</t>
        </is>
      </c>
      <c r="H707" t="inlineStr">
        <is>
          <t>L-1524-786237503</t>
        </is>
      </c>
      <c r="I707" t="inlineStr">
        <is>
          <t>1263572855</t>
        </is>
      </c>
      <c r="J707" t="inlineStr">
        <is>
          <t>III 73, 40 b</t>
        </is>
      </c>
      <c r="K707" t="inlineStr">
        <is>
          <t>III 73, 40 b</t>
        </is>
      </c>
      <c r="L707" t="inlineStr">
        <is>
          <t>III 73, 40 b</t>
        </is>
      </c>
      <c r="M707" t="inlineStr"/>
      <c r="N707" t="inlineStr">
        <is>
          <t xml:space="preserve">Sammelband mit Teilausgabe und  Fragment des Alten Testaments, gedruckt von Simon Colinaeus, Paris : </t>
        </is>
      </c>
      <c r="O707" t="inlineStr">
        <is>
          <t xml:space="preserve"> : </t>
        </is>
      </c>
      <c r="P707" t="inlineStr"/>
      <c r="Q707" t="inlineStr"/>
      <c r="R707" t="inlineStr">
        <is>
          <t>Ledereinband, Schließen, erhabene Buchbeschläge</t>
        </is>
      </c>
      <c r="S707" t="inlineStr">
        <is>
          <t>bis 25 cm</t>
        </is>
      </c>
      <c r="T707" t="inlineStr">
        <is>
          <t>nur sehr geringer Öffnungswinkel</t>
        </is>
      </c>
      <c r="U707" t="inlineStr">
        <is>
          <t>fester Rücken mit Schmuckprägung, welliger Buchblock</t>
        </is>
      </c>
      <c r="V707" t="inlineStr"/>
      <c r="W707" t="inlineStr">
        <is>
          <t>Kassette</t>
        </is>
      </c>
      <c r="X707" t="inlineStr">
        <is>
          <t>Nein</t>
        </is>
      </c>
      <c r="Y707" t="n">
        <v>0</v>
      </c>
      <c r="Z707" t="inlineStr"/>
      <c r="AA707" t="inlineStr"/>
      <c r="AB707" t="inlineStr"/>
      <c r="AC707" t="inlineStr"/>
      <c r="AD707" t="inlineStr"/>
      <c r="AE707" t="inlineStr"/>
      <c r="AF707" t="inlineStr"/>
      <c r="AG707" t="inlineStr"/>
      <c r="AH707" t="inlineStr"/>
      <c r="AI707" t="inlineStr"/>
      <c r="AJ707" t="inlineStr"/>
      <c r="AK707" t="inlineStr"/>
      <c r="AL707" t="inlineStr"/>
      <c r="AM707" t="inlineStr"/>
      <c r="AN707" t="inlineStr"/>
      <c r="AO707" t="inlineStr"/>
      <c r="AP707" t="inlineStr"/>
      <c r="AQ707" t="inlineStr"/>
      <c r="AR707" t="inlineStr"/>
      <c r="AS707" t="inlineStr"/>
      <c r="AT707" t="inlineStr"/>
      <c r="AU707" t="inlineStr"/>
      <c r="AV707" t="inlineStr"/>
      <c r="AW707" t="inlineStr"/>
      <c r="AX707" t="inlineStr"/>
      <c r="AY707" t="inlineStr"/>
      <c r="AZ707" t="inlineStr"/>
      <c r="BA707" t="inlineStr"/>
      <c r="BB707" t="inlineStr"/>
      <c r="BC707" t="inlineStr"/>
      <c r="BD707" t="inlineStr"/>
      <c r="BE707" t="inlineStr"/>
      <c r="BF707" t="inlineStr"/>
      <c r="BG707" t="inlineStr"/>
      <c r="BH707" t="inlineStr"/>
      <c r="BI707" t="inlineStr"/>
      <c r="BJ707" t="inlineStr"/>
      <c r="BK707" t="inlineStr"/>
      <c r="BL707" t="inlineStr"/>
      <c r="BM707" t="inlineStr"/>
      <c r="BN707" t="n">
        <v>0</v>
      </c>
      <c r="BO707" t="inlineStr"/>
      <c r="BP707" t="inlineStr"/>
      <c r="BQ707" t="inlineStr"/>
      <c r="BR707" t="inlineStr"/>
      <c r="BS707" t="inlineStr"/>
      <c r="BT707" t="inlineStr"/>
      <c r="BU707" t="inlineStr"/>
      <c r="BV707" t="inlineStr"/>
      <c r="BW707" t="inlineStr"/>
      <c r="BX707" t="inlineStr"/>
      <c r="BY707" t="inlineStr"/>
      <c r="BZ707" t="inlineStr"/>
      <c r="CA707" t="inlineStr"/>
      <c r="CB707" t="inlineStr"/>
      <c r="CC707" t="inlineStr"/>
      <c r="CD707" t="inlineStr"/>
      <c r="CE707" t="inlineStr"/>
      <c r="CF707" t="inlineStr"/>
      <c r="CG707" t="inlineStr"/>
      <c r="CH707" t="inlineStr"/>
      <c r="CI707" t="inlineStr"/>
      <c r="CJ707" t="inlineStr"/>
      <c r="CK707" t="inlineStr"/>
      <c r="CL707" t="inlineStr"/>
      <c r="CM707" t="inlineStr"/>
      <c r="CN707" t="inlineStr"/>
      <c r="CO707" t="inlineStr"/>
      <c r="CP707" t="inlineStr"/>
      <c r="CQ707" t="inlineStr"/>
      <c r="CR707" t="inlineStr"/>
      <c r="CS707" t="inlineStr"/>
      <c r="CT707" t="inlineStr"/>
      <c r="CU707" t="inlineStr"/>
      <c r="CV707" t="inlineStr"/>
      <c r="CW707" t="inlineStr"/>
      <c r="CX707" t="inlineStr"/>
      <c r="CY707" t="inlineStr"/>
      <c r="CZ707" t="inlineStr"/>
      <c r="DA707" t="inlineStr"/>
      <c r="DB707" t="inlineStr"/>
      <c r="DC707" t="inlineStr"/>
      <c r="DD707" t="inlineStr"/>
      <c r="DE707" t="inlineStr"/>
      <c r="DF707" t="inlineStr"/>
      <c r="DG707" t="inlineStr"/>
    </row>
    <row r="708">
      <c r="A708" t="inlineStr">
        <is>
          <t>III</t>
        </is>
      </c>
      <c r="B708" t="b">
        <v>1</v>
      </c>
      <c r="C708" t="inlineStr"/>
      <c r="D708" t="inlineStr"/>
      <c r="E708" t="n">
        <v>770</v>
      </c>
      <c r="F708">
        <f>HYPERLINK("https://portal.dnb.de/opac.htm?method=simpleSearch&amp;cqlMode=true&amp;query=idn%3D1066935661", "Portal")</f>
        <v/>
      </c>
      <c r="G708" t="inlineStr">
        <is>
          <t>Aaf</t>
        </is>
      </c>
      <c r="H708" t="inlineStr">
        <is>
          <t>L-1531-315463600</t>
        </is>
      </c>
      <c r="I708" t="inlineStr">
        <is>
          <t>1066935661</t>
        </is>
      </c>
      <c r="J708" t="inlineStr">
        <is>
          <t>III 73, 41</t>
        </is>
      </c>
      <c r="K708" t="inlineStr">
        <is>
          <t>III 73, 41</t>
        </is>
      </c>
      <c r="L708" t="inlineStr">
        <is>
          <t>III 73, 41</t>
        </is>
      </c>
      <c r="M708" t="inlineStr"/>
      <c r="N708" t="inlineStr">
        <is>
          <t xml:space="preserve">Le @liure intitule Internelle consolation, tres utile et proffitable a tous chrestiens qui desirent faire le salut de leurs ames : </t>
        </is>
      </c>
      <c r="O708" t="inlineStr">
        <is>
          <t xml:space="preserve"> : </t>
        </is>
      </c>
      <c r="P708" t="inlineStr">
        <is>
          <t>X</t>
        </is>
      </c>
      <c r="Q708" t="inlineStr"/>
      <c r="R708" t="inlineStr">
        <is>
          <t>Ledereinband</t>
        </is>
      </c>
      <c r="S708" t="inlineStr">
        <is>
          <t>bis 25 cm</t>
        </is>
      </c>
      <c r="T708" t="inlineStr">
        <is>
          <t>180°</t>
        </is>
      </c>
      <c r="U708" t="inlineStr">
        <is>
          <t>hohler Rücken</t>
        </is>
      </c>
      <c r="V708" t="inlineStr"/>
      <c r="W708" t="inlineStr"/>
      <c r="X708" t="inlineStr">
        <is>
          <t>Signaturfahne austauschen</t>
        </is>
      </c>
      <c r="Y708" t="n">
        <v>0</v>
      </c>
      <c r="Z708" t="inlineStr"/>
      <c r="AA708" t="inlineStr"/>
      <c r="AB708" t="inlineStr"/>
      <c r="AC708" t="inlineStr"/>
      <c r="AD708" t="inlineStr"/>
      <c r="AE708" t="inlineStr"/>
      <c r="AF708" t="inlineStr"/>
      <c r="AG708" t="inlineStr"/>
      <c r="AH708" t="inlineStr"/>
      <c r="AI708" t="inlineStr"/>
      <c r="AJ708" t="inlineStr"/>
      <c r="AK708" t="inlineStr"/>
      <c r="AL708" t="inlineStr"/>
      <c r="AM708" t="inlineStr"/>
      <c r="AN708" t="inlineStr"/>
      <c r="AO708" t="inlineStr"/>
      <c r="AP708" t="inlineStr"/>
      <c r="AQ708" t="inlineStr"/>
      <c r="AR708" t="inlineStr"/>
      <c r="AS708" t="inlineStr"/>
      <c r="AT708" t="inlineStr"/>
      <c r="AU708" t="inlineStr"/>
      <c r="AV708" t="inlineStr"/>
      <c r="AW708" t="inlineStr"/>
      <c r="AX708" t="inlineStr"/>
      <c r="AY708" t="inlineStr"/>
      <c r="AZ708" t="inlineStr"/>
      <c r="BA708" t="inlineStr"/>
      <c r="BB708" t="inlineStr"/>
      <c r="BC708" t="inlineStr"/>
      <c r="BD708" t="inlineStr"/>
      <c r="BE708" t="inlineStr"/>
      <c r="BF708" t="inlineStr"/>
      <c r="BG708" t="inlineStr"/>
      <c r="BH708" t="inlineStr"/>
      <c r="BI708" t="inlineStr"/>
      <c r="BJ708" t="inlineStr"/>
      <c r="BK708" t="inlineStr"/>
      <c r="BL708" t="inlineStr"/>
      <c r="BM708" t="inlineStr"/>
      <c r="BN708" t="n">
        <v>0</v>
      </c>
      <c r="BO708" t="inlineStr"/>
      <c r="BP708" t="inlineStr"/>
      <c r="BQ708" t="inlineStr"/>
      <c r="BR708" t="inlineStr"/>
      <c r="BS708" t="inlineStr"/>
      <c r="BT708" t="inlineStr"/>
      <c r="BU708" t="inlineStr"/>
      <c r="BV708" t="inlineStr"/>
      <c r="BW708" t="inlineStr"/>
      <c r="BX708" t="inlineStr"/>
      <c r="BY708" t="inlineStr"/>
      <c r="BZ708" t="inlineStr"/>
      <c r="CA708" t="inlineStr"/>
      <c r="CB708" t="inlineStr"/>
      <c r="CC708" t="inlineStr"/>
      <c r="CD708" t="inlineStr"/>
      <c r="CE708" t="inlineStr"/>
      <c r="CF708" t="inlineStr"/>
      <c r="CG708" t="inlineStr"/>
      <c r="CH708" t="inlineStr"/>
      <c r="CI708" t="inlineStr"/>
      <c r="CJ708" t="inlineStr"/>
      <c r="CK708" t="inlineStr"/>
      <c r="CL708" t="inlineStr"/>
      <c r="CM708" t="inlineStr"/>
      <c r="CN708" t="inlineStr"/>
      <c r="CO708" t="inlineStr"/>
      <c r="CP708" t="inlineStr"/>
      <c r="CQ708" t="inlineStr"/>
      <c r="CR708" t="inlineStr"/>
      <c r="CS708" t="inlineStr"/>
      <c r="CT708" t="inlineStr"/>
      <c r="CU708" t="inlineStr"/>
      <c r="CV708" t="inlineStr"/>
      <c r="CW708" t="inlineStr"/>
      <c r="CX708" t="inlineStr"/>
      <c r="CY708" t="inlineStr"/>
      <c r="CZ708" t="inlineStr"/>
      <c r="DA708" t="inlineStr"/>
      <c r="DB708" t="inlineStr"/>
      <c r="DC708" t="inlineStr"/>
      <c r="DD708" t="inlineStr"/>
      <c r="DE708" t="inlineStr"/>
      <c r="DF708" t="inlineStr"/>
      <c r="DG708" t="inlineStr"/>
    </row>
    <row r="709">
      <c r="A709" t="inlineStr">
        <is>
          <t>III</t>
        </is>
      </c>
      <c r="B709" t="b">
        <v>1</v>
      </c>
      <c r="C709" t="inlineStr"/>
      <c r="D709" t="inlineStr"/>
      <c r="E709" t="n">
        <v>771</v>
      </c>
      <c r="F709">
        <f>HYPERLINK("https://portal.dnb.de/opac.htm?method=simpleSearch&amp;cqlMode=true&amp;query=idn%3D1066936692", "Portal")</f>
        <v/>
      </c>
      <c r="G709" t="inlineStr">
        <is>
          <t>Aaf</t>
        </is>
      </c>
      <c r="H709" t="inlineStr">
        <is>
          <t>L-1536-315464526</t>
        </is>
      </c>
      <c r="I709" t="inlineStr">
        <is>
          <t>1066936692</t>
        </is>
      </c>
      <c r="J709" t="inlineStr">
        <is>
          <t>III 73, 42</t>
        </is>
      </c>
      <c r="K709" t="inlineStr">
        <is>
          <t>III 73, 42</t>
        </is>
      </c>
      <c r="L709" t="inlineStr">
        <is>
          <t>III 73, 42</t>
        </is>
      </c>
      <c r="M709" t="inlineStr"/>
      <c r="N709" t="inlineStr">
        <is>
          <t>Flaue Uegece Rene homme noble et illustre du fait de guerre, et fleur de cheualerie : quatre liures</t>
        </is>
      </c>
      <c r="O709" t="inlineStr">
        <is>
          <t xml:space="preserve"> : </t>
        </is>
      </c>
      <c r="P709" t="inlineStr">
        <is>
          <t>X</t>
        </is>
      </c>
      <c r="Q709" t="inlineStr"/>
      <c r="R709" t="inlineStr">
        <is>
          <t>Ledereinband</t>
        </is>
      </c>
      <c r="S709" t="inlineStr">
        <is>
          <t>bis 35 cm</t>
        </is>
      </c>
      <c r="T709" t="inlineStr">
        <is>
          <t>180°</t>
        </is>
      </c>
      <c r="U709" t="inlineStr">
        <is>
          <t>fester Rücken mit Schmuckprägung</t>
        </is>
      </c>
      <c r="V709" t="inlineStr"/>
      <c r="W709" t="inlineStr">
        <is>
          <t xml:space="preserve">Papierumschlag </t>
        </is>
      </c>
      <c r="X709" t="inlineStr">
        <is>
          <t>Ja</t>
        </is>
      </c>
      <c r="Y709" t="n">
        <v>0</v>
      </c>
      <c r="Z709" t="inlineStr"/>
      <c r="AA709" t="inlineStr"/>
      <c r="AB709" t="inlineStr"/>
      <c r="AC709" t="inlineStr"/>
      <c r="AD709" t="inlineStr"/>
      <c r="AE709" t="inlineStr"/>
      <c r="AF709" t="inlineStr"/>
      <c r="AG709" t="inlineStr"/>
      <c r="AH709" t="inlineStr"/>
      <c r="AI709" t="inlineStr"/>
      <c r="AJ709" t="inlineStr"/>
      <c r="AK709" t="inlineStr"/>
      <c r="AL709" t="inlineStr"/>
      <c r="AM709" t="inlineStr"/>
      <c r="AN709" t="inlineStr"/>
      <c r="AO709" t="inlineStr"/>
      <c r="AP709" t="inlineStr"/>
      <c r="AQ709" t="inlineStr"/>
      <c r="AR709" t="inlineStr"/>
      <c r="AS709" t="inlineStr"/>
      <c r="AT709" t="inlineStr"/>
      <c r="AU709" t="inlineStr"/>
      <c r="AV709" t="inlineStr"/>
      <c r="AW709" t="inlineStr"/>
      <c r="AX709" t="inlineStr"/>
      <c r="AY709" t="inlineStr"/>
      <c r="AZ709" t="inlineStr"/>
      <c r="BA709" t="inlineStr"/>
      <c r="BB709" t="inlineStr"/>
      <c r="BC709" t="inlineStr"/>
      <c r="BD709" t="inlineStr"/>
      <c r="BE709" t="inlineStr"/>
      <c r="BF709" t="inlineStr"/>
      <c r="BG709" t="inlineStr"/>
      <c r="BH709" t="inlineStr"/>
      <c r="BI709" t="inlineStr"/>
      <c r="BJ709" t="inlineStr"/>
      <c r="BK709" t="inlineStr"/>
      <c r="BL709" t="inlineStr"/>
      <c r="BM709" t="inlineStr"/>
      <c r="BN709" t="n">
        <v>0</v>
      </c>
      <c r="BO709" t="inlineStr"/>
      <c r="BP709" t="inlineStr"/>
      <c r="BQ709" t="inlineStr"/>
      <c r="BR709" t="inlineStr"/>
      <c r="BS709" t="inlineStr"/>
      <c r="BT709" t="inlineStr"/>
      <c r="BU709" t="inlineStr"/>
      <c r="BV709" t="inlineStr"/>
      <c r="BW709" t="inlineStr"/>
      <c r="BX709" t="inlineStr"/>
      <c r="BY709" t="inlineStr"/>
      <c r="BZ709" t="inlineStr"/>
      <c r="CA709" t="inlineStr"/>
      <c r="CB709" t="inlineStr"/>
      <c r="CC709" t="inlineStr"/>
      <c r="CD709" t="inlineStr"/>
      <c r="CE709" t="inlineStr"/>
      <c r="CF709" t="inlineStr"/>
      <c r="CG709" t="inlineStr"/>
      <c r="CH709" t="inlineStr"/>
      <c r="CI709" t="inlineStr"/>
      <c r="CJ709" t="inlineStr"/>
      <c r="CK709" t="inlineStr"/>
      <c r="CL709" t="inlineStr"/>
      <c r="CM709" t="inlineStr"/>
      <c r="CN709" t="inlineStr"/>
      <c r="CO709" t="inlineStr"/>
      <c r="CP709" t="inlineStr"/>
      <c r="CQ709" t="inlineStr"/>
      <c r="CR709" t="inlineStr"/>
      <c r="CS709" t="inlineStr"/>
      <c r="CT709" t="inlineStr"/>
      <c r="CU709" t="inlineStr"/>
      <c r="CV709" t="inlineStr"/>
      <c r="CW709" t="inlineStr"/>
      <c r="CX709" t="inlineStr"/>
      <c r="CY709" t="inlineStr"/>
      <c r="CZ709" t="inlineStr"/>
      <c r="DA709" t="inlineStr"/>
      <c r="DB709" t="inlineStr"/>
      <c r="DC709" t="inlineStr"/>
      <c r="DD709" t="inlineStr"/>
      <c r="DE709" t="inlineStr"/>
      <c r="DF709" t="inlineStr"/>
      <c r="DG709" t="inlineStr"/>
    </row>
    <row r="710">
      <c r="A710" t="inlineStr">
        <is>
          <t>III</t>
        </is>
      </c>
      <c r="B710" t="b">
        <v>1</v>
      </c>
      <c r="C710" t="inlineStr"/>
      <c r="D710" t="inlineStr"/>
      <c r="E710" t="n">
        <v>815</v>
      </c>
      <c r="F710">
        <f>HYPERLINK("https://portal.dnb.de/opac.htm?method=simpleSearch&amp;cqlMode=true&amp;query=idn%3D995009910", "Portal")</f>
        <v/>
      </c>
      <c r="G710" t="inlineStr">
        <is>
          <t>Aal</t>
        </is>
      </c>
      <c r="H710" t="inlineStr">
        <is>
          <t>L-1535-158504658</t>
        </is>
      </c>
      <c r="I710" t="inlineStr">
        <is>
          <t>995009910</t>
        </is>
      </c>
      <c r="J710" t="inlineStr">
        <is>
          <t>III 73, 42 a</t>
        </is>
      </c>
      <c r="K710" t="inlineStr">
        <is>
          <t>III 73, 42 a</t>
        </is>
      </c>
      <c r="L710" t="inlineStr">
        <is>
          <t>III 73, 42 a</t>
        </is>
      </c>
      <c r="M710" t="inlineStr"/>
      <c r="N710" t="inlineStr">
        <is>
          <t xml:space="preserve">Alberti|| Dvreri picto||ris et architecti prae||stantissimi de vrbibvs, arcibvs,|| castellisque condensis, ac muniendis rationes|| aliquot, praesenti </t>
        </is>
      </c>
      <c r="O710" t="inlineStr">
        <is>
          <t xml:space="preserve"> : </t>
        </is>
      </c>
      <c r="P710" t="inlineStr">
        <is>
          <t>X</t>
        </is>
      </c>
      <c r="Q710" t="inlineStr"/>
      <c r="R710" t="inlineStr">
        <is>
          <t>Ledereinband</t>
        </is>
      </c>
      <c r="S710" t="inlineStr">
        <is>
          <t>bis 35 cm</t>
        </is>
      </c>
      <c r="T710" t="inlineStr">
        <is>
          <t>180°</t>
        </is>
      </c>
      <c r="U710" t="inlineStr">
        <is>
          <t>fester Rücken mit Schmuckprägung, gefaltete Blätter, welliger Buchblock</t>
        </is>
      </c>
      <c r="V710" t="inlineStr"/>
      <c r="W710" t="inlineStr">
        <is>
          <t xml:space="preserve">Papierumschlag </t>
        </is>
      </c>
      <c r="X710" t="inlineStr">
        <is>
          <t>Ja</t>
        </is>
      </c>
      <c r="Y710" t="n">
        <v>1</v>
      </c>
      <c r="Z710" t="inlineStr"/>
      <c r="AA710" t="inlineStr"/>
      <c r="AB710" t="inlineStr"/>
      <c r="AC710" t="inlineStr"/>
      <c r="AD710" t="inlineStr"/>
      <c r="AE710" t="inlineStr"/>
      <c r="AF710" t="inlineStr"/>
      <c r="AG710" t="inlineStr"/>
      <c r="AH710" t="inlineStr"/>
      <c r="AI710" t="inlineStr">
        <is>
          <t>L</t>
        </is>
      </c>
      <c r="AJ710" t="inlineStr"/>
      <c r="AK710" t="inlineStr"/>
      <c r="AL710" t="inlineStr"/>
      <c r="AM710" t="inlineStr">
        <is>
          <t>f/V</t>
        </is>
      </c>
      <c r="AN710" t="inlineStr"/>
      <c r="AO710" t="inlineStr"/>
      <c r="AP710" t="inlineStr"/>
      <c r="AQ710" t="inlineStr"/>
      <c r="AR710" t="inlineStr"/>
      <c r="AS710" t="inlineStr">
        <is>
          <t>Pa</t>
        </is>
      </c>
      <c r="AT710" t="inlineStr"/>
      <c r="AU710" t="inlineStr"/>
      <c r="AV710" t="inlineStr"/>
      <c r="AW710" t="inlineStr"/>
      <c r="AX710" t="inlineStr"/>
      <c r="AY710" t="inlineStr"/>
      <c r="AZ710" t="inlineStr">
        <is>
          <t>x</t>
        </is>
      </c>
      <c r="BA710" t="inlineStr">
        <is>
          <t>B: 22x33
F: 34x33</t>
        </is>
      </c>
      <c r="BB710" t="inlineStr"/>
      <c r="BC710" t="inlineStr"/>
      <c r="BD710" t="inlineStr"/>
      <c r="BE710" t="inlineStr"/>
      <c r="BF710" t="inlineStr"/>
      <c r="BG710" t="n">
        <v>110</v>
      </c>
      <c r="BH710" t="inlineStr"/>
      <c r="BI710" t="inlineStr"/>
      <c r="BJ710" t="inlineStr"/>
      <c r="BK710" t="inlineStr"/>
      <c r="BL710" t="inlineStr">
        <is>
          <t>x</t>
        </is>
      </c>
      <c r="BM710" t="inlineStr">
        <is>
          <t>n</t>
        </is>
      </c>
      <c r="BN710" t="n">
        <v>0</v>
      </c>
      <c r="BO710" t="inlineStr"/>
      <c r="BP710" t="inlineStr"/>
      <c r="BQ710" t="inlineStr"/>
      <c r="BR710" t="inlineStr"/>
      <c r="BS710" t="inlineStr"/>
      <c r="BT710" t="inlineStr">
        <is>
          <t>x sauer</t>
        </is>
      </c>
      <c r="BU710" t="inlineStr">
        <is>
          <t>x</t>
        </is>
      </c>
      <c r="BV710" t="inlineStr"/>
      <c r="BW710" t="inlineStr"/>
      <c r="BX710" t="inlineStr"/>
      <c r="BY710" t="inlineStr"/>
      <c r="BZ710" t="inlineStr"/>
      <c r="CA710" t="inlineStr"/>
      <c r="CB710" t="inlineStr"/>
      <c r="CC710" t="inlineStr"/>
      <c r="CD710" t="inlineStr"/>
      <c r="CE710" t="inlineStr"/>
      <c r="CF710" t="inlineStr"/>
      <c r="CG710" t="inlineStr"/>
      <c r="CH710" t="inlineStr"/>
      <c r="CI710" t="inlineStr"/>
      <c r="CJ710" t="inlineStr"/>
      <c r="CK710" t="inlineStr"/>
      <c r="CL710" t="inlineStr"/>
      <c r="CM710" t="inlineStr"/>
      <c r="CN710" t="inlineStr"/>
      <c r="CO710" t="inlineStr"/>
      <c r="CP710" t="inlineStr"/>
      <c r="CQ710" t="inlineStr"/>
      <c r="CR710" t="inlineStr"/>
      <c r="CS710" t="inlineStr"/>
      <c r="CT710" t="inlineStr"/>
      <c r="CU710" t="inlineStr"/>
      <c r="CV710" t="inlineStr"/>
      <c r="CW710" t="inlineStr"/>
      <c r="CX710" t="inlineStr"/>
      <c r="CY710" t="inlineStr"/>
      <c r="CZ710" t="inlineStr"/>
      <c r="DA710" t="inlineStr"/>
      <c r="DB710" t="inlineStr"/>
      <c r="DC710" t="inlineStr"/>
      <c r="DD710" t="inlineStr"/>
      <c r="DE710" t="inlineStr"/>
      <c r="DF710" t="inlineStr"/>
      <c r="DG710" t="inlineStr"/>
    </row>
    <row r="711">
      <c r="A711" t="inlineStr">
        <is>
          <t>III</t>
        </is>
      </c>
      <c r="B711" t="b">
        <v>1</v>
      </c>
      <c r="C711" t="inlineStr"/>
      <c r="D711" t="inlineStr"/>
      <c r="E711" t="n">
        <v>816</v>
      </c>
      <c r="F711">
        <f>HYPERLINK("https://portal.dnb.de/opac.htm?method=simpleSearch&amp;cqlMode=true&amp;query=idn%3D993976174", "Portal")</f>
        <v/>
      </c>
      <c r="G711" t="inlineStr">
        <is>
          <t>Aal</t>
        </is>
      </c>
      <c r="H711" t="inlineStr">
        <is>
          <t>L-1549-15411684X</t>
        </is>
      </c>
      <c r="I711" t="inlineStr">
        <is>
          <t>993976174</t>
        </is>
      </c>
      <c r="J711" t="inlineStr">
        <is>
          <t>III 73, 42/b</t>
        </is>
      </c>
      <c r="K711" t="inlineStr">
        <is>
          <t>III 73, 42/b</t>
        </is>
      </c>
      <c r="L711" t="inlineStr">
        <is>
          <t>III 73, 42/b</t>
        </is>
      </c>
      <c r="M711" t="inlineStr"/>
      <c r="N711" t="inlineStr">
        <is>
          <t>Aristophanis Poe͏̈te|| COMICI PLVTVS, IAM NVNC|| per Carolum Girardum Bituricum Latinus|| factas, Commentarijs insuper sanè|| quàm vtiliß. recèns illu</t>
        </is>
      </c>
      <c r="O711" t="inlineStr">
        <is>
          <t xml:space="preserve"> : </t>
        </is>
      </c>
      <c r="P711" t="inlineStr">
        <is>
          <t>X</t>
        </is>
      </c>
      <c r="Q711" t="inlineStr"/>
      <c r="R711" t="inlineStr">
        <is>
          <t>Gewebeeinband</t>
        </is>
      </c>
      <c r="S711" t="inlineStr">
        <is>
          <t>bis 25 cm</t>
        </is>
      </c>
      <c r="T711" t="inlineStr">
        <is>
          <t>180°</t>
        </is>
      </c>
      <c r="U711" t="inlineStr">
        <is>
          <t>hohler Rücken, welliger Buchblock</t>
        </is>
      </c>
      <c r="V711" t="inlineStr"/>
      <c r="W711" t="inlineStr"/>
      <c r="X711" t="inlineStr"/>
      <c r="Y711" t="n">
        <v>2</v>
      </c>
      <c r="Z711" t="inlineStr"/>
      <c r="AA711" t="inlineStr"/>
      <c r="AB711" t="inlineStr"/>
      <c r="AC711" t="inlineStr"/>
      <c r="AD711" t="inlineStr"/>
      <c r="AE711" t="inlineStr"/>
      <c r="AF711" t="inlineStr"/>
      <c r="AG711" t="inlineStr"/>
      <c r="AH711" t="inlineStr"/>
      <c r="AI711" t="inlineStr">
        <is>
          <t>G</t>
        </is>
      </c>
      <c r="AJ711" t="inlineStr"/>
      <c r="AK711" t="inlineStr">
        <is>
          <t>x</t>
        </is>
      </c>
      <c r="AL711" t="inlineStr"/>
      <c r="AM711" t="inlineStr">
        <is>
          <t>h/E</t>
        </is>
      </c>
      <c r="AN711" t="inlineStr"/>
      <c r="AO711" t="inlineStr"/>
      <c r="AP711" t="inlineStr"/>
      <c r="AQ711" t="inlineStr"/>
      <c r="AR711" t="inlineStr"/>
      <c r="AS711" t="inlineStr">
        <is>
          <t>Pa</t>
        </is>
      </c>
      <c r="AT711" t="inlineStr">
        <is>
          <t>x</t>
        </is>
      </c>
      <c r="AU711" t="inlineStr"/>
      <c r="AV711" t="inlineStr"/>
      <c r="AW711" t="inlineStr"/>
      <c r="AX711" t="inlineStr"/>
      <c r="AY711" t="inlineStr"/>
      <c r="AZ711" t="inlineStr"/>
      <c r="BA711" t="inlineStr"/>
      <c r="BB711" t="inlineStr"/>
      <c r="BC711" t="inlineStr"/>
      <c r="BD711" t="inlineStr"/>
      <c r="BE711" t="inlineStr"/>
      <c r="BF711" t="inlineStr"/>
      <c r="BG711" t="n">
        <v>110</v>
      </c>
      <c r="BH711" t="inlineStr"/>
      <c r="BI711" t="inlineStr"/>
      <c r="BJ711" t="inlineStr"/>
      <c r="BK711" t="inlineStr"/>
      <c r="BL711" t="inlineStr"/>
      <c r="BM711" t="inlineStr">
        <is>
          <t>n</t>
        </is>
      </c>
      <c r="BN711" t="n">
        <v>0</v>
      </c>
      <c r="BO711" t="inlineStr"/>
      <c r="BP711" t="inlineStr"/>
      <c r="BQ711" t="inlineStr"/>
      <c r="BR711" t="inlineStr"/>
      <c r="BS711" t="inlineStr"/>
      <c r="BT711" t="inlineStr"/>
      <c r="BU711" t="inlineStr"/>
      <c r="BV711" t="inlineStr">
        <is>
          <t>Schaden stabil</t>
        </is>
      </c>
      <c r="BW711" t="inlineStr"/>
      <c r="BX711" t="inlineStr"/>
      <c r="BY711" t="inlineStr"/>
      <c r="BZ711" t="inlineStr"/>
      <c r="CA711" t="inlineStr"/>
      <c r="CB711" t="inlineStr"/>
      <c r="CC711" t="inlineStr"/>
      <c r="CD711" t="inlineStr"/>
      <c r="CE711" t="inlineStr"/>
      <c r="CF711" t="inlineStr"/>
      <c r="CG711" t="inlineStr"/>
      <c r="CH711" t="inlineStr"/>
      <c r="CI711" t="inlineStr"/>
      <c r="CJ711" t="inlineStr"/>
      <c r="CK711" t="inlineStr"/>
      <c r="CL711" t="inlineStr"/>
      <c r="CM711" t="inlineStr"/>
      <c r="CN711" t="inlineStr"/>
      <c r="CO711" t="inlineStr"/>
      <c r="CP711" t="inlineStr"/>
      <c r="CQ711" t="inlineStr"/>
      <c r="CR711" t="inlineStr"/>
      <c r="CS711" t="inlineStr"/>
      <c r="CT711" t="inlineStr"/>
      <c r="CU711" t="inlineStr"/>
      <c r="CV711" t="inlineStr"/>
      <c r="CW711" t="inlineStr"/>
      <c r="CX711" t="inlineStr"/>
      <c r="CY711" t="inlineStr"/>
      <c r="CZ711" t="inlineStr"/>
      <c r="DA711" t="inlineStr"/>
      <c r="DB711" t="inlineStr"/>
      <c r="DC711" t="inlineStr"/>
      <c r="DD711" t="inlineStr"/>
      <c r="DE711" t="inlineStr"/>
      <c r="DF711" t="inlineStr"/>
      <c r="DG711" t="inlineStr"/>
    </row>
    <row r="712">
      <c r="A712" t="inlineStr">
        <is>
          <t>III</t>
        </is>
      </c>
      <c r="B712" t="b">
        <v>1</v>
      </c>
      <c r="C712" t="inlineStr"/>
      <c r="D712" t="inlineStr"/>
      <c r="E712" t="n">
        <v>772</v>
      </c>
      <c r="F712">
        <f>HYPERLINK("https://portal.dnb.de/opac.htm?method=simpleSearch&amp;cqlMode=true&amp;query=idn%3D993914640", "Portal")</f>
        <v/>
      </c>
      <c r="G712" t="inlineStr">
        <is>
          <t>Aal</t>
        </is>
      </c>
      <c r="H712" t="inlineStr">
        <is>
          <t>L-1539-154002895</t>
        </is>
      </c>
      <c r="I712" t="inlineStr">
        <is>
          <t>993914640</t>
        </is>
      </c>
      <c r="J712" t="inlineStr">
        <is>
          <t>III 73, 43</t>
        </is>
      </c>
      <c r="K712" t="inlineStr">
        <is>
          <t>III 73, 43</t>
        </is>
      </c>
      <c r="L712" t="inlineStr">
        <is>
          <t>III 73, 43</t>
        </is>
      </c>
      <c r="M712" t="inlineStr"/>
      <c r="N712" t="inlineStr">
        <is>
          <t>DIVI AMBROSII|| Episcopi Mediolanensis omnia ope-||RA, PER ERVDITOS VIROS EX ACCVRATA DIVER-||sorum codicum collatione eme︠data ...|| in quatuor ordin</t>
        </is>
      </c>
      <c r="O712" t="inlineStr">
        <is>
          <t xml:space="preserve"> : </t>
        </is>
      </c>
      <c r="P712" t="inlineStr"/>
      <c r="Q712" t="inlineStr"/>
      <c r="R712" t="inlineStr"/>
      <c r="S712" t="inlineStr">
        <is>
          <t>bis 42 cm</t>
        </is>
      </c>
      <c r="T712" t="inlineStr"/>
      <c r="U712" t="inlineStr"/>
      <c r="V712" t="inlineStr"/>
      <c r="W712" t="inlineStr"/>
      <c r="X712" t="inlineStr"/>
      <c r="Y712" t="inlineStr"/>
      <c r="Z712" t="inlineStr"/>
      <c r="AA712" t="inlineStr"/>
      <c r="AB712" t="inlineStr"/>
      <c r="AC712" t="inlineStr"/>
      <c r="AD712" t="inlineStr"/>
      <c r="AE712" t="inlineStr"/>
      <c r="AF712" t="inlineStr"/>
      <c r="AG712" t="inlineStr"/>
      <c r="AH712" t="inlineStr"/>
      <c r="AI712" t="inlineStr">
        <is>
          <t>HD</t>
        </is>
      </c>
      <c r="AJ712" t="inlineStr"/>
      <c r="AK712" t="inlineStr">
        <is>
          <t>x</t>
        </is>
      </c>
      <c r="AL712" t="inlineStr"/>
      <c r="AM712" t="inlineStr">
        <is>
          <t>f/V</t>
        </is>
      </c>
      <c r="AN712" t="inlineStr"/>
      <c r="AO712" t="inlineStr"/>
      <c r="AP712" t="inlineStr"/>
      <c r="AQ712" t="inlineStr"/>
      <c r="AR712" t="inlineStr">
        <is>
          <t>x</t>
        </is>
      </c>
      <c r="AS712" t="inlineStr">
        <is>
          <t>Pa</t>
        </is>
      </c>
      <c r="AT712" t="inlineStr"/>
      <c r="AU712" t="inlineStr"/>
      <c r="AV712" t="inlineStr"/>
      <c r="AW712" t="inlineStr"/>
      <c r="AX712" t="inlineStr"/>
      <c r="AY712" t="inlineStr"/>
      <c r="AZ712" t="inlineStr"/>
      <c r="BA712" t="inlineStr"/>
      <c r="BB712" t="inlineStr"/>
      <c r="BC712" t="inlineStr"/>
      <c r="BD712" t="inlineStr"/>
      <c r="BE712" t="inlineStr"/>
      <c r="BF712" t="inlineStr"/>
      <c r="BG712" t="n">
        <v>80</v>
      </c>
      <c r="BH712" t="inlineStr"/>
      <c r="BI712" t="inlineStr"/>
      <c r="BJ712" t="inlineStr"/>
      <c r="BK712" t="inlineStr"/>
      <c r="BL712" t="inlineStr"/>
      <c r="BM712" t="inlineStr">
        <is>
          <t>n</t>
        </is>
      </c>
      <c r="BN712" t="n">
        <v>0</v>
      </c>
      <c r="BO712" t="inlineStr"/>
      <c r="BP712" t="inlineStr"/>
      <c r="BQ712" t="inlineStr"/>
      <c r="BR712" t="inlineStr"/>
      <c r="BS712" t="inlineStr"/>
      <c r="BT712" t="inlineStr"/>
      <c r="BU712" t="inlineStr"/>
      <c r="BV712" t="inlineStr"/>
      <c r="BW712" t="inlineStr"/>
      <c r="BX712" t="inlineStr"/>
      <c r="BY712" t="inlineStr"/>
      <c r="BZ712" t="inlineStr"/>
      <c r="CA712" t="inlineStr"/>
      <c r="CB712" t="inlineStr"/>
      <c r="CC712" t="inlineStr"/>
      <c r="CD712" t="inlineStr"/>
      <c r="CE712" t="inlineStr"/>
      <c r="CF712" t="inlineStr"/>
      <c r="CG712" t="inlineStr"/>
      <c r="CH712" t="inlineStr"/>
      <c r="CI712" t="inlineStr"/>
      <c r="CJ712" t="inlineStr"/>
      <c r="CK712" t="inlineStr"/>
      <c r="CL712" t="inlineStr"/>
      <c r="CM712" t="inlineStr"/>
      <c r="CN712" t="inlineStr"/>
      <c r="CO712" t="inlineStr"/>
      <c r="CP712" t="inlineStr"/>
      <c r="CQ712" t="inlineStr"/>
      <c r="CR712" t="inlineStr"/>
      <c r="CS712" t="inlineStr"/>
      <c r="CT712" t="inlineStr"/>
      <c r="CU712" t="inlineStr"/>
      <c r="CV712" t="inlineStr"/>
      <c r="CW712" t="inlineStr"/>
      <c r="CX712" t="inlineStr"/>
      <c r="CY712" t="inlineStr"/>
      <c r="CZ712" t="inlineStr"/>
      <c r="DA712" t="inlineStr"/>
      <c r="DB712" t="inlineStr"/>
      <c r="DC712" t="inlineStr"/>
      <c r="DD712" t="inlineStr"/>
      <c r="DE712" t="inlineStr"/>
      <c r="DF712" t="inlineStr"/>
      <c r="DG712" t="inlineStr"/>
    </row>
    <row r="713">
      <c r="A713" t="inlineStr">
        <is>
          <t>III</t>
        </is>
      </c>
      <c r="B713" t="b">
        <v>1</v>
      </c>
      <c r="C713" t="inlineStr"/>
      <c r="D713" t="inlineStr"/>
      <c r="E713" t="n">
        <v>773</v>
      </c>
      <c r="F713">
        <f>HYPERLINK("https://portal.dnb.de/opac.htm?method=simpleSearch&amp;cqlMode=true&amp;query=idn%3D1066927502", "Portal")</f>
        <v/>
      </c>
      <c r="G713" t="inlineStr">
        <is>
          <t>Aaf</t>
        </is>
      </c>
      <c r="H713" t="inlineStr">
        <is>
          <t>L-1542-315456256</t>
        </is>
      </c>
      <c r="I713" t="inlineStr">
        <is>
          <t>1066927502</t>
        </is>
      </c>
      <c r="J713" t="inlineStr">
        <is>
          <t>III 73, 44</t>
        </is>
      </c>
      <c r="K713" t="inlineStr">
        <is>
          <t>III 73, 44</t>
        </is>
      </c>
      <c r="L713" t="inlineStr">
        <is>
          <t>III 73, 44</t>
        </is>
      </c>
      <c r="M713" t="inlineStr"/>
      <c r="N713" t="inlineStr">
        <is>
          <t>Dialogi aliquot Joannis Ravisii Textoris : Niuernensis mendis compluribus repurgati studiosae iuventuti non minus vtiles quàm iucundi ; Adjecta sunt a</t>
        </is>
      </c>
      <c r="O713" t="inlineStr">
        <is>
          <t xml:space="preserve"> : </t>
        </is>
      </c>
      <c r="P713" t="inlineStr">
        <is>
          <t>X</t>
        </is>
      </c>
      <c r="Q713" t="inlineStr"/>
      <c r="R713" t="inlineStr">
        <is>
          <t>Gewebeeinband</t>
        </is>
      </c>
      <c r="S713" t="inlineStr">
        <is>
          <t>bis 25 cm</t>
        </is>
      </c>
      <c r="T713" t="inlineStr">
        <is>
          <t>80° bis 110°, einseitig digitalisierbar?</t>
        </is>
      </c>
      <c r="U713" t="inlineStr">
        <is>
          <t>hohler Rücken, welliger Buchblock</t>
        </is>
      </c>
      <c r="V713" t="inlineStr"/>
      <c r="W713" t="inlineStr"/>
      <c r="X713" t="inlineStr">
        <is>
          <t>Signaturfahne austauschen</t>
        </is>
      </c>
      <c r="Y713" t="n">
        <v>0</v>
      </c>
      <c r="Z713" t="inlineStr"/>
      <c r="AA713" t="inlineStr"/>
      <c r="AB713" t="inlineStr"/>
      <c r="AC713" t="inlineStr"/>
      <c r="AD713" t="inlineStr"/>
      <c r="AE713" t="inlineStr"/>
      <c r="AF713" t="inlineStr"/>
      <c r="AG713" t="inlineStr"/>
      <c r="AH713" t="inlineStr"/>
      <c r="AI713" t="inlineStr"/>
      <c r="AJ713" t="inlineStr"/>
      <c r="AK713" t="inlineStr"/>
      <c r="AL713" t="inlineStr"/>
      <c r="AM713" t="inlineStr"/>
      <c r="AN713" t="inlineStr"/>
      <c r="AO713" t="inlineStr"/>
      <c r="AP713" t="inlineStr"/>
      <c r="AQ713" t="inlineStr"/>
      <c r="AR713" t="inlineStr"/>
      <c r="AS713" t="inlineStr"/>
      <c r="AT713" t="inlineStr"/>
      <c r="AU713" t="inlineStr"/>
      <c r="AV713" t="inlineStr"/>
      <c r="AW713" t="inlineStr"/>
      <c r="AX713" t="inlineStr"/>
      <c r="AY713" t="inlineStr"/>
      <c r="AZ713" t="inlineStr"/>
      <c r="BA713" t="inlineStr"/>
      <c r="BB713" t="inlineStr"/>
      <c r="BC713" t="inlineStr"/>
      <c r="BD713" t="inlineStr"/>
      <c r="BE713" t="inlineStr"/>
      <c r="BF713" t="inlineStr"/>
      <c r="BG713" t="inlineStr"/>
      <c r="BH713" t="inlineStr"/>
      <c r="BI713" t="inlineStr"/>
      <c r="BJ713" t="inlineStr"/>
      <c r="BK713" t="inlineStr"/>
      <c r="BL713" t="inlineStr"/>
      <c r="BM713" t="inlineStr"/>
      <c r="BN713" t="n">
        <v>0</v>
      </c>
      <c r="BO713" t="inlineStr"/>
      <c r="BP713" t="inlineStr"/>
      <c r="BQ713" t="inlineStr"/>
      <c r="BR713" t="inlineStr"/>
      <c r="BS713" t="inlineStr"/>
      <c r="BT713" t="inlineStr"/>
      <c r="BU713" t="inlineStr"/>
      <c r="BV713" t="inlineStr"/>
      <c r="BW713" t="inlineStr"/>
      <c r="BX713" t="inlineStr"/>
      <c r="BY713" t="inlineStr"/>
      <c r="BZ713" t="inlineStr"/>
      <c r="CA713" t="inlineStr"/>
      <c r="CB713" t="inlineStr"/>
      <c r="CC713" t="inlineStr"/>
      <c r="CD713" t="inlineStr"/>
      <c r="CE713" t="inlineStr"/>
      <c r="CF713" t="inlineStr"/>
      <c r="CG713" t="inlineStr"/>
      <c r="CH713" t="inlineStr"/>
      <c r="CI713" t="inlineStr"/>
      <c r="CJ713" t="inlineStr"/>
      <c r="CK713" t="inlineStr"/>
      <c r="CL713" t="inlineStr"/>
      <c r="CM713" t="inlineStr"/>
      <c r="CN713" t="inlineStr"/>
      <c r="CO713" t="inlineStr"/>
      <c r="CP713" t="inlineStr"/>
      <c r="CQ713" t="inlineStr"/>
      <c r="CR713" t="inlineStr"/>
      <c r="CS713" t="inlineStr"/>
      <c r="CT713" t="inlineStr"/>
      <c r="CU713" t="inlineStr"/>
      <c r="CV713" t="inlineStr"/>
      <c r="CW713" t="inlineStr"/>
      <c r="CX713" t="inlineStr"/>
      <c r="CY713" t="inlineStr"/>
      <c r="CZ713" t="inlineStr"/>
      <c r="DA713" t="inlineStr"/>
      <c r="DB713" t="inlineStr"/>
      <c r="DC713" t="inlineStr"/>
      <c r="DD713" t="inlineStr"/>
      <c r="DE713" t="inlineStr"/>
      <c r="DF713" t="inlineStr"/>
      <c r="DG713" t="inlineStr"/>
    </row>
    <row r="714">
      <c r="A714" t="inlineStr">
        <is>
          <t>III</t>
        </is>
      </c>
      <c r="B714" t="b">
        <v>1</v>
      </c>
      <c r="C714" t="inlineStr">
        <is>
          <t>x</t>
        </is>
      </c>
      <c r="D714" t="inlineStr"/>
      <c r="E714" t="inlineStr"/>
      <c r="F714">
        <f>HYPERLINK("https://portal.dnb.de/opac.htm?method=simpleSearch&amp;cqlMode=true&amp;query=idn%3D1137891300", "Portal")</f>
        <v/>
      </c>
      <c r="G714" t="inlineStr">
        <is>
          <t>Qd</t>
        </is>
      </c>
      <c r="H714" t="inlineStr">
        <is>
          <t>L-9999-414172639</t>
        </is>
      </c>
      <c r="I714" t="inlineStr">
        <is>
          <t>1137891300</t>
        </is>
      </c>
      <c r="J714" t="inlineStr">
        <is>
          <t>III 73, 45</t>
        </is>
      </c>
      <c r="K714" t="inlineStr">
        <is>
          <t>III 73, 45</t>
        </is>
      </c>
      <c r="L714" t="inlineStr">
        <is>
          <t>III 73, 45</t>
        </is>
      </c>
      <c r="M714" t="inlineStr"/>
      <c r="N714" t="inlineStr">
        <is>
          <t xml:space="preserve">Sammelband : </t>
        </is>
      </c>
      <c r="O714" t="inlineStr">
        <is>
          <t xml:space="preserve"> : </t>
        </is>
      </c>
      <c r="P714" t="inlineStr">
        <is>
          <t>X</t>
        </is>
      </c>
      <c r="Q714" t="inlineStr">
        <is>
          <t>500,00 EUR</t>
        </is>
      </c>
      <c r="R714" t="inlineStr">
        <is>
          <t>Ledereinband, Schließen, erhabene Buchbeschläge</t>
        </is>
      </c>
      <c r="S714" t="inlineStr">
        <is>
          <t>bis 25 cm</t>
        </is>
      </c>
      <c r="T714" t="inlineStr">
        <is>
          <t>80° bis 110°, einseitig digitalisierbar?</t>
        </is>
      </c>
      <c r="U714" t="inlineStr">
        <is>
          <t>hohler Rücken, Schrift bis in den Falz</t>
        </is>
      </c>
      <c r="V714" t="inlineStr"/>
      <c r="W714" t="inlineStr"/>
      <c r="X714" t="inlineStr">
        <is>
          <t>Signaturfahne austauschen</t>
        </is>
      </c>
      <c r="Y714" t="n">
        <v>1</v>
      </c>
      <c r="Z714" t="inlineStr"/>
      <c r="AA714" t="inlineStr"/>
      <c r="AB714" t="inlineStr"/>
      <c r="AC714" t="inlineStr"/>
      <c r="AD714" t="inlineStr"/>
      <c r="AE714" t="inlineStr"/>
      <c r="AF714" t="inlineStr"/>
      <c r="AG714" t="inlineStr"/>
      <c r="AH714" t="inlineStr">
        <is>
          <t>x</t>
        </is>
      </c>
      <c r="AI714" t="inlineStr">
        <is>
          <t>L</t>
        </is>
      </c>
      <c r="AJ714" t="inlineStr"/>
      <c r="AK714" t="inlineStr"/>
      <c r="AL714" t="inlineStr"/>
      <c r="AM714" t="inlineStr">
        <is>
          <t>h/E</t>
        </is>
      </c>
      <c r="AN714" t="inlineStr"/>
      <c r="AO714" t="inlineStr"/>
      <c r="AP714" t="inlineStr"/>
      <c r="AQ714" t="inlineStr"/>
      <c r="AR714" t="inlineStr"/>
      <c r="AS714" t="inlineStr">
        <is>
          <t>Pa</t>
        </is>
      </c>
      <c r="AT714" t="inlineStr"/>
      <c r="AU714" t="inlineStr"/>
      <c r="AV714" t="inlineStr"/>
      <c r="AW714" t="inlineStr"/>
      <c r="AX714" t="inlineStr"/>
      <c r="AY714" t="inlineStr"/>
      <c r="AZ714" t="inlineStr"/>
      <c r="BA714" t="inlineStr"/>
      <c r="BB714" t="inlineStr"/>
      <c r="BC714" t="inlineStr"/>
      <c r="BD714" t="inlineStr"/>
      <c r="BE714" t="inlineStr"/>
      <c r="BF714" t="inlineStr"/>
      <c r="BG714" t="n">
        <v>110</v>
      </c>
      <c r="BH714" t="inlineStr"/>
      <c r="BI714" t="inlineStr"/>
      <c r="BJ714" t="inlineStr"/>
      <c r="BK714" t="inlineStr"/>
      <c r="BL714" t="inlineStr"/>
      <c r="BM714" t="inlineStr">
        <is>
          <t>ja vor</t>
        </is>
      </c>
      <c r="BN714" t="n">
        <v>0.5</v>
      </c>
      <c r="BO714" t="inlineStr"/>
      <c r="BP714" t="inlineStr"/>
      <c r="BQ714" t="inlineStr"/>
      <c r="BR714" t="inlineStr"/>
      <c r="BS714" t="inlineStr"/>
      <c r="BT714" t="inlineStr"/>
      <c r="BU714" t="inlineStr"/>
      <c r="BV714" t="inlineStr"/>
      <c r="BW714" t="inlineStr"/>
      <c r="BX714" t="inlineStr"/>
      <c r="BY714" t="inlineStr"/>
      <c r="BZ714" t="inlineStr">
        <is>
          <t>x</t>
        </is>
      </c>
      <c r="CA714" t="inlineStr">
        <is>
          <t>x</t>
        </is>
      </c>
      <c r="CB714" t="inlineStr">
        <is>
          <t>x</t>
        </is>
      </c>
      <c r="CC714" t="inlineStr"/>
      <c r="CD714" t="inlineStr"/>
      <c r="CE714" t="inlineStr"/>
      <c r="CF714" t="inlineStr"/>
      <c r="CG714" t="inlineStr"/>
      <c r="CH714" t="inlineStr"/>
      <c r="CI714" t="inlineStr"/>
      <c r="CJ714" t="inlineStr"/>
      <c r="CK714" t="inlineStr"/>
      <c r="CL714" t="inlineStr"/>
      <c r="CM714" t="n">
        <v>0.5</v>
      </c>
      <c r="CN714" t="inlineStr"/>
      <c r="CO714" t="inlineStr"/>
      <c r="CP714" t="inlineStr"/>
      <c r="CQ714" t="inlineStr"/>
      <c r="CR714" t="inlineStr"/>
      <c r="CS714" t="inlineStr"/>
      <c r="CT714" t="inlineStr"/>
      <c r="CU714" t="inlineStr"/>
      <c r="CV714" t="inlineStr"/>
      <c r="CW714" t="inlineStr"/>
      <c r="CX714" t="inlineStr"/>
      <c r="CY714" t="inlineStr"/>
      <c r="CZ714" t="inlineStr"/>
      <c r="DA714" t="inlineStr"/>
      <c r="DB714" t="inlineStr"/>
      <c r="DC714" t="inlineStr"/>
      <c r="DD714" t="inlineStr"/>
      <c r="DE714" t="inlineStr"/>
      <c r="DF714" t="inlineStr"/>
      <c r="DG714" t="inlineStr"/>
    </row>
    <row r="715">
      <c r="A715" t="inlineStr">
        <is>
          <t>III</t>
        </is>
      </c>
      <c r="B715" t="b">
        <v>1</v>
      </c>
      <c r="C715" t="inlineStr"/>
      <c r="D715" t="inlineStr"/>
      <c r="E715" t="n">
        <v>775</v>
      </c>
      <c r="F715">
        <f>HYPERLINK("https://portal.dnb.de/opac.htm?method=simpleSearch&amp;cqlMode=true&amp;query=idn%3D1066787719", "Portal")</f>
        <v/>
      </c>
      <c r="G715" t="inlineStr">
        <is>
          <t>Aaf</t>
        </is>
      </c>
      <c r="H715" t="inlineStr">
        <is>
          <t>L-1545-315209046</t>
        </is>
      </c>
      <c r="I715" t="inlineStr">
        <is>
          <t>1066787719</t>
        </is>
      </c>
      <c r="J715" t="inlineStr">
        <is>
          <t>III 73, 46</t>
        </is>
      </c>
      <c r="K715" t="inlineStr">
        <is>
          <t>III 73, 46</t>
        </is>
      </c>
      <c r="L715" t="inlineStr">
        <is>
          <t>III 73, 46</t>
        </is>
      </c>
      <c r="M715" t="inlineStr"/>
      <c r="N715" t="inlineStr">
        <is>
          <t>Iuuenci Hispani presbyteri Historia evangelica, versu Heroico descripta : claruit sub Constantino magno Anno domini, ccc.xxx</t>
        </is>
      </c>
      <c r="O715" t="inlineStr">
        <is>
          <t xml:space="preserve"> : </t>
        </is>
      </c>
      <c r="P715" t="inlineStr">
        <is>
          <t>X</t>
        </is>
      </c>
      <c r="Q715" t="inlineStr"/>
      <c r="R715" t="inlineStr">
        <is>
          <t>Gewebeeinband</t>
        </is>
      </c>
      <c r="S715" t="inlineStr">
        <is>
          <t>bis 25 cm</t>
        </is>
      </c>
      <c r="T715" t="inlineStr">
        <is>
          <t>180°</t>
        </is>
      </c>
      <c r="U715" t="inlineStr">
        <is>
          <t>hohler Rücken</t>
        </is>
      </c>
      <c r="V715" t="inlineStr"/>
      <c r="W715" t="inlineStr"/>
      <c r="X715" t="inlineStr">
        <is>
          <t>Signaturfahne austauschen</t>
        </is>
      </c>
      <c r="Y715" t="inlineStr"/>
      <c r="Z715" t="inlineStr"/>
      <c r="AA715" t="inlineStr"/>
      <c r="AB715" t="inlineStr"/>
      <c r="AC715" t="inlineStr"/>
      <c r="AD715" t="inlineStr"/>
      <c r="AE715" t="inlineStr"/>
      <c r="AF715" t="inlineStr"/>
      <c r="AG715" t="inlineStr"/>
      <c r="AH715" t="inlineStr"/>
      <c r="AI715" t="inlineStr"/>
      <c r="AJ715" t="inlineStr"/>
      <c r="AK715" t="inlineStr"/>
      <c r="AL715" t="inlineStr"/>
      <c r="AM715" t="inlineStr"/>
      <c r="AN715" t="inlineStr"/>
      <c r="AO715" t="inlineStr"/>
      <c r="AP715" t="inlineStr"/>
      <c r="AQ715" t="inlineStr"/>
      <c r="AR715" t="inlineStr"/>
      <c r="AS715" t="inlineStr"/>
      <c r="AT715" t="inlineStr"/>
      <c r="AU715" t="inlineStr"/>
      <c r="AV715" t="inlineStr"/>
      <c r="AW715" t="inlineStr"/>
      <c r="AX715" t="inlineStr"/>
      <c r="AY715" t="inlineStr"/>
      <c r="AZ715" t="inlineStr"/>
      <c r="BA715" t="inlineStr"/>
      <c r="BB715" t="inlineStr"/>
      <c r="BC715" t="inlineStr"/>
      <c r="BD715" t="inlineStr"/>
      <c r="BE715" t="inlineStr"/>
      <c r="BF715" t="inlineStr"/>
      <c r="BG715" t="inlineStr"/>
      <c r="BH715" t="inlineStr"/>
      <c r="BI715" t="inlineStr"/>
      <c r="BJ715" t="inlineStr"/>
      <c r="BK715" t="inlineStr"/>
      <c r="BL715" t="inlineStr"/>
      <c r="BM715" t="inlineStr"/>
      <c r="BN715" t="n">
        <v>0</v>
      </c>
      <c r="BO715" t="inlineStr"/>
      <c r="BP715" t="inlineStr"/>
      <c r="BQ715" t="inlineStr"/>
      <c r="BR715" t="inlineStr"/>
      <c r="BS715" t="inlineStr"/>
      <c r="BT715" t="inlineStr"/>
      <c r="BU715" t="inlineStr"/>
      <c r="BV715" t="inlineStr"/>
      <c r="BW715" t="inlineStr"/>
      <c r="BX715" t="inlineStr"/>
      <c r="BY715" t="inlineStr"/>
      <c r="BZ715" t="inlineStr"/>
      <c r="CA715" t="inlineStr"/>
      <c r="CB715" t="inlineStr"/>
      <c r="CC715" t="inlineStr"/>
      <c r="CD715" t="inlineStr"/>
      <c r="CE715" t="inlineStr"/>
      <c r="CF715" t="inlineStr"/>
      <c r="CG715" t="inlineStr"/>
      <c r="CH715" t="inlineStr"/>
      <c r="CI715" t="inlineStr"/>
      <c r="CJ715" t="inlineStr"/>
      <c r="CK715" t="inlineStr"/>
      <c r="CL715" t="inlineStr"/>
      <c r="CM715" t="inlineStr"/>
      <c r="CN715" t="inlineStr"/>
      <c r="CO715" t="inlineStr"/>
      <c r="CP715" t="inlineStr"/>
      <c r="CQ715" t="inlineStr"/>
      <c r="CR715" t="inlineStr"/>
      <c r="CS715" t="inlineStr"/>
      <c r="CT715" t="inlineStr"/>
      <c r="CU715" t="inlineStr"/>
      <c r="CV715" t="inlineStr"/>
      <c r="CW715" t="inlineStr"/>
      <c r="CX715" t="inlineStr"/>
      <c r="CY715" t="inlineStr"/>
      <c r="CZ715" t="inlineStr"/>
      <c r="DA715" t="inlineStr"/>
      <c r="DB715" t="inlineStr"/>
      <c r="DC715" t="inlineStr"/>
      <c r="DD715" t="inlineStr"/>
      <c r="DE715" t="inlineStr"/>
      <c r="DF715" t="inlineStr"/>
      <c r="DG715" t="inlineStr"/>
    </row>
    <row r="716">
      <c r="A716" t="inlineStr">
        <is>
          <t>III</t>
        </is>
      </c>
      <c r="B716" t="b">
        <v>1</v>
      </c>
      <c r="C716" t="inlineStr"/>
      <c r="D716" t="inlineStr"/>
      <c r="E716" t="n">
        <v>776</v>
      </c>
      <c r="F716">
        <f>HYPERLINK("https://portal.dnb.de/opac.htm?method=simpleSearch&amp;cqlMode=true&amp;query=idn%3D1066938083", "Portal")</f>
        <v/>
      </c>
      <c r="G716" t="inlineStr">
        <is>
          <t>Aaf</t>
        </is>
      </c>
      <c r="H716" t="inlineStr">
        <is>
          <t>L-1546-315465875</t>
        </is>
      </c>
      <c r="I716" t="inlineStr">
        <is>
          <t>1066938083</t>
        </is>
      </c>
      <c r="J716" t="inlineStr">
        <is>
          <t>III 73, 47</t>
        </is>
      </c>
      <c r="K716" t="inlineStr">
        <is>
          <t>III 73, 47</t>
        </is>
      </c>
      <c r="L716" t="inlineStr">
        <is>
          <t>III 73, 47</t>
        </is>
      </c>
      <c r="M716" t="inlineStr"/>
      <c r="N716" t="inlineStr">
        <is>
          <t>Theophylacti Archiepiscopi Bulgariae in quatuor Evangelia enarrationes, innumeris penè locis recognitae &amp; restitutae : Praemissae est Ph. Montani epis</t>
        </is>
      </c>
      <c r="O716" t="inlineStr">
        <is>
          <t xml:space="preserve"> : </t>
        </is>
      </c>
      <c r="P716" t="inlineStr">
        <is>
          <t>X</t>
        </is>
      </c>
      <c r="Q716" t="inlineStr"/>
      <c r="R716" t="inlineStr">
        <is>
          <t>Ledereinband, Schließen, erhabene Buchbeschläge</t>
        </is>
      </c>
      <c r="S716" t="inlineStr">
        <is>
          <t>bis 25 cm</t>
        </is>
      </c>
      <c r="T716" t="inlineStr">
        <is>
          <t>80° bis 110°, einseitig digitalisierbar?</t>
        </is>
      </c>
      <c r="U716" t="inlineStr">
        <is>
          <t>fester Rücken mit Schmuckprägung</t>
        </is>
      </c>
      <c r="V716" t="inlineStr"/>
      <c r="W716" t="inlineStr">
        <is>
          <t>Buchschuh</t>
        </is>
      </c>
      <c r="X716" t="inlineStr">
        <is>
          <t>Nein</t>
        </is>
      </c>
      <c r="Y716" t="n">
        <v>1</v>
      </c>
      <c r="Z716" t="inlineStr"/>
      <c r="AA716" t="inlineStr"/>
      <c r="AB716" t="inlineStr"/>
      <c r="AC716" t="inlineStr"/>
      <c r="AD716" t="inlineStr"/>
      <c r="AE716" t="inlineStr"/>
      <c r="AF716" t="inlineStr"/>
      <c r="AG716" t="inlineStr"/>
      <c r="AH716" t="inlineStr"/>
      <c r="AI716" t="inlineStr"/>
      <c r="AJ716" t="inlineStr"/>
      <c r="AK716" t="inlineStr"/>
      <c r="AL716" t="inlineStr"/>
      <c r="AM716" t="inlineStr"/>
      <c r="AN716" t="inlineStr"/>
      <c r="AO716" t="inlineStr"/>
      <c r="AP716" t="inlineStr"/>
      <c r="AQ716" t="inlineStr"/>
      <c r="AR716" t="inlineStr"/>
      <c r="AS716" t="inlineStr"/>
      <c r="AT716" t="inlineStr"/>
      <c r="AU716" t="inlineStr"/>
      <c r="AV716" t="inlineStr"/>
      <c r="AW716" t="inlineStr"/>
      <c r="AX716" t="inlineStr"/>
      <c r="AY716" t="inlineStr"/>
      <c r="AZ716" t="inlineStr"/>
      <c r="BA716" t="inlineStr"/>
      <c r="BB716" t="inlineStr"/>
      <c r="BC716" t="inlineStr"/>
      <c r="BD716" t="inlineStr"/>
      <c r="BE716" t="inlineStr"/>
      <c r="BF716" t="inlineStr"/>
      <c r="BG716" t="inlineStr"/>
      <c r="BH716" t="inlineStr"/>
      <c r="BI716" t="inlineStr"/>
      <c r="BJ716" t="inlineStr"/>
      <c r="BK716" t="inlineStr"/>
      <c r="BL716" t="inlineStr"/>
      <c r="BM716" t="inlineStr"/>
      <c r="BN716" t="n">
        <v>0</v>
      </c>
      <c r="BO716" t="inlineStr"/>
      <c r="BP716" t="inlineStr"/>
      <c r="BQ716" t="inlineStr"/>
      <c r="BR716" t="inlineStr"/>
      <c r="BS716" t="inlineStr"/>
      <c r="BT716" t="inlineStr"/>
      <c r="BU716" t="inlineStr"/>
      <c r="BV716" t="inlineStr"/>
      <c r="BW716" t="inlineStr"/>
      <c r="BX716" t="inlineStr"/>
      <c r="BY716" t="inlineStr"/>
      <c r="BZ716" t="inlineStr"/>
      <c r="CA716" t="inlineStr"/>
      <c r="CB716" t="inlineStr"/>
      <c r="CC716" t="inlineStr"/>
      <c r="CD716" t="inlineStr"/>
      <c r="CE716" t="inlineStr"/>
      <c r="CF716" t="inlineStr"/>
      <c r="CG716" t="inlineStr"/>
      <c r="CH716" t="inlineStr"/>
      <c r="CI716" t="inlineStr"/>
      <c r="CJ716" t="inlineStr"/>
      <c r="CK716" t="inlineStr"/>
      <c r="CL716" t="inlineStr"/>
      <c r="CM716" t="inlineStr"/>
      <c r="CN716" t="inlineStr"/>
      <c r="CO716" t="inlineStr"/>
      <c r="CP716" t="inlineStr"/>
      <c r="CQ716" t="inlineStr"/>
      <c r="CR716" t="inlineStr"/>
      <c r="CS716" t="inlineStr"/>
      <c r="CT716" t="inlineStr"/>
      <c r="CU716" t="inlineStr"/>
      <c r="CV716" t="inlineStr"/>
      <c r="CW716" t="inlineStr"/>
      <c r="CX716" t="inlineStr"/>
      <c r="CY716" t="inlineStr"/>
      <c r="CZ716" t="inlineStr"/>
      <c r="DA716" t="inlineStr"/>
      <c r="DB716" t="inlineStr"/>
      <c r="DC716" t="inlineStr"/>
      <c r="DD716" t="inlineStr"/>
      <c r="DE716" t="inlineStr"/>
      <c r="DF716" t="inlineStr"/>
      <c r="DG716" t="inlineStr"/>
    </row>
    <row r="717">
      <c r="A717" t="inlineStr">
        <is>
          <t>III</t>
        </is>
      </c>
      <c r="B717" t="b">
        <v>1</v>
      </c>
      <c r="C717" t="inlineStr"/>
      <c r="D717" t="inlineStr"/>
      <c r="E717" t="n">
        <v>777</v>
      </c>
      <c r="F717">
        <f>HYPERLINK("https://portal.dnb.de/opac.htm?method=simpleSearch&amp;cqlMode=true&amp;query=idn%3D1066935017", "Portal")</f>
        <v/>
      </c>
      <c r="G717" t="inlineStr">
        <is>
          <t>Aaf</t>
        </is>
      </c>
      <c r="H717" t="inlineStr">
        <is>
          <t>L-1550-315463007</t>
        </is>
      </c>
      <c r="I717" t="inlineStr">
        <is>
          <t>1066935017</t>
        </is>
      </c>
      <c r="J717" t="inlineStr">
        <is>
          <t>III 73, 48</t>
        </is>
      </c>
      <c r="K717" t="inlineStr">
        <is>
          <t>III 73, 48</t>
        </is>
      </c>
      <c r="L717" t="inlineStr">
        <is>
          <t>III 73, 48</t>
        </is>
      </c>
      <c r="M717" t="inlineStr"/>
      <c r="N717" t="inlineStr">
        <is>
          <t xml:space="preserve">Claudii Galeni Pergameni, medicorum facile principis, aliquot opera : </t>
        </is>
      </c>
      <c r="O717" t="inlineStr">
        <is>
          <t xml:space="preserve"> : </t>
        </is>
      </c>
      <c r="P717" t="inlineStr">
        <is>
          <t>X</t>
        </is>
      </c>
      <c r="Q717" t="inlineStr"/>
      <c r="R717" t="inlineStr">
        <is>
          <t>Gewebeeinband</t>
        </is>
      </c>
      <c r="S717" t="inlineStr">
        <is>
          <t>bis 35 cm</t>
        </is>
      </c>
      <c r="T717" t="inlineStr"/>
      <c r="U717" t="inlineStr">
        <is>
          <t>hohler Rücken</t>
        </is>
      </c>
      <c r="V717" t="inlineStr"/>
      <c r="W717" t="inlineStr"/>
      <c r="X717" t="inlineStr"/>
      <c r="Y717" t="n">
        <v>2</v>
      </c>
      <c r="Z717" t="inlineStr"/>
      <c r="AA717" t="inlineStr"/>
      <c r="AB717" t="inlineStr"/>
      <c r="AC717" t="inlineStr"/>
      <c r="AD717" t="inlineStr"/>
      <c r="AE717" t="inlineStr"/>
      <c r="AF717" t="inlineStr"/>
      <c r="AG717" t="inlineStr"/>
      <c r="AH717" t="inlineStr"/>
      <c r="AI717" t="inlineStr">
        <is>
          <t>HL</t>
        </is>
      </c>
      <c r="AJ717" t="inlineStr"/>
      <c r="AK717" t="inlineStr">
        <is>
          <t>x</t>
        </is>
      </c>
      <c r="AL717" t="inlineStr"/>
      <c r="AM717" t="inlineStr">
        <is>
          <t>h/E</t>
        </is>
      </c>
      <c r="AN717" t="inlineStr"/>
      <c r="AO717" t="inlineStr"/>
      <c r="AP717" t="inlineStr"/>
      <c r="AQ717" t="inlineStr"/>
      <c r="AR717" t="inlineStr"/>
      <c r="AS717" t="inlineStr">
        <is>
          <t>Pa</t>
        </is>
      </c>
      <c r="AT717" t="inlineStr"/>
      <c r="AU717" t="inlineStr"/>
      <c r="AV717" t="inlineStr"/>
      <c r="AW717" t="inlineStr"/>
      <c r="AX717" t="inlineStr"/>
      <c r="AY717" t="inlineStr"/>
      <c r="AZ717" t="inlineStr"/>
      <c r="BA717" t="inlineStr"/>
      <c r="BB717" t="inlineStr"/>
      <c r="BC717" t="inlineStr"/>
      <c r="BD717" t="inlineStr"/>
      <c r="BE717" t="inlineStr"/>
      <c r="BF717" t="inlineStr"/>
      <c r="BG717" t="n">
        <v>110</v>
      </c>
      <c r="BH717" t="inlineStr"/>
      <c r="BI717" t="inlineStr"/>
      <c r="BJ717" t="inlineStr"/>
      <c r="BK717" t="inlineStr"/>
      <c r="BL717" t="inlineStr"/>
      <c r="BM717" t="inlineStr">
        <is>
          <t>n</t>
        </is>
      </c>
      <c r="BN717" t="n">
        <v>0</v>
      </c>
      <c r="BO717" t="inlineStr"/>
      <c r="BP717" t="inlineStr"/>
      <c r="BQ717" t="inlineStr"/>
      <c r="BR717" t="inlineStr"/>
      <c r="BS717" t="inlineStr"/>
      <c r="BT717" t="inlineStr"/>
      <c r="BU717" t="inlineStr"/>
      <c r="BV717" t="inlineStr">
        <is>
          <t>Schaden stabil</t>
        </is>
      </c>
      <c r="BW717" t="inlineStr"/>
      <c r="BX717" t="inlineStr"/>
      <c r="BY717" t="inlineStr"/>
      <c r="BZ717" t="inlineStr"/>
      <c r="CA717" t="inlineStr"/>
      <c r="CB717" t="inlineStr"/>
      <c r="CC717" t="inlineStr"/>
      <c r="CD717" t="inlineStr"/>
      <c r="CE717" t="inlineStr"/>
      <c r="CF717" t="inlineStr"/>
      <c r="CG717" t="inlineStr"/>
      <c r="CH717" t="inlineStr"/>
      <c r="CI717" t="inlineStr"/>
      <c r="CJ717" t="inlineStr"/>
      <c r="CK717" t="inlineStr"/>
      <c r="CL717" t="inlineStr"/>
      <c r="CM717" t="inlineStr"/>
      <c r="CN717" t="inlineStr"/>
      <c r="CO717" t="inlineStr"/>
      <c r="CP717" t="inlineStr"/>
      <c r="CQ717" t="inlineStr"/>
      <c r="CR717" t="inlineStr"/>
      <c r="CS717" t="inlineStr"/>
      <c r="CT717" t="inlineStr"/>
      <c r="CU717" t="inlineStr"/>
      <c r="CV717" t="inlineStr"/>
      <c r="CW717" t="inlineStr"/>
      <c r="CX717" t="inlineStr"/>
      <c r="CY717" t="inlineStr"/>
      <c r="CZ717" t="inlineStr"/>
      <c r="DA717" t="inlineStr"/>
      <c r="DB717" t="inlineStr"/>
      <c r="DC717" t="inlineStr"/>
      <c r="DD717" t="inlineStr"/>
      <c r="DE717" t="inlineStr"/>
      <c r="DF717" t="inlineStr"/>
      <c r="DG717" t="inlineStr"/>
    </row>
    <row r="718">
      <c r="A718" t="inlineStr">
        <is>
          <t>III</t>
        </is>
      </c>
      <c r="B718" t="b">
        <v>1</v>
      </c>
      <c r="C718" t="inlineStr"/>
      <c r="D718" t="inlineStr"/>
      <c r="E718" t="n">
        <v>778</v>
      </c>
      <c r="F718">
        <f>HYPERLINK("https://portal.dnb.de/opac.htm?method=simpleSearch&amp;cqlMode=true&amp;query=idn%3D994340877", "Portal")</f>
        <v/>
      </c>
      <c r="G718" t="inlineStr">
        <is>
          <t>Aal</t>
        </is>
      </c>
      <c r="H718" t="inlineStr">
        <is>
          <t>L-1552-155412345</t>
        </is>
      </c>
      <c r="I718" t="inlineStr">
        <is>
          <t>994340877</t>
        </is>
      </c>
      <c r="J718" t="inlineStr">
        <is>
          <t>III 73, 49</t>
        </is>
      </c>
      <c r="K718" t="inlineStr">
        <is>
          <t>III 73, 49</t>
        </is>
      </c>
      <c r="L718" t="inlineStr">
        <is>
          <t>III 73, 49</t>
        </is>
      </c>
      <c r="M718" t="inlineStr"/>
      <c r="N718" t="inlineStr">
        <is>
          <t xml:space="preserve">Aischyloy|| promētheys desmōtēs,|| Epta epi thēbais|| persai,|| Agamemnōn,|| Eumenides,|| Iketides|| ... : </t>
        </is>
      </c>
      <c r="O718" t="inlineStr">
        <is>
          <t xml:space="preserve"> : </t>
        </is>
      </c>
      <c r="P718" t="inlineStr">
        <is>
          <t>X</t>
        </is>
      </c>
      <c r="Q718" t="inlineStr"/>
      <c r="R718" t="inlineStr">
        <is>
          <t>Halbledereinband</t>
        </is>
      </c>
      <c r="S718" t="inlineStr">
        <is>
          <t>bis 25 cm</t>
        </is>
      </c>
      <c r="T718" t="inlineStr">
        <is>
          <t>180°</t>
        </is>
      </c>
      <c r="U718" t="inlineStr">
        <is>
          <t>hohler Rücken</t>
        </is>
      </c>
      <c r="V718" t="inlineStr"/>
      <c r="W718" t="inlineStr"/>
      <c r="X718" t="inlineStr"/>
      <c r="Y718" t="n">
        <v>1</v>
      </c>
      <c r="Z718" t="inlineStr"/>
      <c r="AA718" t="inlineStr"/>
      <c r="AB718" t="inlineStr"/>
      <c r="AC718" t="inlineStr"/>
      <c r="AD718" t="inlineStr"/>
      <c r="AE718" t="inlineStr"/>
      <c r="AF718" t="inlineStr"/>
      <c r="AG718" t="inlineStr"/>
      <c r="AH718" t="inlineStr"/>
      <c r="AI718" t="inlineStr"/>
      <c r="AJ718" t="inlineStr"/>
      <c r="AK718" t="inlineStr"/>
      <c r="AL718" t="inlineStr"/>
      <c r="AM718" t="inlineStr"/>
      <c r="AN718" t="inlineStr"/>
      <c r="AO718" t="inlineStr"/>
      <c r="AP718" t="inlineStr"/>
      <c r="AQ718" t="inlineStr"/>
      <c r="AR718" t="inlineStr"/>
      <c r="AS718" t="inlineStr"/>
      <c r="AT718" t="inlineStr"/>
      <c r="AU718" t="inlineStr"/>
      <c r="AV718" t="inlineStr"/>
      <c r="AW718" t="inlineStr"/>
      <c r="AX718" t="inlineStr"/>
      <c r="AY718" t="inlineStr"/>
      <c r="AZ718" t="inlineStr"/>
      <c r="BA718" t="inlineStr"/>
      <c r="BB718" t="inlineStr"/>
      <c r="BC718" t="inlineStr"/>
      <c r="BD718" t="inlineStr"/>
      <c r="BE718" t="inlineStr"/>
      <c r="BF718" t="inlineStr"/>
      <c r="BG718" t="inlineStr"/>
      <c r="BH718" t="inlineStr"/>
      <c r="BI718" t="inlineStr"/>
      <c r="BJ718" t="inlineStr"/>
      <c r="BK718" t="inlineStr"/>
      <c r="BL718" t="inlineStr"/>
      <c r="BM718" t="inlineStr"/>
      <c r="BN718" t="n">
        <v>0</v>
      </c>
      <c r="BO718" t="inlineStr"/>
      <c r="BP718" t="inlineStr"/>
      <c r="BQ718" t="inlineStr"/>
      <c r="BR718" t="inlineStr"/>
      <c r="BS718" t="inlineStr"/>
      <c r="BT718" t="inlineStr"/>
      <c r="BU718" t="inlineStr"/>
      <c r="BV718" t="inlineStr"/>
      <c r="BW718" t="inlineStr"/>
      <c r="BX718" t="inlineStr"/>
      <c r="BY718" t="inlineStr"/>
      <c r="BZ718" t="inlineStr"/>
      <c r="CA718" t="inlineStr"/>
      <c r="CB718" t="inlineStr"/>
      <c r="CC718" t="inlineStr"/>
      <c r="CD718" t="inlineStr"/>
      <c r="CE718" t="inlineStr"/>
      <c r="CF718" t="inlineStr"/>
      <c r="CG718" t="inlineStr"/>
      <c r="CH718" t="inlineStr"/>
      <c r="CI718" t="inlineStr"/>
      <c r="CJ718" t="inlineStr"/>
      <c r="CK718" t="inlineStr"/>
      <c r="CL718" t="inlineStr"/>
      <c r="CM718" t="inlineStr"/>
      <c r="CN718" t="inlineStr"/>
      <c r="CO718" t="inlineStr"/>
      <c r="CP718" t="inlineStr"/>
      <c r="CQ718" t="inlineStr"/>
      <c r="CR718" t="inlineStr"/>
      <c r="CS718" t="inlineStr"/>
      <c r="CT718" t="inlineStr"/>
      <c r="CU718" t="inlineStr"/>
      <c r="CV718" t="inlineStr"/>
      <c r="CW718" t="inlineStr"/>
      <c r="CX718" t="inlineStr"/>
      <c r="CY718" t="inlineStr"/>
      <c r="CZ718" t="inlineStr"/>
      <c r="DA718" t="inlineStr"/>
      <c r="DB718" t="inlineStr"/>
      <c r="DC718" t="inlineStr"/>
      <c r="DD718" t="inlineStr"/>
      <c r="DE718" t="inlineStr"/>
      <c r="DF718" t="inlineStr"/>
      <c r="DG718" t="inlineStr"/>
    </row>
    <row r="719">
      <c r="A719" t="inlineStr">
        <is>
          <t>III</t>
        </is>
      </c>
      <c r="B719" t="b">
        <v>1</v>
      </c>
      <c r="C719" t="inlineStr"/>
      <c r="D719" t="inlineStr"/>
      <c r="E719" t="inlineStr"/>
      <c r="F719">
        <f>HYPERLINK("https://portal.dnb.de/opac.htm?method=simpleSearch&amp;cqlMode=true&amp;query=idn%3D1138056731", "Portal")</f>
        <v/>
      </c>
      <c r="G719" t="inlineStr">
        <is>
          <t>Qd</t>
        </is>
      </c>
      <c r="H719" t="inlineStr">
        <is>
          <t>L-9999-414375564</t>
        </is>
      </c>
      <c r="I719" t="inlineStr">
        <is>
          <t>1138056731</t>
        </is>
      </c>
      <c r="J719" t="inlineStr">
        <is>
          <t>III 73, 50</t>
        </is>
      </c>
      <c r="K719" t="inlineStr">
        <is>
          <t>III 73, 50</t>
        </is>
      </c>
      <c r="L719" t="inlineStr">
        <is>
          <t>III 73, 50</t>
        </is>
      </c>
      <c r="M719" t="inlineStr"/>
      <c r="N719" t="inlineStr">
        <is>
          <t xml:space="preserve">Sammelband : </t>
        </is>
      </c>
      <c r="O719" t="inlineStr">
        <is>
          <t xml:space="preserve"> : </t>
        </is>
      </c>
      <c r="P719" t="inlineStr">
        <is>
          <t>X</t>
        </is>
      </c>
      <c r="Q719" t="inlineStr"/>
      <c r="R719" t="inlineStr">
        <is>
          <t>Ledereinband</t>
        </is>
      </c>
      <c r="S719" t="inlineStr">
        <is>
          <t>bis 25 cm</t>
        </is>
      </c>
      <c r="T719" t="inlineStr">
        <is>
          <t>80° bis 110°, einseitig digitalisierbar?</t>
        </is>
      </c>
      <c r="U719" t="inlineStr">
        <is>
          <t>fester Rücken mit Schmuckprägung</t>
        </is>
      </c>
      <c r="V719" t="inlineStr"/>
      <c r="W719" t="inlineStr"/>
      <c r="X719" t="inlineStr"/>
      <c r="Y719" t="n">
        <v>0</v>
      </c>
      <c r="Z719" t="inlineStr"/>
      <c r="AA719" t="inlineStr"/>
      <c r="AB719" t="inlineStr"/>
      <c r="AC719" t="inlineStr"/>
      <c r="AD719" t="inlineStr"/>
      <c r="AE719" t="inlineStr"/>
      <c r="AF719" t="inlineStr"/>
      <c r="AG719" t="inlineStr"/>
      <c r="AH719" t="inlineStr"/>
      <c r="AI719" t="inlineStr"/>
      <c r="AJ719" t="inlineStr"/>
      <c r="AK719" t="inlineStr"/>
      <c r="AL719" t="inlineStr"/>
      <c r="AM719" t="inlineStr"/>
      <c r="AN719" t="inlineStr"/>
      <c r="AO719" t="inlineStr"/>
      <c r="AP719" t="inlineStr"/>
      <c r="AQ719" t="inlineStr"/>
      <c r="AR719" t="inlineStr"/>
      <c r="AS719" t="inlineStr"/>
      <c r="AT719" t="inlineStr"/>
      <c r="AU719" t="inlineStr"/>
      <c r="AV719" t="inlineStr"/>
      <c r="AW719" t="inlineStr"/>
      <c r="AX719" t="inlineStr"/>
      <c r="AY719" t="inlineStr"/>
      <c r="AZ719" t="inlineStr"/>
      <c r="BA719" t="inlineStr"/>
      <c r="BB719" t="inlineStr"/>
      <c r="BC719" t="inlineStr"/>
      <c r="BD719" t="inlineStr"/>
      <c r="BE719" t="inlineStr"/>
      <c r="BF719" t="inlineStr"/>
      <c r="BG719" t="inlineStr"/>
      <c r="BH719" t="inlineStr"/>
      <c r="BI719" t="inlineStr"/>
      <c r="BJ719" t="inlineStr"/>
      <c r="BK719" t="inlineStr"/>
      <c r="BL719" t="inlineStr"/>
      <c r="BM719" t="inlineStr"/>
      <c r="BN719" t="n">
        <v>0</v>
      </c>
      <c r="BO719" t="inlineStr"/>
      <c r="BP719" t="inlineStr"/>
      <c r="BQ719" t="inlineStr"/>
      <c r="BR719" t="inlineStr"/>
      <c r="BS719" t="inlineStr"/>
      <c r="BT719" t="inlineStr"/>
      <c r="BU719" t="inlineStr"/>
      <c r="BV719" t="inlineStr"/>
      <c r="BW719" t="inlineStr"/>
      <c r="BX719" t="inlineStr"/>
      <c r="BY719" t="inlineStr"/>
      <c r="BZ719" t="inlineStr"/>
      <c r="CA719" t="inlineStr"/>
      <c r="CB719" t="inlineStr"/>
      <c r="CC719" t="inlineStr"/>
      <c r="CD719" t="inlineStr"/>
      <c r="CE719" t="inlineStr"/>
      <c r="CF719" t="inlineStr"/>
      <c r="CG719" t="inlineStr"/>
      <c r="CH719" t="inlineStr"/>
      <c r="CI719" t="inlineStr"/>
      <c r="CJ719" t="inlineStr"/>
      <c r="CK719" t="inlineStr"/>
      <c r="CL719" t="inlineStr"/>
      <c r="CM719" t="inlineStr"/>
      <c r="CN719" t="inlineStr"/>
      <c r="CO719" t="inlineStr"/>
      <c r="CP719" t="inlineStr"/>
      <c r="CQ719" t="inlineStr"/>
      <c r="CR719" t="inlineStr"/>
      <c r="CS719" t="inlineStr"/>
      <c r="CT719" t="inlineStr"/>
      <c r="CU719" t="inlineStr"/>
      <c r="CV719" t="inlineStr"/>
      <c r="CW719" t="inlineStr"/>
      <c r="CX719" t="inlineStr"/>
      <c r="CY719" t="inlineStr"/>
      <c r="CZ719" t="inlineStr"/>
      <c r="DA719" t="inlineStr"/>
      <c r="DB719" t="inlineStr"/>
      <c r="DC719" t="inlineStr"/>
      <c r="DD719" t="inlineStr"/>
      <c r="DE719" t="inlineStr"/>
      <c r="DF719" t="inlineStr"/>
      <c r="DG719" t="inlineStr"/>
    </row>
    <row r="720">
      <c r="A720" t="inlineStr">
        <is>
          <t>III</t>
        </is>
      </c>
      <c r="B720" t="b">
        <v>1</v>
      </c>
      <c r="C720" t="inlineStr"/>
      <c r="D720" t="inlineStr"/>
      <c r="E720" t="inlineStr"/>
      <c r="F720">
        <f>HYPERLINK("https://portal.dnb.de/opac.htm?method=simpleSearch&amp;cqlMode=true&amp;query=idn%3D1272479420", "Portal")</f>
        <v/>
      </c>
      <c r="G720" t="inlineStr">
        <is>
          <t>Aal</t>
        </is>
      </c>
      <c r="H720" t="inlineStr">
        <is>
          <t>L-1555-848040031</t>
        </is>
      </c>
      <c r="I720" t="inlineStr">
        <is>
          <t>1272479420</t>
        </is>
      </c>
      <c r="J720" t="inlineStr">
        <is>
          <t>III 73, 51</t>
        </is>
      </c>
      <c r="K720" t="inlineStr">
        <is>
          <t>III 73, 51</t>
        </is>
      </c>
      <c r="L720" t="inlineStr">
        <is>
          <t>III 73, 51</t>
        </is>
      </c>
      <c r="M720" t="inlineStr"/>
      <c r="N720" t="inlineStr">
        <is>
          <t xml:space="preserve">Philosophorvm qvae svnt apvd Ciceronem dicta &amp; facta : </t>
        </is>
      </c>
      <c r="O720" t="inlineStr">
        <is>
          <t xml:space="preserve"> : </t>
        </is>
      </c>
      <c r="P720" t="inlineStr">
        <is>
          <t>X</t>
        </is>
      </c>
      <c r="Q720" t="inlineStr"/>
      <c r="R720" t="inlineStr">
        <is>
          <t>Pergamentband</t>
        </is>
      </c>
      <c r="S720" t="inlineStr">
        <is>
          <t>bis 25 cm</t>
        </is>
      </c>
      <c r="T720" t="inlineStr">
        <is>
          <t>80° bis 110°, einseitig digitalisierbar?</t>
        </is>
      </c>
      <c r="U720" t="inlineStr">
        <is>
          <t>hohler Rücken, Einband mit Schutz- oder Stoßkanten</t>
        </is>
      </c>
      <c r="V720" t="inlineStr"/>
      <c r="W720" t="inlineStr">
        <is>
          <t>Kassette im Schuber</t>
        </is>
      </c>
      <c r="X720" t="inlineStr">
        <is>
          <t>Nein</t>
        </is>
      </c>
      <c r="Y720" t="n">
        <v>0</v>
      </c>
      <c r="Z720" t="inlineStr"/>
      <c r="AA720" t="inlineStr"/>
      <c r="AB720" t="inlineStr"/>
      <c r="AC720" t="inlineStr"/>
      <c r="AD720" t="inlineStr"/>
      <c r="AE720" t="inlineStr"/>
      <c r="AF720" t="inlineStr"/>
      <c r="AG720" t="inlineStr"/>
      <c r="AH720" t="inlineStr"/>
      <c r="AI720" t="inlineStr"/>
      <c r="AJ720" t="inlineStr"/>
      <c r="AK720" t="inlineStr"/>
      <c r="AL720" t="inlineStr"/>
      <c r="AM720" t="inlineStr"/>
      <c r="AN720" t="inlineStr"/>
      <c r="AO720" t="inlineStr"/>
      <c r="AP720" t="inlineStr"/>
      <c r="AQ720" t="inlineStr"/>
      <c r="AR720" t="inlineStr"/>
      <c r="AS720" t="inlineStr"/>
      <c r="AT720" t="inlineStr"/>
      <c r="AU720" t="inlineStr"/>
      <c r="AV720" t="inlineStr"/>
      <c r="AW720" t="inlineStr"/>
      <c r="AX720" t="inlineStr"/>
      <c r="AY720" t="inlineStr"/>
      <c r="AZ720" t="inlineStr"/>
      <c r="BA720" t="inlineStr"/>
      <c r="BB720" t="inlineStr"/>
      <c r="BC720" t="inlineStr"/>
      <c r="BD720" t="inlineStr"/>
      <c r="BE720" t="inlineStr"/>
      <c r="BF720" t="inlineStr"/>
      <c r="BG720" t="inlineStr"/>
      <c r="BH720" t="inlineStr"/>
      <c r="BI720" t="inlineStr"/>
      <c r="BJ720" t="inlineStr"/>
      <c r="BK720" t="inlineStr"/>
      <c r="BL720" t="inlineStr"/>
      <c r="BM720" t="inlineStr"/>
      <c r="BN720" t="n">
        <v>0</v>
      </c>
      <c r="BO720" t="inlineStr"/>
      <c r="BP720" t="inlineStr"/>
      <c r="BQ720" t="inlineStr"/>
      <c r="BR720" t="inlineStr"/>
      <c r="BS720" t="inlineStr"/>
      <c r="BT720" t="inlineStr"/>
      <c r="BU720" t="inlineStr"/>
      <c r="BV720" t="inlineStr"/>
      <c r="BW720" t="inlineStr"/>
      <c r="BX720" t="inlineStr"/>
      <c r="BY720" t="inlineStr"/>
      <c r="BZ720" t="inlineStr"/>
      <c r="CA720" t="inlineStr"/>
      <c r="CB720" t="inlineStr"/>
      <c r="CC720" t="inlineStr"/>
      <c r="CD720" t="inlineStr"/>
      <c r="CE720" t="inlineStr"/>
      <c r="CF720" t="inlineStr"/>
      <c r="CG720" t="inlineStr"/>
      <c r="CH720" t="inlineStr"/>
      <c r="CI720" t="inlineStr"/>
      <c r="CJ720" t="inlineStr"/>
      <c r="CK720" t="inlineStr"/>
      <c r="CL720" t="inlineStr"/>
      <c r="CM720" t="inlineStr"/>
      <c r="CN720" t="inlineStr"/>
      <c r="CO720" t="inlineStr"/>
      <c r="CP720" t="inlineStr"/>
      <c r="CQ720" t="inlineStr"/>
      <c r="CR720" t="inlineStr"/>
      <c r="CS720" t="inlineStr"/>
      <c r="CT720" t="inlineStr"/>
      <c r="CU720" t="inlineStr"/>
      <c r="CV720" t="inlineStr"/>
      <c r="CW720" t="inlineStr"/>
      <c r="CX720" t="inlineStr"/>
      <c r="CY720" t="inlineStr"/>
      <c r="CZ720" t="inlineStr"/>
      <c r="DA720" t="inlineStr"/>
      <c r="DB720" t="inlineStr"/>
      <c r="DC720" t="inlineStr"/>
      <c r="DD720" t="inlineStr"/>
      <c r="DE720" t="inlineStr"/>
      <c r="DF720" t="inlineStr"/>
      <c r="DG720" t="inlineStr"/>
    </row>
    <row r="721">
      <c r="A721" t="inlineStr">
        <is>
          <t>III</t>
        </is>
      </c>
      <c r="B721" t="b">
        <v>1</v>
      </c>
      <c r="C721" t="inlineStr"/>
      <c r="D721" t="inlineStr"/>
      <c r="E721" t="n">
        <v>780</v>
      </c>
      <c r="F721">
        <f>HYPERLINK("https://portal.dnb.de/opac.htm?method=simpleSearch&amp;cqlMode=true&amp;query=idn%3D1066753563", "Portal")</f>
        <v/>
      </c>
      <c r="G721" t="inlineStr">
        <is>
          <t>Aaf</t>
        </is>
      </c>
      <c r="H721" t="inlineStr">
        <is>
          <t>L-1556-315175923</t>
        </is>
      </c>
      <c r="I721" t="inlineStr">
        <is>
          <t>1066753563</t>
        </is>
      </c>
      <c r="J721" t="inlineStr">
        <is>
          <t>III 73, 52</t>
        </is>
      </c>
      <c r="K721" t="inlineStr">
        <is>
          <t>III 73, 52</t>
        </is>
      </c>
      <c r="L721" t="inlineStr">
        <is>
          <t>III 73, 52</t>
        </is>
      </c>
      <c r="M721" t="inlineStr"/>
      <c r="N721" t="inlineStr">
        <is>
          <t xml:space="preserve">Tu makariotatu 'Ippolytu, ... Logos peri tes synteleias tu kosmu ... : </t>
        </is>
      </c>
      <c r="O721" t="inlineStr">
        <is>
          <t xml:space="preserve"> : </t>
        </is>
      </c>
      <c r="P721" t="inlineStr">
        <is>
          <t>X</t>
        </is>
      </c>
      <c r="Q721" t="inlineStr"/>
      <c r="R721" t="inlineStr">
        <is>
          <t>Gewebeeinband</t>
        </is>
      </c>
      <c r="S721" t="inlineStr">
        <is>
          <t>bis 25 cm</t>
        </is>
      </c>
      <c r="T721" t="inlineStr">
        <is>
          <t>180°</t>
        </is>
      </c>
      <c r="U721" t="inlineStr">
        <is>
          <t>hohler Rücken</t>
        </is>
      </c>
      <c r="V721" t="inlineStr"/>
      <c r="W721" t="inlineStr"/>
      <c r="X721" t="inlineStr">
        <is>
          <t>Signaturfahne austauschen</t>
        </is>
      </c>
      <c r="Y721" t="n">
        <v>0</v>
      </c>
      <c r="Z721" t="inlineStr"/>
      <c r="AA721" t="inlineStr"/>
      <c r="AB721" t="inlineStr"/>
      <c r="AC721" t="inlineStr"/>
      <c r="AD721" t="inlineStr"/>
      <c r="AE721" t="inlineStr"/>
      <c r="AF721" t="inlineStr"/>
      <c r="AG721" t="inlineStr"/>
      <c r="AH721" t="inlineStr"/>
      <c r="AI721" t="inlineStr"/>
      <c r="AJ721" t="inlineStr"/>
      <c r="AK721" t="inlineStr"/>
      <c r="AL721" t="inlineStr"/>
      <c r="AM721" t="inlineStr"/>
      <c r="AN721" t="inlineStr"/>
      <c r="AO721" t="inlineStr"/>
      <c r="AP721" t="inlineStr"/>
      <c r="AQ721" t="inlineStr"/>
      <c r="AR721" t="inlineStr"/>
      <c r="AS721" t="inlineStr"/>
      <c r="AT721" t="inlineStr"/>
      <c r="AU721" t="inlineStr"/>
      <c r="AV721" t="inlineStr"/>
      <c r="AW721" t="inlineStr"/>
      <c r="AX721" t="inlineStr"/>
      <c r="AY721" t="inlineStr"/>
      <c r="AZ721" t="inlineStr"/>
      <c r="BA721" t="inlineStr"/>
      <c r="BB721" t="inlineStr"/>
      <c r="BC721" t="inlineStr"/>
      <c r="BD721" t="inlineStr"/>
      <c r="BE721" t="inlineStr"/>
      <c r="BF721" t="inlineStr"/>
      <c r="BG721" t="inlineStr"/>
      <c r="BH721" t="inlineStr"/>
      <c r="BI721" t="inlineStr"/>
      <c r="BJ721" t="inlineStr"/>
      <c r="BK721" t="inlineStr"/>
      <c r="BL721" t="inlineStr"/>
      <c r="BM721" t="inlineStr"/>
      <c r="BN721" t="n">
        <v>0</v>
      </c>
      <c r="BO721" t="inlineStr"/>
      <c r="BP721" t="inlineStr"/>
      <c r="BQ721" t="inlineStr"/>
      <c r="BR721" t="inlineStr"/>
      <c r="BS721" t="inlineStr"/>
      <c r="BT721" t="inlineStr"/>
      <c r="BU721" t="inlineStr"/>
      <c r="BV721" t="inlineStr"/>
      <c r="BW721" t="inlineStr"/>
      <c r="BX721" t="inlineStr"/>
      <c r="BY721" t="inlineStr"/>
      <c r="BZ721" t="inlineStr"/>
      <c r="CA721" t="inlineStr"/>
      <c r="CB721" t="inlineStr"/>
      <c r="CC721" t="inlineStr"/>
      <c r="CD721" t="inlineStr"/>
      <c r="CE721" t="inlineStr"/>
      <c r="CF721" t="inlineStr"/>
      <c r="CG721" t="inlineStr"/>
      <c r="CH721" t="inlineStr"/>
      <c r="CI721" t="inlineStr"/>
      <c r="CJ721" t="inlineStr"/>
      <c r="CK721" t="inlineStr"/>
      <c r="CL721" t="inlineStr"/>
      <c r="CM721" t="inlineStr"/>
      <c r="CN721" t="inlineStr"/>
      <c r="CO721" t="inlineStr"/>
      <c r="CP721" t="inlineStr"/>
      <c r="CQ721" t="inlineStr"/>
      <c r="CR721" t="inlineStr"/>
      <c r="CS721" t="inlineStr"/>
      <c r="CT721" t="inlineStr"/>
      <c r="CU721" t="inlineStr"/>
      <c r="CV721" t="inlineStr"/>
      <c r="CW721" t="inlineStr"/>
      <c r="CX721" t="inlineStr"/>
      <c r="CY721" t="inlineStr"/>
      <c r="CZ721" t="inlineStr"/>
      <c r="DA721" t="inlineStr"/>
      <c r="DB721" t="inlineStr"/>
      <c r="DC721" t="inlineStr"/>
      <c r="DD721" t="inlineStr"/>
      <c r="DE721" t="inlineStr"/>
      <c r="DF721" t="inlineStr"/>
      <c r="DG721" t="inlineStr"/>
    </row>
    <row r="722">
      <c r="A722" t="inlineStr">
        <is>
          <t>III</t>
        </is>
      </c>
      <c r="B722" t="b">
        <v>1</v>
      </c>
      <c r="C722" t="inlineStr">
        <is>
          <t>x</t>
        </is>
      </c>
      <c r="D722" t="inlineStr"/>
      <c r="E722" t="n">
        <v>781</v>
      </c>
      <c r="F722">
        <f>HYPERLINK("https://portal.dnb.de/opac.htm?method=simpleSearch&amp;cqlMode=true&amp;query=idn%3D1066940789", "Portal")</f>
        <v/>
      </c>
      <c r="G722" t="inlineStr">
        <is>
          <t>Aaf</t>
        </is>
      </c>
      <c r="H722" t="inlineStr">
        <is>
          <t>L-1556-315468548</t>
        </is>
      </c>
      <c r="I722" t="inlineStr">
        <is>
          <t>1066940789</t>
        </is>
      </c>
      <c r="J722" t="inlineStr">
        <is>
          <t>III 73, 53</t>
        </is>
      </c>
      <c r="K722" t="inlineStr">
        <is>
          <t>III 73, 53</t>
        </is>
      </c>
      <c r="L722" t="inlineStr">
        <is>
          <t>III 73, 53</t>
        </is>
      </c>
      <c r="M722" t="inlineStr"/>
      <c r="N722" t="inlineStr">
        <is>
          <t xml:space="preserve">M. T. Ciceronis ad M. filium de Officiis libri tres : </t>
        </is>
      </c>
      <c r="O722" t="inlineStr">
        <is>
          <t xml:space="preserve"> : </t>
        </is>
      </c>
      <c r="P722" t="inlineStr">
        <is>
          <t>X</t>
        </is>
      </c>
      <c r="Q722" t="inlineStr"/>
      <c r="R722" t="inlineStr">
        <is>
          <t>Schließen, erhabene Buchbeschläge</t>
        </is>
      </c>
      <c r="S722" t="inlineStr">
        <is>
          <t>bis 25 cm</t>
        </is>
      </c>
      <c r="T722" t="inlineStr">
        <is>
          <t>180°</t>
        </is>
      </c>
      <c r="U722" t="inlineStr">
        <is>
          <t>fester Rücken mit Schmuckprägung</t>
        </is>
      </c>
      <c r="V722" t="inlineStr"/>
      <c r="W722" t="inlineStr">
        <is>
          <t>Buchschuh</t>
        </is>
      </c>
      <c r="X722" t="inlineStr">
        <is>
          <t>Nein</t>
        </is>
      </c>
      <c r="Y722" t="n">
        <v>2</v>
      </c>
      <c r="Z722" t="inlineStr"/>
      <c r="AA722" t="inlineStr"/>
      <c r="AB722" t="inlineStr"/>
      <c r="AC722" t="inlineStr"/>
      <c r="AD722" t="inlineStr"/>
      <c r="AE722" t="inlineStr"/>
      <c r="AF722" t="inlineStr"/>
      <c r="AG722" t="inlineStr"/>
      <c r="AH722" t="inlineStr"/>
      <c r="AI722" t="inlineStr">
        <is>
          <t>L</t>
        </is>
      </c>
      <c r="AJ722" t="inlineStr"/>
      <c r="AK722" t="inlineStr">
        <is>
          <t>x</t>
        </is>
      </c>
      <c r="AL722" t="inlineStr"/>
      <c r="AM722" t="inlineStr">
        <is>
          <t>f/V</t>
        </is>
      </c>
      <c r="AN722" t="inlineStr"/>
      <c r="AO722" t="inlineStr"/>
      <c r="AP722" t="inlineStr"/>
      <c r="AQ722" t="inlineStr"/>
      <c r="AR722" t="inlineStr"/>
      <c r="AS722" t="inlineStr">
        <is>
          <t>Pa</t>
        </is>
      </c>
      <c r="AT722" t="inlineStr"/>
      <c r="AU722" t="inlineStr"/>
      <c r="AV722" t="inlineStr"/>
      <c r="AW722" t="inlineStr"/>
      <c r="AX722" t="inlineStr"/>
      <c r="AY722" t="inlineStr"/>
      <c r="AZ722" t="inlineStr"/>
      <c r="BA722" t="inlineStr"/>
      <c r="BB722" t="inlineStr"/>
      <c r="BC722" t="inlineStr"/>
      <c r="BD722" t="inlineStr"/>
      <c r="BE722" t="inlineStr"/>
      <c r="BF722" t="inlineStr"/>
      <c r="BG722" t="n">
        <v>60</v>
      </c>
      <c r="BH722" t="inlineStr"/>
      <c r="BI722" t="inlineStr"/>
      <c r="BJ722" t="inlineStr"/>
      <c r="BK722" t="inlineStr"/>
      <c r="BL722" t="inlineStr"/>
      <c r="BM722" t="inlineStr">
        <is>
          <t>ja vor</t>
        </is>
      </c>
      <c r="BN722" t="n">
        <v>2</v>
      </c>
      <c r="BO722" t="inlineStr"/>
      <c r="BP722" t="inlineStr"/>
      <c r="BQ722" t="inlineStr"/>
      <c r="BR722" t="inlineStr">
        <is>
          <t>x</t>
        </is>
      </c>
      <c r="BS722" t="inlineStr"/>
      <c r="BT722" t="inlineStr"/>
      <c r="BU722" t="inlineStr"/>
      <c r="BV722" t="inlineStr"/>
      <c r="BW722" t="inlineStr"/>
      <c r="BX722" t="inlineStr"/>
      <c r="BY722" t="inlineStr"/>
      <c r="BZ722" t="inlineStr">
        <is>
          <t>x</t>
        </is>
      </c>
      <c r="CA722" t="inlineStr">
        <is>
          <t>x</t>
        </is>
      </c>
      <c r="CB722" t="inlineStr">
        <is>
          <t>x</t>
        </is>
      </c>
      <c r="CC722" t="inlineStr"/>
      <c r="CD722" t="inlineStr">
        <is>
          <t>v</t>
        </is>
      </c>
      <c r="CE722" t="inlineStr"/>
      <c r="CF722" t="inlineStr"/>
      <c r="CG722" t="inlineStr"/>
      <c r="CH722" t="inlineStr"/>
      <c r="CI722" t="inlineStr"/>
      <c r="CJ722" t="inlineStr"/>
      <c r="CK722" t="inlineStr"/>
      <c r="CL722" t="inlineStr"/>
      <c r="CM722" t="n">
        <v>2</v>
      </c>
      <c r="CN722" t="inlineStr">
        <is>
          <t>Gelenk ggf. mit JP unterlegen</t>
        </is>
      </c>
      <c r="CO722" t="inlineStr"/>
      <c r="CP722" t="inlineStr"/>
      <c r="CQ722" t="inlineStr"/>
      <c r="CR722" t="inlineStr"/>
      <c r="CS722" t="inlineStr"/>
      <c r="CT722" t="inlineStr"/>
      <c r="CU722" t="inlineStr"/>
      <c r="CV722" t="inlineStr"/>
      <c r="CW722" t="inlineStr"/>
      <c r="CX722" t="inlineStr"/>
      <c r="CY722" t="inlineStr"/>
      <c r="CZ722" t="inlineStr"/>
      <c r="DA722" t="inlineStr"/>
      <c r="DB722" t="inlineStr"/>
      <c r="DC722" t="inlineStr"/>
      <c r="DD722" t="inlineStr"/>
      <c r="DE722" t="inlineStr"/>
      <c r="DF722" t="inlineStr"/>
      <c r="DG722" t="inlineStr"/>
    </row>
    <row r="723">
      <c r="A723" t="inlineStr">
        <is>
          <t>III</t>
        </is>
      </c>
      <c r="B723" t="b">
        <v>1</v>
      </c>
      <c r="C723" t="inlineStr"/>
      <c r="D723" t="inlineStr"/>
      <c r="E723" t="n">
        <v>782</v>
      </c>
      <c r="F723">
        <f>HYPERLINK("https://portal.dnb.de/opac.htm?method=simpleSearch&amp;cqlMode=true&amp;query=idn%3D106678132X", "Portal")</f>
        <v/>
      </c>
      <c r="G723" t="inlineStr">
        <is>
          <t>Aaf</t>
        </is>
      </c>
      <c r="H723" t="inlineStr">
        <is>
          <t>L-1557-315202866</t>
        </is>
      </c>
      <c r="I723" t="inlineStr">
        <is>
          <t>106678132X</t>
        </is>
      </c>
      <c r="J723" t="inlineStr">
        <is>
          <t>III 73, 54</t>
        </is>
      </c>
      <c r="K723" t="inlineStr">
        <is>
          <t>III 73, 54</t>
        </is>
      </c>
      <c r="L723" t="inlineStr">
        <is>
          <t>III 73, 54</t>
        </is>
      </c>
      <c r="M723" t="inlineStr"/>
      <c r="N723" t="inlineStr">
        <is>
          <t xml:space="preserve">Beatissimi Hippolyti episcopi et martyris Oratio, de Consummatione mundi, ac de Antichristo, &amp; Secundo aduentu Domini nostri Iesu Christi : </t>
        </is>
      </c>
      <c r="O723" t="inlineStr">
        <is>
          <t xml:space="preserve"> : </t>
        </is>
      </c>
      <c r="P723" t="inlineStr">
        <is>
          <t>X</t>
        </is>
      </c>
      <c r="Q723" t="inlineStr"/>
      <c r="R723" t="inlineStr">
        <is>
          <t>Gewebeeinband</t>
        </is>
      </c>
      <c r="S723" t="inlineStr">
        <is>
          <t>bis 25 cm</t>
        </is>
      </c>
      <c r="T723" t="inlineStr">
        <is>
          <t>180°</t>
        </is>
      </c>
      <c r="U723" t="inlineStr">
        <is>
          <t>hohler Rücken</t>
        </is>
      </c>
      <c r="V723" t="inlineStr"/>
      <c r="W723" t="inlineStr"/>
      <c r="X723" t="inlineStr">
        <is>
          <t>Signaturfahne austauschen</t>
        </is>
      </c>
      <c r="Y723" t="n">
        <v>0</v>
      </c>
      <c r="Z723" t="inlineStr"/>
      <c r="AA723" t="inlineStr">
        <is>
          <t xml:space="preserve">mit Blindmaterial </t>
        </is>
      </c>
      <c r="AB723" t="inlineStr"/>
      <c r="AC723" t="inlineStr"/>
      <c r="AD723" t="inlineStr"/>
      <c r="AE723" t="inlineStr"/>
      <c r="AF723" t="inlineStr"/>
      <c r="AG723" t="inlineStr"/>
      <c r="AH723" t="inlineStr"/>
      <c r="AI723" t="inlineStr"/>
      <c r="AJ723" t="inlineStr"/>
      <c r="AK723" t="inlineStr"/>
      <c r="AL723" t="inlineStr"/>
      <c r="AM723" t="inlineStr"/>
      <c r="AN723" t="inlineStr"/>
      <c r="AO723" t="inlineStr"/>
      <c r="AP723" t="inlineStr"/>
      <c r="AQ723" t="inlineStr"/>
      <c r="AR723" t="inlineStr"/>
      <c r="AS723" t="inlineStr"/>
      <c r="AT723" t="inlineStr"/>
      <c r="AU723" t="inlineStr"/>
      <c r="AV723" t="inlineStr"/>
      <c r="AW723" t="inlineStr"/>
      <c r="AX723" t="inlineStr"/>
      <c r="AY723" t="inlineStr"/>
      <c r="AZ723" t="inlineStr"/>
      <c r="BA723" t="inlineStr"/>
      <c r="BB723" t="inlineStr"/>
      <c r="BC723" t="inlineStr"/>
      <c r="BD723" t="inlineStr"/>
      <c r="BE723" t="inlineStr"/>
      <c r="BF723" t="inlineStr"/>
      <c r="BG723" t="inlineStr"/>
      <c r="BH723" t="inlineStr"/>
      <c r="BI723" t="inlineStr"/>
      <c r="BJ723" t="inlineStr"/>
      <c r="BK723" t="inlineStr"/>
      <c r="BL723" t="inlineStr"/>
      <c r="BM723" t="inlineStr"/>
      <c r="BN723" t="n">
        <v>0</v>
      </c>
      <c r="BO723" t="inlineStr"/>
      <c r="BP723" t="inlineStr"/>
      <c r="BQ723" t="inlineStr"/>
      <c r="BR723" t="inlineStr"/>
      <c r="BS723" t="inlineStr"/>
      <c r="BT723" t="inlineStr"/>
      <c r="BU723" t="inlineStr"/>
      <c r="BV723" t="inlineStr"/>
      <c r="BW723" t="inlineStr"/>
      <c r="BX723" t="inlineStr"/>
      <c r="BY723" t="inlineStr"/>
      <c r="BZ723" t="inlineStr"/>
      <c r="CA723" t="inlineStr"/>
      <c r="CB723" t="inlineStr"/>
      <c r="CC723" t="inlineStr"/>
      <c r="CD723" t="inlineStr"/>
      <c r="CE723" t="inlineStr"/>
      <c r="CF723" t="inlineStr"/>
      <c r="CG723" t="inlineStr"/>
      <c r="CH723" t="inlineStr"/>
      <c r="CI723" t="inlineStr"/>
      <c r="CJ723" t="inlineStr"/>
      <c r="CK723" t="inlineStr"/>
      <c r="CL723" t="inlineStr"/>
      <c r="CM723" t="inlineStr"/>
      <c r="CN723" t="inlineStr"/>
      <c r="CO723" t="inlineStr"/>
      <c r="CP723" t="inlineStr"/>
      <c r="CQ723" t="inlineStr"/>
      <c r="CR723" t="inlineStr"/>
      <c r="CS723" t="inlineStr"/>
      <c r="CT723" t="inlineStr"/>
      <c r="CU723" t="inlineStr"/>
      <c r="CV723" t="inlineStr"/>
      <c r="CW723" t="inlineStr"/>
      <c r="CX723" t="inlineStr"/>
      <c r="CY723" t="inlineStr"/>
      <c r="CZ723" t="inlineStr"/>
      <c r="DA723" t="inlineStr"/>
      <c r="DB723" t="inlineStr"/>
      <c r="DC723" t="inlineStr"/>
      <c r="DD723" t="inlineStr"/>
      <c r="DE723" t="inlineStr"/>
      <c r="DF723" t="inlineStr"/>
      <c r="DG723" t="inlineStr"/>
    </row>
    <row r="724">
      <c r="A724" t="inlineStr">
        <is>
          <t>III</t>
        </is>
      </c>
      <c r="B724" t="b">
        <v>1</v>
      </c>
      <c r="C724" t="inlineStr">
        <is>
          <t>x</t>
        </is>
      </c>
      <c r="D724" t="inlineStr"/>
      <c r="E724" t="n">
        <v>783</v>
      </c>
      <c r="F724">
        <f>HYPERLINK("https://portal.dnb.de/opac.htm?method=simpleSearch&amp;cqlMode=true&amp;query=idn%3D1066837643", "Portal")</f>
        <v/>
      </c>
      <c r="G724" t="inlineStr">
        <is>
          <t>Aaf</t>
        </is>
      </c>
      <c r="H724" t="inlineStr">
        <is>
          <t>L-1556-315297743</t>
        </is>
      </c>
      <c r="I724" t="inlineStr">
        <is>
          <t>1066837643</t>
        </is>
      </c>
      <c r="J724" t="inlineStr">
        <is>
          <t>III 73, 55</t>
        </is>
      </c>
      <c r="K724" t="inlineStr">
        <is>
          <t>III 73, 55</t>
        </is>
      </c>
      <c r="L724" t="inlineStr">
        <is>
          <t>III 73, 55</t>
        </is>
      </c>
      <c r="M724" t="inlineStr"/>
      <c r="N724" t="inlineStr">
        <is>
          <t>Francisci Vicomercati Mediolanensis In quatuor libros Aristotelis meteorologicorum commentarii : et eorvndem librorvm e graeco in latinvm per evndem c</t>
        </is>
      </c>
      <c r="O724" t="inlineStr">
        <is>
          <t xml:space="preserve"> : </t>
        </is>
      </c>
      <c r="P724" t="inlineStr"/>
      <c r="Q724" t="inlineStr"/>
      <c r="R724" t="inlineStr"/>
      <c r="S724" t="inlineStr">
        <is>
          <t>bis 35 cm</t>
        </is>
      </c>
      <c r="T724" t="inlineStr"/>
      <c r="U724" t="inlineStr"/>
      <c r="V724" t="inlineStr"/>
      <c r="W724" t="inlineStr"/>
      <c r="X724" t="inlineStr"/>
      <c r="Y724" t="inlineStr"/>
      <c r="Z724" t="inlineStr"/>
      <c r="AA724" t="inlineStr"/>
      <c r="AB724" t="inlineStr"/>
      <c r="AC724" t="inlineStr"/>
      <c r="AD724" t="inlineStr"/>
      <c r="AE724" t="inlineStr"/>
      <c r="AF724" t="inlineStr"/>
      <c r="AG724" t="inlineStr"/>
      <c r="AH724" t="inlineStr"/>
      <c r="AI724" t="inlineStr">
        <is>
          <t>L</t>
        </is>
      </c>
      <c r="AJ724" t="inlineStr"/>
      <c r="AK724" t="inlineStr">
        <is>
          <t>x</t>
        </is>
      </c>
      <c r="AL724" t="inlineStr"/>
      <c r="AM724" t="inlineStr">
        <is>
          <t>f/V</t>
        </is>
      </c>
      <c r="AN724" t="inlineStr"/>
      <c r="AO724" t="inlineStr"/>
      <c r="AP724" t="inlineStr"/>
      <c r="AQ724" t="inlineStr"/>
      <c r="AR724" t="inlineStr"/>
      <c r="AS724" t="inlineStr">
        <is>
          <t>Pa</t>
        </is>
      </c>
      <c r="AT724" t="inlineStr"/>
      <c r="AU724" t="inlineStr"/>
      <c r="AV724" t="inlineStr"/>
      <c r="AW724" t="inlineStr"/>
      <c r="AX724" t="inlineStr"/>
      <c r="AY724" t="inlineStr"/>
      <c r="AZ724" t="inlineStr"/>
      <c r="BA724" t="inlineStr"/>
      <c r="BB724" t="inlineStr"/>
      <c r="BC724" t="inlineStr"/>
      <c r="BD724" t="inlineStr"/>
      <c r="BE724" t="inlineStr"/>
      <c r="BF724" t="inlineStr"/>
      <c r="BG724" t="n">
        <v>60</v>
      </c>
      <c r="BH724" t="inlineStr"/>
      <c r="BI724" t="inlineStr"/>
      <c r="BJ724" t="inlineStr"/>
      <c r="BK724" t="inlineStr"/>
      <c r="BL724" t="inlineStr"/>
      <c r="BM724" t="inlineStr">
        <is>
          <t>ja vor</t>
        </is>
      </c>
      <c r="BN724" t="n">
        <v>2</v>
      </c>
      <c r="BO724" t="inlineStr"/>
      <c r="BP724" t="inlineStr"/>
      <c r="BQ724" t="inlineStr"/>
      <c r="BR724" t="inlineStr"/>
      <c r="BS724" t="inlineStr"/>
      <c r="BT724" t="inlineStr"/>
      <c r="BU724" t="inlineStr"/>
      <c r="BV724" t="inlineStr"/>
      <c r="BW724" t="inlineStr"/>
      <c r="BX724" t="inlineStr"/>
      <c r="BY724" t="inlineStr">
        <is>
          <t>Buchschuh (wg. Schließen)</t>
        </is>
      </c>
      <c r="BZ724" t="inlineStr"/>
      <c r="CA724" t="inlineStr">
        <is>
          <t>x</t>
        </is>
      </c>
      <c r="CB724" t="inlineStr">
        <is>
          <t>x</t>
        </is>
      </c>
      <c r="CC724" t="inlineStr"/>
      <c r="CD724" t="inlineStr"/>
      <c r="CE724" t="inlineStr"/>
      <c r="CF724" t="inlineStr"/>
      <c r="CG724" t="inlineStr"/>
      <c r="CH724" t="inlineStr"/>
      <c r="CI724" t="inlineStr"/>
      <c r="CJ724" t="inlineStr"/>
      <c r="CK724" t="inlineStr"/>
      <c r="CL724" t="inlineStr">
        <is>
          <t>o/u</t>
        </is>
      </c>
      <c r="CM724" t="n">
        <v>2</v>
      </c>
      <c r="CN724" t="inlineStr"/>
      <c r="CO724" t="inlineStr"/>
      <c r="CP724" t="inlineStr"/>
      <c r="CQ724" t="inlineStr"/>
      <c r="CR724" t="inlineStr"/>
      <c r="CS724" t="inlineStr"/>
      <c r="CT724" t="inlineStr"/>
      <c r="CU724" t="inlineStr"/>
      <c r="CV724" t="inlineStr"/>
      <c r="CW724" t="inlineStr"/>
      <c r="CX724" t="inlineStr"/>
      <c r="CY724" t="inlineStr"/>
      <c r="CZ724" t="inlineStr"/>
      <c r="DA724" t="inlineStr"/>
      <c r="DB724" t="inlineStr"/>
      <c r="DC724" t="inlineStr"/>
      <c r="DD724" t="inlineStr"/>
      <c r="DE724" t="inlineStr"/>
      <c r="DF724" t="inlineStr"/>
      <c r="DG724" t="inlineStr"/>
    </row>
    <row r="725">
      <c r="A725" t="inlineStr">
        <is>
          <t>III</t>
        </is>
      </c>
      <c r="B725" t="b">
        <v>1</v>
      </c>
      <c r="C725" t="inlineStr"/>
      <c r="D725" t="inlineStr"/>
      <c r="E725" t="n">
        <v>784</v>
      </c>
      <c r="F725">
        <f>HYPERLINK("https://portal.dnb.de/opac.htm?method=simpleSearch&amp;cqlMode=true&amp;query=idn%3D1066935440", "Portal")</f>
        <v/>
      </c>
      <c r="G725" t="inlineStr">
        <is>
          <t>Aaf</t>
        </is>
      </c>
      <c r="H725" t="inlineStr">
        <is>
          <t>L-1559-315463422</t>
        </is>
      </c>
      <c r="I725" t="inlineStr">
        <is>
          <t>1066935440</t>
        </is>
      </c>
      <c r="J725" t="inlineStr">
        <is>
          <t>III 73, 56</t>
        </is>
      </c>
      <c r="K725" t="inlineStr">
        <is>
          <t>III 73, 56</t>
        </is>
      </c>
      <c r="L725" t="inlineStr">
        <is>
          <t>III 73, 56</t>
        </is>
      </c>
      <c r="M725" t="inlineStr"/>
      <c r="N725" t="inlineStr">
        <is>
          <t xml:space="preserve">L' @Histoire de Thucydide Athenien, de la guerre qui fut entre les Peloponnesiens &amp; Atheniens : </t>
        </is>
      </c>
      <c r="O725" t="inlineStr">
        <is>
          <t xml:space="preserve"> : </t>
        </is>
      </c>
      <c r="P725" t="inlineStr"/>
      <c r="Q725" t="inlineStr"/>
      <c r="R725" t="inlineStr"/>
      <c r="S725" t="inlineStr">
        <is>
          <t>bis 35 cm</t>
        </is>
      </c>
      <c r="T725" t="inlineStr"/>
      <c r="U725" t="inlineStr"/>
      <c r="V725" t="inlineStr"/>
      <c r="W725" t="inlineStr"/>
      <c r="X725" t="inlineStr"/>
      <c r="Y725" t="inlineStr"/>
      <c r="Z725" t="inlineStr"/>
      <c r="AA725" t="inlineStr"/>
      <c r="AB725" t="inlineStr"/>
      <c r="AC725" t="inlineStr"/>
      <c r="AD725" t="inlineStr"/>
      <c r="AE725" t="inlineStr"/>
      <c r="AF725" t="inlineStr"/>
      <c r="AG725" t="inlineStr"/>
      <c r="AH725" t="inlineStr"/>
      <c r="AI725" t="inlineStr">
        <is>
          <t>L</t>
        </is>
      </c>
      <c r="AJ725" t="inlineStr"/>
      <c r="AK725" t="inlineStr"/>
      <c r="AL725" t="inlineStr"/>
      <c r="AM725" t="inlineStr">
        <is>
          <t>f/V</t>
        </is>
      </c>
      <c r="AN725" t="inlineStr"/>
      <c r="AO725" t="inlineStr"/>
      <c r="AP725" t="inlineStr"/>
      <c r="AQ725" t="inlineStr"/>
      <c r="AR725" t="inlineStr"/>
      <c r="AS725" t="inlineStr">
        <is>
          <t>Pa</t>
        </is>
      </c>
      <c r="AT725" t="inlineStr"/>
      <c r="AU725" t="inlineStr"/>
      <c r="AV725" t="inlineStr"/>
      <c r="AW725" t="inlineStr"/>
      <c r="AX725" t="inlineStr"/>
      <c r="AY725" t="inlineStr"/>
      <c r="AZ725" t="inlineStr"/>
      <c r="BA725" t="inlineStr"/>
      <c r="BB725" t="inlineStr"/>
      <c r="BC725" t="inlineStr"/>
      <c r="BD725" t="inlineStr"/>
      <c r="BE725" t="inlineStr"/>
      <c r="BF725" t="inlineStr"/>
      <c r="BG725" t="inlineStr">
        <is>
          <t>nur 110</t>
        </is>
      </c>
      <c r="BH725" t="inlineStr"/>
      <c r="BI725" t="inlineStr"/>
      <c r="BJ725" t="inlineStr"/>
      <c r="BK725" t="inlineStr"/>
      <c r="BL725" t="inlineStr"/>
      <c r="BM725" t="inlineStr">
        <is>
          <t>n</t>
        </is>
      </c>
      <c r="BN725" t="n">
        <v>0</v>
      </c>
      <c r="BO725" t="inlineStr"/>
      <c r="BP725" t="inlineStr"/>
      <c r="BQ725" t="inlineStr"/>
      <c r="BR725" t="inlineStr"/>
      <c r="BS725" t="inlineStr"/>
      <c r="BT725" t="inlineStr"/>
      <c r="BU725" t="inlineStr"/>
      <c r="BV725" t="inlineStr"/>
      <c r="BW725" t="inlineStr"/>
      <c r="BX725" t="inlineStr"/>
      <c r="BY725" t="inlineStr"/>
      <c r="BZ725" t="inlineStr"/>
      <c r="CA725" t="inlineStr"/>
      <c r="CB725" t="inlineStr"/>
      <c r="CC725" t="inlineStr"/>
      <c r="CD725" t="inlineStr"/>
      <c r="CE725" t="inlineStr"/>
      <c r="CF725" t="inlineStr"/>
      <c r="CG725" t="inlineStr"/>
      <c r="CH725" t="inlineStr"/>
      <c r="CI725" t="inlineStr"/>
      <c r="CJ725" t="inlineStr"/>
      <c r="CK725" t="inlineStr"/>
      <c r="CL725" t="inlineStr"/>
      <c r="CM725" t="inlineStr"/>
      <c r="CN725" t="inlineStr"/>
      <c r="CO725" t="inlineStr"/>
      <c r="CP725" t="inlineStr"/>
      <c r="CQ725" t="inlineStr"/>
      <c r="CR725" t="inlineStr"/>
      <c r="CS725" t="inlineStr"/>
      <c r="CT725" t="inlineStr"/>
      <c r="CU725" t="inlineStr"/>
      <c r="CV725" t="inlineStr"/>
      <c r="CW725" t="inlineStr"/>
      <c r="CX725" t="inlineStr"/>
      <c r="CY725" t="inlineStr"/>
      <c r="CZ725" t="inlineStr"/>
      <c r="DA725" t="inlineStr"/>
      <c r="DB725" t="inlineStr"/>
      <c r="DC725" t="inlineStr"/>
      <c r="DD725" t="inlineStr"/>
      <c r="DE725" t="inlineStr"/>
      <c r="DF725" t="inlineStr"/>
      <c r="DG725" t="inlineStr"/>
    </row>
    <row r="726">
      <c r="A726" t="inlineStr">
        <is>
          <t>III</t>
        </is>
      </c>
      <c r="B726" t="b">
        <v>1</v>
      </c>
      <c r="C726" t="inlineStr"/>
      <c r="D726" t="inlineStr"/>
      <c r="E726" t="n">
        <v>785</v>
      </c>
      <c r="F726">
        <f>HYPERLINK("https://portal.dnb.de/opac.htm?method=simpleSearch&amp;cqlMode=true&amp;query=idn%3D1066837066", "Portal")</f>
        <v/>
      </c>
      <c r="G726" t="inlineStr">
        <is>
          <t>Aaf</t>
        </is>
      </c>
      <c r="H726" t="inlineStr">
        <is>
          <t>L-1558-315297123</t>
        </is>
      </c>
      <c r="I726" t="inlineStr">
        <is>
          <t>1066837066</t>
        </is>
      </c>
      <c r="J726" t="inlineStr">
        <is>
          <t>III 73, 57</t>
        </is>
      </c>
      <c r="K726" t="inlineStr">
        <is>
          <t>III 73, 57</t>
        </is>
      </c>
      <c r="L726" t="inlineStr">
        <is>
          <t>III 73, 57</t>
        </is>
      </c>
      <c r="M726" t="inlineStr"/>
      <c r="N726" t="inlineStr">
        <is>
          <t xml:space="preserve">Pro sacerdotum barbis : </t>
        </is>
      </c>
      <c r="O726" t="inlineStr">
        <is>
          <t xml:space="preserve"> : </t>
        </is>
      </c>
      <c r="P726" t="inlineStr">
        <is>
          <t>X</t>
        </is>
      </c>
      <c r="Q726" t="inlineStr"/>
      <c r="R726" t="inlineStr">
        <is>
          <t>Gewebeeinband</t>
        </is>
      </c>
      <c r="S726" t="inlineStr">
        <is>
          <t>bis 25 cm</t>
        </is>
      </c>
      <c r="T726" t="inlineStr">
        <is>
          <t>180°</t>
        </is>
      </c>
      <c r="U726" t="inlineStr">
        <is>
          <t>hohler Rücken</t>
        </is>
      </c>
      <c r="V726" t="inlineStr"/>
      <c r="W726" t="inlineStr"/>
      <c r="X726" t="inlineStr">
        <is>
          <t>Signaturfahne austauschen</t>
        </is>
      </c>
      <c r="Y726" t="n">
        <v>0</v>
      </c>
      <c r="Z726" t="inlineStr"/>
      <c r="AA726" t="inlineStr">
        <is>
          <t>mit Blindmaterial</t>
        </is>
      </c>
      <c r="AB726" t="inlineStr"/>
      <c r="AC726" t="inlineStr"/>
      <c r="AD726" t="inlineStr"/>
      <c r="AE726" t="inlineStr"/>
      <c r="AF726" t="inlineStr"/>
      <c r="AG726" t="inlineStr"/>
      <c r="AH726" t="inlineStr"/>
      <c r="AI726" t="inlineStr"/>
      <c r="AJ726" t="inlineStr"/>
      <c r="AK726" t="inlineStr"/>
      <c r="AL726" t="inlineStr"/>
      <c r="AM726" t="inlineStr"/>
      <c r="AN726" t="inlineStr"/>
      <c r="AO726" t="inlineStr"/>
      <c r="AP726" t="inlineStr"/>
      <c r="AQ726" t="inlineStr"/>
      <c r="AR726" t="inlineStr"/>
      <c r="AS726" t="inlineStr"/>
      <c r="AT726" t="inlineStr"/>
      <c r="AU726" t="inlineStr"/>
      <c r="AV726" t="inlineStr"/>
      <c r="AW726" t="inlineStr"/>
      <c r="AX726" t="inlineStr"/>
      <c r="AY726" t="inlineStr"/>
      <c r="AZ726" t="inlineStr"/>
      <c r="BA726" t="inlineStr"/>
      <c r="BB726" t="inlineStr"/>
      <c r="BC726" t="inlineStr"/>
      <c r="BD726" t="inlineStr"/>
      <c r="BE726" t="inlineStr"/>
      <c r="BF726" t="inlineStr"/>
      <c r="BG726" t="inlineStr"/>
      <c r="BH726" t="inlineStr"/>
      <c r="BI726" t="inlineStr"/>
      <c r="BJ726" t="inlineStr"/>
      <c r="BK726" t="inlineStr"/>
      <c r="BL726" t="inlineStr"/>
      <c r="BM726" t="inlineStr"/>
      <c r="BN726" t="n">
        <v>0</v>
      </c>
      <c r="BO726" t="inlineStr"/>
      <c r="BP726" t="inlineStr"/>
      <c r="BQ726" t="inlineStr"/>
      <c r="BR726" t="inlineStr"/>
      <c r="BS726" t="inlineStr"/>
      <c r="BT726" t="inlineStr"/>
      <c r="BU726" t="inlineStr"/>
      <c r="BV726" t="inlineStr"/>
      <c r="BW726" t="inlineStr"/>
      <c r="BX726" t="inlineStr"/>
      <c r="BY726" t="inlineStr"/>
      <c r="BZ726" t="inlineStr"/>
      <c r="CA726" t="inlineStr"/>
      <c r="CB726" t="inlineStr"/>
      <c r="CC726" t="inlineStr"/>
      <c r="CD726" t="inlineStr"/>
      <c r="CE726" t="inlineStr"/>
      <c r="CF726" t="inlineStr"/>
      <c r="CG726" t="inlineStr"/>
      <c r="CH726" t="inlineStr"/>
      <c r="CI726" t="inlineStr"/>
      <c r="CJ726" t="inlineStr"/>
      <c r="CK726" t="inlineStr"/>
      <c r="CL726" t="inlineStr"/>
      <c r="CM726" t="inlineStr"/>
      <c r="CN726" t="inlineStr"/>
      <c r="CO726" t="inlineStr"/>
      <c r="CP726" t="inlineStr"/>
      <c r="CQ726" t="inlineStr"/>
      <c r="CR726" t="inlineStr"/>
      <c r="CS726" t="inlineStr"/>
      <c r="CT726" t="inlineStr"/>
      <c r="CU726" t="inlineStr"/>
      <c r="CV726" t="inlineStr"/>
      <c r="CW726" t="inlineStr"/>
      <c r="CX726" t="inlineStr"/>
      <c r="CY726" t="inlineStr"/>
      <c r="CZ726" t="inlineStr"/>
      <c r="DA726" t="inlineStr"/>
      <c r="DB726" t="inlineStr"/>
      <c r="DC726" t="inlineStr"/>
      <c r="DD726" t="inlineStr"/>
      <c r="DE726" t="inlineStr"/>
      <c r="DF726" t="inlineStr"/>
      <c r="DG726" t="inlineStr"/>
    </row>
    <row r="727">
      <c r="A727" t="inlineStr">
        <is>
          <t>III</t>
        </is>
      </c>
      <c r="B727" t="b">
        <v>1</v>
      </c>
      <c r="C727" t="inlineStr">
        <is>
          <t>x</t>
        </is>
      </c>
      <c r="D727" t="inlineStr"/>
      <c r="E727" t="n">
        <v>786</v>
      </c>
      <c r="F727">
        <f>HYPERLINK("https://portal.dnb.de/opac.htm?method=simpleSearch&amp;cqlMode=true&amp;query=idn%3D1066785902", "Portal")</f>
        <v/>
      </c>
      <c r="G727" t="inlineStr">
        <is>
          <t>Aaf</t>
        </is>
      </c>
      <c r="H727" t="inlineStr">
        <is>
          <t>L-1560-315207531</t>
        </is>
      </c>
      <c r="I727" t="inlineStr">
        <is>
          <t>1066785902</t>
        </is>
      </c>
      <c r="J727" t="inlineStr">
        <is>
          <t>III 73, 58</t>
        </is>
      </c>
      <c r="K727" t="inlineStr">
        <is>
          <t>III 73, 58</t>
        </is>
      </c>
      <c r="L727" t="inlineStr">
        <is>
          <t>III 73, 58</t>
        </is>
      </c>
      <c r="M727" t="inlineStr"/>
      <c r="N727" t="inlineStr">
        <is>
          <t>Confessio catholicae fidei Christiana : vel potivs explicatio qvaedam confessionis a patribus factae in synodo Prouinciali, quae habita est Petrikouia</t>
        </is>
      </c>
      <c r="O727" t="inlineStr">
        <is>
          <t xml:space="preserve"> : </t>
        </is>
      </c>
      <c r="P727" t="inlineStr">
        <is>
          <t>X</t>
        </is>
      </c>
      <c r="Q727" t="inlineStr"/>
      <c r="R727" t="inlineStr">
        <is>
          <t>Halbledereinband, Schließen, erhabene Buchbeschläge</t>
        </is>
      </c>
      <c r="S727" t="inlineStr">
        <is>
          <t>bis 25 cm</t>
        </is>
      </c>
      <c r="T727" t="inlineStr">
        <is>
          <t>nur sehr geringer Öffnungswinkel</t>
        </is>
      </c>
      <c r="U727" t="inlineStr">
        <is>
          <t>fester Rücken mit Schmuckprägung</t>
        </is>
      </c>
      <c r="V727" t="inlineStr"/>
      <c r="W727" t="inlineStr"/>
      <c r="X727" t="inlineStr">
        <is>
          <t>Signaturfahne austauschen</t>
        </is>
      </c>
      <c r="Y727" t="n">
        <v>2</v>
      </c>
      <c r="Z727" t="inlineStr"/>
      <c r="AA727" t="inlineStr"/>
      <c r="AB727" t="inlineStr"/>
      <c r="AC727" t="inlineStr"/>
      <c r="AD727" t="inlineStr"/>
      <c r="AE727" t="inlineStr"/>
      <c r="AF727" t="inlineStr"/>
      <c r="AG727" t="inlineStr"/>
      <c r="AH727" t="inlineStr"/>
      <c r="AI727" t="inlineStr">
        <is>
          <t>HL</t>
        </is>
      </c>
      <c r="AJ727" t="inlineStr"/>
      <c r="AK727" t="inlineStr">
        <is>
          <t>x</t>
        </is>
      </c>
      <c r="AL727" t="inlineStr"/>
      <c r="AM727" t="inlineStr">
        <is>
          <t>f/V</t>
        </is>
      </c>
      <c r="AN727" t="inlineStr"/>
      <c r="AO727" t="inlineStr"/>
      <c r="AP727" t="inlineStr"/>
      <c r="AQ727" t="inlineStr"/>
      <c r="AR727" t="inlineStr"/>
      <c r="AS727" t="inlineStr">
        <is>
          <t>Pa</t>
        </is>
      </c>
      <c r="AT727" t="inlineStr"/>
      <c r="AU727" t="inlineStr"/>
      <c r="AV727" t="inlineStr"/>
      <c r="AW727" t="inlineStr"/>
      <c r="AX727" t="inlineStr"/>
      <c r="AY727" t="inlineStr"/>
      <c r="AZ727" t="inlineStr"/>
      <c r="BA727" t="inlineStr"/>
      <c r="BB727" t="inlineStr"/>
      <c r="BC727" t="inlineStr"/>
      <c r="BD727" t="inlineStr"/>
      <c r="BE727" t="inlineStr"/>
      <c r="BF727" t="inlineStr"/>
      <c r="BG727" t="n">
        <v>45</v>
      </c>
      <c r="BH727" t="inlineStr"/>
      <c r="BI727" t="inlineStr"/>
      <c r="BJ727" t="inlineStr"/>
      <c r="BK727" t="inlineStr"/>
      <c r="BL727" t="inlineStr"/>
      <c r="BM727" t="inlineStr">
        <is>
          <t>ja vor</t>
        </is>
      </c>
      <c r="BN727" t="n">
        <v>2</v>
      </c>
      <c r="BO727" t="inlineStr"/>
      <c r="BP727" t="inlineStr"/>
      <c r="BQ727" t="inlineStr"/>
      <c r="BR727" t="inlineStr"/>
      <c r="BS727" t="inlineStr"/>
      <c r="BT727" t="inlineStr"/>
      <c r="BU727" t="inlineStr"/>
      <c r="BV727" t="inlineStr"/>
      <c r="BW727" t="inlineStr"/>
      <c r="BX727" t="inlineStr"/>
      <c r="BY727" t="inlineStr"/>
      <c r="BZ727" t="inlineStr">
        <is>
          <t>x</t>
        </is>
      </c>
      <c r="CA727" t="inlineStr">
        <is>
          <t>x</t>
        </is>
      </c>
      <c r="CB727" t="inlineStr">
        <is>
          <t>x</t>
        </is>
      </c>
      <c r="CC727" t="inlineStr"/>
      <c r="CD727" t="inlineStr">
        <is>
          <t>v/h</t>
        </is>
      </c>
      <c r="CE727" t="inlineStr"/>
      <c r="CF727" t="inlineStr"/>
      <c r="CG727" t="inlineStr"/>
      <c r="CH727" t="inlineStr"/>
      <c r="CI727" t="inlineStr"/>
      <c r="CJ727" t="inlineStr"/>
      <c r="CK727" t="inlineStr"/>
      <c r="CL727" t="inlineStr"/>
      <c r="CM727" t="n">
        <v>2</v>
      </c>
      <c r="CN727" t="inlineStr">
        <is>
          <t>Leder fixieren, Einschlag stabilisieren, Gelenke mit JP überfangen</t>
        </is>
      </c>
      <c r="CO727" t="inlineStr"/>
      <c r="CP727" t="inlineStr"/>
      <c r="CQ727" t="inlineStr"/>
      <c r="CR727" t="inlineStr"/>
      <c r="CS727" t="inlineStr"/>
      <c r="CT727" t="inlineStr"/>
      <c r="CU727" t="inlineStr"/>
      <c r="CV727" t="inlineStr"/>
      <c r="CW727" t="inlineStr"/>
      <c r="CX727" t="inlineStr"/>
      <c r="CY727" t="inlineStr"/>
      <c r="CZ727" t="inlineStr"/>
      <c r="DA727" t="inlineStr"/>
      <c r="DB727" t="inlineStr"/>
      <c r="DC727" t="inlineStr"/>
      <c r="DD727" t="inlineStr"/>
      <c r="DE727" t="inlineStr"/>
      <c r="DF727" t="inlineStr"/>
      <c r="DG727" t="inlineStr"/>
    </row>
    <row r="728">
      <c r="A728" t="inlineStr">
        <is>
          <t>III</t>
        </is>
      </c>
      <c r="B728" t="b">
        <v>1</v>
      </c>
      <c r="C728" t="inlineStr"/>
      <c r="D728" t="inlineStr"/>
      <c r="E728" t="n">
        <v>787</v>
      </c>
      <c r="F728">
        <f>HYPERLINK("https://portal.dnb.de/opac.htm?method=simpleSearch&amp;cqlMode=true&amp;query=idn%3D1001857976", "Portal")</f>
        <v/>
      </c>
      <c r="G728" t="inlineStr">
        <is>
          <t>Aal</t>
        </is>
      </c>
      <c r="H728" t="inlineStr">
        <is>
          <t>L-1560-175715408</t>
        </is>
      </c>
      <c r="I728" t="inlineStr">
        <is>
          <t>1001857976</t>
        </is>
      </c>
      <c r="J728" t="inlineStr">
        <is>
          <t>III 73, 59</t>
        </is>
      </c>
      <c r="K728" t="inlineStr">
        <is>
          <t>III 73, 59</t>
        </is>
      </c>
      <c r="L728" t="inlineStr">
        <is>
          <t>III 73, 59</t>
        </is>
      </c>
      <c r="M728" t="inlineStr"/>
      <c r="N728" t="inlineStr">
        <is>
          <t>Defensio|| [pro trimembri Theologia M. Lutheri contra aedificatores Babylonicae turris, ...] Frederici Staphylii|| ADVERSVS|| Philippum Melanthonem,||</t>
        </is>
      </c>
      <c r="O728" t="inlineStr">
        <is>
          <t xml:space="preserve"> : </t>
        </is>
      </c>
      <c r="P728" t="inlineStr"/>
      <c r="Q728" t="inlineStr"/>
      <c r="R728" t="inlineStr">
        <is>
          <t>Halbledereinband</t>
        </is>
      </c>
      <c r="S728" t="inlineStr">
        <is>
          <t>bis 25 cm</t>
        </is>
      </c>
      <c r="T728" t="inlineStr">
        <is>
          <t>180°</t>
        </is>
      </c>
      <c r="U728" t="inlineStr"/>
      <c r="V728" t="inlineStr"/>
      <c r="W728" t="inlineStr"/>
      <c r="X728" t="inlineStr"/>
      <c r="Y728" t="n">
        <v>0</v>
      </c>
      <c r="Z728" t="inlineStr"/>
      <c r="AA728" t="inlineStr"/>
      <c r="AB728" t="inlineStr"/>
      <c r="AC728" t="inlineStr"/>
      <c r="AD728" t="inlineStr"/>
      <c r="AE728" t="inlineStr"/>
      <c r="AF728" t="inlineStr"/>
      <c r="AG728" t="inlineStr"/>
      <c r="AH728" t="inlineStr"/>
      <c r="AI728" t="inlineStr"/>
      <c r="AJ728" t="inlineStr"/>
      <c r="AK728" t="inlineStr"/>
      <c r="AL728" t="inlineStr"/>
      <c r="AM728" t="inlineStr"/>
      <c r="AN728" t="inlineStr"/>
      <c r="AO728" t="inlineStr"/>
      <c r="AP728" t="inlineStr"/>
      <c r="AQ728" t="inlineStr"/>
      <c r="AR728" t="inlineStr"/>
      <c r="AS728" t="inlineStr"/>
      <c r="AT728" t="inlineStr"/>
      <c r="AU728" t="inlineStr"/>
      <c r="AV728" t="inlineStr"/>
      <c r="AW728" t="inlineStr"/>
      <c r="AX728" t="inlineStr"/>
      <c r="AY728" t="inlineStr"/>
      <c r="AZ728" t="inlineStr"/>
      <c r="BA728" t="inlineStr"/>
      <c r="BB728" t="inlineStr"/>
      <c r="BC728" t="inlineStr"/>
      <c r="BD728" t="inlineStr"/>
      <c r="BE728" t="inlineStr"/>
      <c r="BF728" t="inlineStr"/>
      <c r="BG728" t="inlineStr"/>
      <c r="BH728" t="inlineStr"/>
      <c r="BI728" t="inlineStr"/>
      <c r="BJ728" t="inlineStr"/>
      <c r="BK728" t="inlineStr"/>
      <c r="BL728" t="inlineStr"/>
      <c r="BM728" t="inlineStr"/>
      <c r="BN728" t="n">
        <v>0</v>
      </c>
      <c r="BO728" t="inlineStr"/>
      <c r="BP728" t="inlineStr"/>
      <c r="BQ728" t="inlineStr"/>
      <c r="BR728" t="inlineStr"/>
      <c r="BS728" t="inlineStr"/>
      <c r="BT728" t="inlineStr"/>
      <c r="BU728" t="inlineStr"/>
      <c r="BV728" t="inlineStr"/>
      <c r="BW728" t="inlineStr"/>
      <c r="BX728" t="inlineStr"/>
      <c r="BY728" t="inlineStr"/>
      <c r="BZ728" t="inlineStr"/>
      <c r="CA728" t="inlineStr"/>
      <c r="CB728" t="inlineStr"/>
      <c r="CC728" t="inlineStr"/>
      <c r="CD728" t="inlineStr"/>
      <c r="CE728" t="inlineStr"/>
      <c r="CF728" t="inlineStr"/>
      <c r="CG728" t="inlineStr"/>
      <c r="CH728" t="inlineStr"/>
      <c r="CI728" t="inlineStr"/>
      <c r="CJ728" t="inlineStr"/>
      <c r="CK728" t="inlineStr"/>
      <c r="CL728" t="inlineStr"/>
      <c r="CM728" t="inlineStr"/>
      <c r="CN728" t="inlineStr"/>
      <c r="CO728" t="inlineStr"/>
      <c r="CP728" t="inlineStr"/>
      <c r="CQ728" t="inlineStr"/>
      <c r="CR728" t="inlineStr"/>
      <c r="CS728" t="inlineStr"/>
      <c r="CT728" t="inlineStr"/>
      <c r="CU728" t="inlineStr"/>
      <c r="CV728" t="inlineStr"/>
      <c r="CW728" t="inlineStr"/>
      <c r="CX728" t="inlineStr"/>
      <c r="CY728" t="inlineStr"/>
      <c r="CZ728" t="inlineStr"/>
      <c r="DA728" t="inlineStr"/>
      <c r="DB728" t="inlineStr"/>
      <c r="DC728" t="inlineStr"/>
      <c r="DD728" t="inlineStr"/>
      <c r="DE728" t="inlineStr"/>
      <c r="DF728" t="inlineStr"/>
      <c r="DG728" t="inlineStr"/>
    </row>
    <row r="729">
      <c r="A729" t="inlineStr">
        <is>
          <t>III</t>
        </is>
      </c>
      <c r="B729" t="b">
        <v>1</v>
      </c>
      <c r="C729" t="inlineStr"/>
      <c r="D729" t="inlineStr"/>
      <c r="E729" t="n">
        <v>788</v>
      </c>
      <c r="F729">
        <f>HYPERLINK("https://portal.dnb.de/opac.htm?method=simpleSearch&amp;cqlMode=true&amp;query=idn%3D997386932", "Portal")</f>
        <v/>
      </c>
      <c r="G729" t="inlineStr">
        <is>
          <t>Aal</t>
        </is>
      </c>
      <c r="H729" t="inlineStr">
        <is>
          <t>L-1534-163758778</t>
        </is>
      </c>
      <c r="I729" t="inlineStr">
        <is>
          <t>997386932</t>
        </is>
      </c>
      <c r="J729" t="inlineStr">
        <is>
          <t>III 73, 60</t>
        </is>
      </c>
      <c r="K729" t="inlineStr">
        <is>
          <t>III 73, 60</t>
        </is>
      </c>
      <c r="L729" t="inlineStr">
        <is>
          <t>III 73, 60</t>
        </is>
      </c>
      <c r="M729" t="inlineStr"/>
      <c r="N729" t="inlineStr">
        <is>
          <t xml:space="preserve">[Horae Beatae Mariae Virginis secundum consuetudinem romanae curiae] : </t>
        </is>
      </c>
      <c r="O729" t="inlineStr">
        <is>
          <t xml:space="preserve"> : </t>
        </is>
      </c>
      <c r="P729" t="inlineStr">
        <is>
          <t>X</t>
        </is>
      </c>
      <c r="Q729" t="inlineStr"/>
      <c r="R729" t="inlineStr">
        <is>
          <t>Ledereinband, Buchblock aus Pergament</t>
        </is>
      </c>
      <c r="S729" t="inlineStr">
        <is>
          <t>bis 25 cm</t>
        </is>
      </c>
      <c r="T729" t="inlineStr">
        <is>
          <t>80° bis 110°, einseitig digitalisierbar?</t>
        </is>
      </c>
      <c r="U729" t="inlineStr">
        <is>
          <t>fester Rücken mit Schmuckprägung</t>
        </is>
      </c>
      <c r="V729" t="inlineStr">
        <is>
          <t>nicht verwenden</t>
        </is>
      </c>
      <c r="W729" t="inlineStr">
        <is>
          <t>Kassette</t>
        </is>
      </c>
      <c r="X729" t="inlineStr"/>
      <c r="Y729" t="n">
        <v>0</v>
      </c>
      <c r="Z729" t="inlineStr"/>
      <c r="AA729" t="inlineStr"/>
      <c r="AB729" t="inlineStr"/>
      <c r="AC729" t="inlineStr"/>
      <c r="AD729" t="inlineStr"/>
      <c r="AE729" t="inlineStr"/>
      <c r="AF729" t="inlineStr"/>
      <c r="AG729" t="inlineStr"/>
      <c r="AH729" t="inlineStr"/>
      <c r="AI729" t="inlineStr"/>
      <c r="AJ729" t="inlineStr"/>
      <c r="AK729" t="inlineStr"/>
      <c r="AL729" t="inlineStr"/>
      <c r="AM729" t="inlineStr"/>
      <c r="AN729" t="inlineStr"/>
      <c r="AO729" t="inlineStr"/>
      <c r="AP729" t="inlineStr"/>
      <c r="AQ729" t="inlineStr"/>
      <c r="AR729" t="inlineStr"/>
      <c r="AS729" t="inlineStr"/>
      <c r="AT729" t="inlineStr"/>
      <c r="AU729" t="inlineStr"/>
      <c r="AV729" t="inlineStr"/>
      <c r="AW729" t="inlineStr"/>
      <c r="AX729" t="inlineStr"/>
      <c r="AY729" t="inlineStr"/>
      <c r="AZ729" t="inlineStr"/>
      <c r="BA729" t="inlineStr"/>
      <c r="BB729" t="inlineStr"/>
      <c r="BC729" t="inlineStr"/>
      <c r="BD729" t="inlineStr"/>
      <c r="BE729" t="inlineStr"/>
      <c r="BF729" t="inlineStr"/>
      <c r="BG729" t="inlineStr"/>
      <c r="BH729" t="inlineStr"/>
      <c r="BI729" t="inlineStr"/>
      <c r="BJ729" t="inlineStr"/>
      <c r="BK729" t="inlineStr"/>
      <c r="BL729" t="inlineStr"/>
      <c r="BM729" t="inlineStr"/>
      <c r="BN729" t="n">
        <v>0</v>
      </c>
      <c r="BO729" t="inlineStr"/>
      <c r="BP729" t="inlineStr"/>
      <c r="BQ729" t="inlineStr"/>
      <c r="BR729" t="inlineStr"/>
      <c r="BS729" t="inlineStr"/>
      <c r="BT729" t="inlineStr"/>
      <c r="BU729" t="inlineStr"/>
      <c r="BV729" t="inlineStr"/>
      <c r="BW729" t="inlineStr"/>
      <c r="BX729" t="inlineStr"/>
      <c r="BY729" t="inlineStr"/>
      <c r="BZ729" t="inlineStr"/>
      <c r="CA729" t="inlineStr"/>
      <c r="CB729" t="inlineStr"/>
      <c r="CC729" t="inlineStr"/>
      <c r="CD729" t="inlineStr"/>
      <c r="CE729" t="inlineStr"/>
      <c r="CF729" t="inlineStr"/>
      <c r="CG729" t="inlineStr"/>
      <c r="CH729" t="inlineStr"/>
      <c r="CI729" t="inlineStr"/>
      <c r="CJ729" t="inlineStr"/>
      <c r="CK729" t="inlineStr"/>
      <c r="CL729" t="inlineStr"/>
      <c r="CM729" t="inlineStr"/>
      <c r="CN729" t="inlineStr"/>
      <c r="CO729" t="inlineStr"/>
      <c r="CP729" t="inlineStr"/>
      <c r="CQ729" t="inlineStr"/>
      <c r="CR729" t="inlineStr"/>
      <c r="CS729" t="inlineStr"/>
      <c r="CT729" t="inlineStr"/>
      <c r="CU729" t="inlineStr"/>
      <c r="CV729" t="inlineStr"/>
      <c r="CW729" t="inlineStr"/>
      <c r="CX729" t="inlineStr"/>
      <c r="CY729" t="inlineStr"/>
      <c r="CZ729" t="inlineStr"/>
      <c r="DA729" t="inlineStr"/>
      <c r="DB729" t="inlineStr"/>
      <c r="DC729" t="inlineStr"/>
      <c r="DD729" t="inlineStr"/>
      <c r="DE729" t="inlineStr"/>
      <c r="DF729" t="inlineStr"/>
      <c r="DG729" t="inlineStr"/>
    </row>
    <row r="730">
      <c r="A730" t="inlineStr">
        <is>
          <t>III</t>
        </is>
      </c>
      <c r="B730" t="b">
        <v>1</v>
      </c>
      <c r="C730" t="inlineStr">
        <is>
          <t>x</t>
        </is>
      </c>
      <c r="D730" t="inlineStr"/>
      <c r="E730" t="inlineStr"/>
      <c r="F730">
        <f>HYPERLINK("https://portal.dnb.de/opac.htm?method=simpleSearch&amp;cqlMode=true&amp;query=idn%3D1268059498", "Portal")</f>
        <v/>
      </c>
      <c r="G730" t="inlineStr">
        <is>
          <t>Qd</t>
        </is>
      </c>
      <c r="H730" t="inlineStr">
        <is>
          <t>L-1503-818824093</t>
        </is>
      </c>
      <c r="I730" t="inlineStr">
        <is>
          <t>1268059498</t>
        </is>
      </c>
      <c r="J730" t="inlineStr">
        <is>
          <t>III 73, 61</t>
        </is>
      </c>
      <c r="K730" t="inlineStr">
        <is>
          <t>III 73, 61</t>
        </is>
      </c>
      <c r="L730" t="inlineStr">
        <is>
          <t>III 73, 61</t>
        </is>
      </c>
      <c r="M730" t="inlineStr"/>
      <c r="N730" t="inlineStr">
        <is>
          <t xml:space="preserve">Sammelband : </t>
        </is>
      </c>
      <c r="O730" t="inlineStr">
        <is>
          <t xml:space="preserve"> : </t>
        </is>
      </c>
      <c r="P730" t="inlineStr"/>
      <c r="Q730" t="inlineStr">
        <is>
          <t>850,00 EUR</t>
        </is>
      </c>
      <c r="R730" t="inlineStr">
        <is>
          <t>Pergamentband</t>
        </is>
      </c>
      <c r="S730" t="inlineStr">
        <is>
          <t>bis 25 cm</t>
        </is>
      </c>
      <c r="T730" t="inlineStr">
        <is>
          <t>180°</t>
        </is>
      </c>
      <c r="U730" t="inlineStr">
        <is>
          <t>fester Rücken mit Schmuckprägung</t>
        </is>
      </c>
      <c r="V730" t="inlineStr"/>
      <c r="W730" t="inlineStr">
        <is>
          <t xml:space="preserve">Papierumschlag </t>
        </is>
      </c>
      <c r="X730" t="inlineStr">
        <is>
          <t>Nein</t>
        </is>
      </c>
      <c r="Y730" t="n">
        <v>1</v>
      </c>
      <c r="Z730" t="inlineStr"/>
      <c r="AA730" t="inlineStr"/>
      <c r="AB730" t="inlineStr"/>
      <c r="AC730" t="inlineStr"/>
      <c r="AD730" t="inlineStr"/>
      <c r="AE730" t="inlineStr"/>
      <c r="AF730" t="inlineStr"/>
      <c r="AG730" t="inlineStr"/>
      <c r="AH730" t="inlineStr"/>
      <c r="AI730" t="inlineStr">
        <is>
          <t>Pg (Mak.)</t>
        </is>
      </c>
      <c r="AJ730" t="inlineStr"/>
      <c r="AK730" t="inlineStr"/>
      <c r="AL730" t="inlineStr"/>
      <c r="AM730" t="inlineStr">
        <is>
          <t>h</t>
        </is>
      </c>
      <c r="AN730" t="inlineStr"/>
      <c r="AO730" t="inlineStr"/>
      <c r="AP730" t="inlineStr"/>
      <c r="AQ730" t="inlineStr"/>
      <c r="AR730" t="inlineStr"/>
      <c r="AS730" t="inlineStr">
        <is>
          <t>Pa</t>
        </is>
      </c>
      <c r="AT730" t="inlineStr"/>
      <c r="AU730" t="inlineStr"/>
      <c r="AV730" t="inlineStr"/>
      <c r="AW730" t="inlineStr"/>
      <c r="AX730" t="inlineStr"/>
      <c r="AY730" t="inlineStr"/>
      <c r="AZ730" t="inlineStr"/>
      <c r="BA730" t="inlineStr"/>
      <c r="BB730" t="inlineStr"/>
      <c r="BC730" t="inlineStr"/>
      <c r="BD730" t="inlineStr"/>
      <c r="BE730" t="inlineStr"/>
      <c r="BF730" t="inlineStr"/>
      <c r="BG730" t="n">
        <v>110</v>
      </c>
      <c r="BH730" t="inlineStr"/>
      <c r="BI730" t="inlineStr"/>
      <c r="BJ730" t="inlineStr"/>
      <c r="BK730" t="inlineStr"/>
      <c r="BL730" t="inlineStr"/>
      <c r="BM730" t="inlineStr">
        <is>
          <t>ja vor</t>
        </is>
      </c>
      <c r="BN730" t="n">
        <v>2</v>
      </c>
      <c r="BO730" t="inlineStr"/>
      <c r="BP730" t="inlineStr"/>
      <c r="BQ730" t="inlineStr"/>
      <c r="BR730" t="inlineStr"/>
      <c r="BS730" t="inlineStr"/>
      <c r="BT730" t="inlineStr">
        <is>
          <t>x sauer</t>
        </is>
      </c>
      <c r="BU730" t="inlineStr"/>
      <c r="BV730" t="inlineStr"/>
      <c r="BW730" t="inlineStr"/>
      <c r="BX730" t="inlineStr"/>
      <c r="BY730" t="inlineStr"/>
      <c r="BZ730" t="inlineStr">
        <is>
          <t>x</t>
        </is>
      </c>
      <c r="CA730" t="inlineStr"/>
      <c r="CB730" t="inlineStr">
        <is>
          <t>x</t>
        </is>
      </c>
      <c r="CC730" t="inlineStr"/>
      <c r="CD730" t="inlineStr">
        <is>
          <t>v</t>
        </is>
      </c>
      <c r="CE730" t="inlineStr"/>
      <c r="CF730" t="inlineStr"/>
      <c r="CG730" t="inlineStr"/>
      <c r="CH730" t="inlineStr"/>
      <c r="CI730" t="inlineStr"/>
      <c r="CJ730" t="inlineStr"/>
      <c r="CK730" t="inlineStr"/>
      <c r="CL730" t="inlineStr"/>
      <c r="CM730" t="n">
        <v>2</v>
      </c>
      <c r="CN730" t="inlineStr">
        <is>
          <t>mit JP unterlegen und überfangen</t>
        </is>
      </c>
      <c r="CO730" t="inlineStr"/>
      <c r="CP730" t="inlineStr"/>
      <c r="CQ730" t="inlineStr"/>
      <c r="CR730" t="inlineStr"/>
      <c r="CS730" t="inlineStr"/>
      <c r="CT730" t="inlineStr"/>
      <c r="CU730" t="inlineStr"/>
      <c r="CV730" t="inlineStr"/>
      <c r="CW730" t="inlineStr"/>
      <c r="CX730" t="inlineStr"/>
      <c r="CY730" t="inlineStr"/>
      <c r="CZ730" t="inlineStr"/>
      <c r="DA730" t="inlineStr"/>
      <c r="DB730" t="inlineStr"/>
      <c r="DC730" t="inlineStr"/>
      <c r="DD730" t="inlineStr"/>
      <c r="DE730" t="inlineStr"/>
      <c r="DF730" t="inlineStr"/>
      <c r="DG730" t="inlineStr"/>
    </row>
    <row r="731">
      <c r="A731" t="inlineStr">
        <is>
          <t>III</t>
        </is>
      </c>
      <c r="B731" t="b">
        <v>1</v>
      </c>
      <c r="C731" t="inlineStr"/>
      <c r="D731" t="inlineStr"/>
      <c r="E731" t="n">
        <v>1206</v>
      </c>
      <c r="F731">
        <f>HYPERLINK("https://portal.dnb.de/opac.htm?method=simpleSearch&amp;cqlMode=true&amp;query=idn%3D99431339X", "Portal")</f>
        <v/>
      </c>
      <c r="G731" t="inlineStr">
        <is>
          <t>Aal</t>
        </is>
      </c>
      <c r="H731" t="inlineStr">
        <is>
          <t>L-1510-15538287X</t>
        </is>
      </c>
      <c r="I731" t="inlineStr">
        <is>
          <t>99431339X</t>
        </is>
      </c>
      <c r="J731" t="inlineStr">
        <is>
          <t>III 74 A, 1</t>
        </is>
      </c>
      <c r="K731" t="inlineStr">
        <is>
          <t>III 74 A, 1</t>
        </is>
      </c>
      <c r="L731" t="inlineStr">
        <is>
          <t>III 74 A, 1</t>
        </is>
      </c>
      <c r="M731" t="inlineStr"/>
      <c r="N731" t="inlineStr">
        <is>
          <t>Devotissimum opus passionis Chri||sti Meditationum incipit : a seraphico||doctore Bonauentura editum : omni||bus predicatoribus deuotisque religio||si</t>
        </is>
      </c>
      <c r="O731" t="inlineStr">
        <is>
          <t xml:space="preserve"> : </t>
        </is>
      </c>
      <c r="P731" t="inlineStr"/>
      <c r="Q731" t="inlineStr"/>
      <c r="R731" t="inlineStr">
        <is>
          <t>Ledereinband</t>
        </is>
      </c>
      <c r="S731" t="inlineStr">
        <is>
          <t>bis 25 cm</t>
        </is>
      </c>
      <c r="T731" t="inlineStr">
        <is>
          <t>180°</t>
        </is>
      </c>
      <c r="U731" t="inlineStr">
        <is>
          <t>Einband mit Schutz- oder Stoßkanten, hohler Rücken</t>
        </is>
      </c>
      <c r="V731" t="inlineStr"/>
      <c r="W731" t="inlineStr"/>
      <c r="X731" t="inlineStr">
        <is>
          <t>Signaturfahne austauschen</t>
        </is>
      </c>
      <c r="Y731" t="n">
        <v>0</v>
      </c>
      <c r="Z731" t="inlineStr"/>
      <c r="AA731" t="inlineStr"/>
      <c r="AB731" t="inlineStr"/>
      <c r="AC731" t="inlineStr"/>
      <c r="AD731" t="inlineStr"/>
      <c r="AE731" t="inlineStr"/>
      <c r="AF731" t="inlineStr"/>
      <c r="AG731" t="inlineStr"/>
      <c r="AH731" t="inlineStr"/>
      <c r="AI731" t="inlineStr"/>
      <c r="AJ731" t="inlineStr"/>
      <c r="AK731" t="inlineStr"/>
      <c r="AL731" t="inlineStr"/>
      <c r="AM731" t="inlineStr"/>
      <c r="AN731" t="inlineStr"/>
      <c r="AO731" t="inlineStr"/>
      <c r="AP731" t="inlineStr"/>
      <c r="AQ731" t="inlineStr"/>
      <c r="AR731" t="inlineStr"/>
      <c r="AS731" t="inlineStr"/>
      <c r="AT731" t="inlineStr"/>
      <c r="AU731" t="inlineStr"/>
      <c r="AV731" t="inlineStr"/>
      <c r="AW731" t="inlineStr"/>
      <c r="AX731" t="inlineStr"/>
      <c r="AY731" t="inlineStr"/>
      <c r="AZ731" t="inlineStr"/>
      <c r="BA731" t="inlineStr"/>
      <c r="BB731" t="inlineStr"/>
      <c r="BC731" t="inlineStr"/>
      <c r="BD731" t="inlineStr"/>
      <c r="BE731" t="inlineStr"/>
      <c r="BF731" t="inlineStr"/>
      <c r="BG731" t="inlineStr"/>
      <c r="BH731" t="inlineStr"/>
      <c r="BI731" t="inlineStr"/>
      <c r="BJ731" t="inlineStr"/>
      <c r="BK731" t="inlineStr"/>
      <c r="BL731" t="inlineStr"/>
      <c r="BM731" t="inlineStr"/>
      <c r="BN731" t="n">
        <v>0</v>
      </c>
      <c r="BO731" t="inlineStr"/>
      <c r="BP731" t="inlineStr"/>
      <c r="BQ731" t="inlineStr"/>
      <c r="BR731" t="inlineStr"/>
      <c r="BS731" t="inlineStr"/>
      <c r="BT731" t="inlineStr"/>
      <c r="BU731" t="inlineStr"/>
      <c r="BV731" t="inlineStr"/>
      <c r="BW731" t="inlineStr"/>
      <c r="BX731" t="inlineStr"/>
      <c r="BY731" t="inlineStr"/>
      <c r="BZ731" t="inlineStr"/>
      <c r="CA731" t="inlineStr"/>
      <c r="CB731" t="inlineStr"/>
      <c r="CC731" t="inlineStr"/>
      <c r="CD731" t="inlineStr"/>
      <c r="CE731" t="inlineStr"/>
      <c r="CF731" t="inlineStr"/>
      <c r="CG731" t="inlineStr"/>
      <c r="CH731" t="inlineStr"/>
      <c r="CI731" t="inlineStr"/>
      <c r="CJ731" t="inlineStr"/>
      <c r="CK731" t="inlineStr"/>
      <c r="CL731" t="inlineStr"/>
      <c r="CM731" t="inlineStr"/>
      <c r="CN731" t="inlineStr"/>
      <c r="CO731" t="inlineStr"/>
      <c r="CP731" t="inlineStr"/>
      <c r="CQ731" t="inlineStr"/>
      <c r="CR731" t="inlineStr"/>
      <c r="CS731" t="inlineStr"/>
      <c r="CT731" t="inlineStr"/>
      <c r="CU731" t="inlineStr"/>
      <c r="CV731" t="inlineStr"/>
      <c r="CW731" t="inlineStr"/>
      <c r="CX731" t="inlineStr"/>
      <c r="CY731" t="inlineStr"/>
      <c r="CZ731" t="inlineStr"/>
      <c r="DA731" t="inlineStr"/>
      <c r="DB731" t="inlineStr"/>
      <c r="DC731" t="inlineStr"/>
      <c r="DD731" t="inlineStr"/>
      <c r="DE731" t="inlineStr"/>
      <c r="DF731" t="inlineStr"/>
      <c r="DG731" t="inlineStr"/>
    </row>
    <row r="732">
      <c r="A732" t="inlineStr">
        <is>
          <t>III</t>
        </is>
      </c>
      <c r="B732" t="b">
        <v>1</v>
      </c>
      <c r="C732" t="inlineStr">
        <is>
          <t>x</t>
        </is>
      </c>
      <c r="D732" t="inlineStr"/>
      <c r="E732" t="n">
        <v>823</v>
      </c>
      <c r="F732">
        <f>HYPERLINK("https://portal.dnb.de/opac.htm?method=simpleSearch&amp;cqlMode=true&amp;query=idn%3D1066866074", "Portal")</f>
        <v/>
      </c>
      <c r="G732" t="inlineStr">
        <is>
          <t>Aaf</t>
        </is>
      </c>
      <c r="H732" t="inlineStr">
        <is>
          <t>L-1519-315324341</t>
        </is>
      </c>
      <c r="I732" t="inlineStr">
        <is>
          <t>1066866074</t>
        </is>
      </c>
      <c r="J732" t="inlineStr">
        <is>
          <t>III 74, 1</t>
        </is>
      </c>
      <c r="K732" t="inlineStr">
        <is>
          <t>III 74, 1</t>
        </is>
      </c>
      <c r="L732" t="inlineStr">
        <is>
          <t>III 74, 1</t>
        </is>
      </c>
      <c r="M732" t="inlineStr"/>
      <c r="N732" t="inlineStr">
        <is>
          <t xml:space="preserve">Conflati ex angelico doctore s. Thoma primum volumen : </t>
        </is>
      </c>
      <c r="O732" t="inlineStr">
        <is>
          <t xml:space="preserve"> : </t>
        </is>
      </c>
      <c r="P732" t="inlineStr">
        <is>
          <t>X</t>
        </is>
      </c>
      <c r="Q732" t="inlineStr"/>
      <c r="R732" t="inlineStr">
        <is>
          <t>Ledereinband, Schließen, erhabene Buchbeschläge</t>
        </is>
      </c>
      <c r="S732" t="inlineStr">
        <is>
          <t>bis 35 cm</t>
        </is>
      </c>
      <c r="T732" t="inlineStr">
        <is>
          <t>180°</t>
        </is>
      </c>
      <c r="U732" t="inlineStr">
        <is>
          <t>hohler Rücken</t>
        </is>
      </c>
      <c r="V732" t="inlineStr"/>
      <c r="W732" t="inlineStr">
        <is>
          <t>Buchschuh</t>
        </is>
      </c>
      <c r="X732" t="inlineStr">
        <is>
          <t>Nein</t>
        </is>
      </c>
      <c r="Y732" t="n">
        <v>2</v>
      </c>
      <c r="Z732" t="inlineStr"/>
      <c r="AA732" t="inlineStr"/>
      <c r="AB732" t="inlineStr"/>
      <c r="AC732" t="inlineStr"/>
      <c r="AD732" t="inlineStr"/>
      <c r="AE732" t="inlineStr"/>
      <c r="AF732" t="inlineStr"/>
      <c r="AG732" t="inlineStr"/>
      <c r="AH732" t="inlineStr"/>
      <c r="AI732" t="inlineStr">
        <is>
          <t>HD</t>
        </is>
      </c>
      <c r="AJ732" t="inlineStr"/>
      <c r="AK732" t="inlineStr">
        <is>
          <t>x</t>
        </is>
      </c>
      <c r="AL732" t="inlineStr"/>
      <c r="AM732" t="inlineStr">
        <is>
          <t>f/V</t>
        </is>
      </c>
      <c r="AN732" t="inlineStr"/>
      <c r="AO732" t="inlineStr"/>
      <c r="AP732" t="inlineStr"/>
      <c r="AQ732" t="inlineStr"/>
      <c r="AR732" t="inlineStr"/>
      <c r="AS732" t="inlineStr">
        <is>
          <t>Pa</t>
        </is>
      </c>
      <c r="AT732" t="inlineStr"/>
      <c r="AU732" t="inlineStr"/>
      <c r="AV732" t="inlineStr"/>
      <c r="AW732" t="inlineStr"/>
      <c r="AX732" t="inlineStr"/>
      <c r="AY732" t="inlineStr"/>
      <c r="AZ732" t="inlineStr"/>
      <c r="BA732" t="inlineStr"/>
      <c r="BB732" t="inlineStr"/>
      <c r="BC732" t="inlineStr"/>
      <c r="BD732" t="inlineStr"/>
      <c r="BE732" t="inlineStr"/>
      <c r="BF732" t="inlineStr"/>
      <c r="BG732" t="n">
        <v>60</v>
      </c>
      <c r="BH732" t="inlineStr"/>
      <c r="BI732" t="inlineStr"/>
      <c r="BJ732" t="inlineStr"/>
      <c r="BK732" t="inlineStr"/>
      <c r="BL732" t="inlineStr"/>
      <c r="BM732" t="inlineStr">
        <is>
          <t>ja vor</t>
        </is>
      </c>
      <c r="BN732" t="n">
        <v>0.5</v>
      </c>
      <c r="BO732" t="inlineStr"/>
      <c r="BP732" t="inlineStr"/>
      <c r="BQ732" t="inlineStr"/>
      <c r="BR732" t="inlineStr">
        <is>
          <t>x</t>
        </is>
      </c>
      <c r="BS732" t="inlineStr"/>
      <c r="BT732" t="inlineStr"/>
      <c r="BU732" t="inlineStr"/>
      <c r="BV732" t="inlineStr"/>
      <c r="BW732" t="inlineStr">
        <is>
          <t>x 45</t>
        </is>
      </c>
      <c r="BX732" t="inlineStr">
        <is>
          <t xml:space="preserve">
ÖW eigentlich 60</t>
        </is>
      </c>
      <c r="BY732" t="inlineStr"/>
      <c r="BZ732" t="inlineStr">
        <is>
          <t>x</t>
        </is>
      </c>
      <c r="CA732" t="inlineStr">
        <is>
          <t>x</t>
        </is>
      </c>
      <c r="CB732" t="inlineStr">
        <is>
          <t>x</t>
        </is>
      </c>
      <c r="CC732" t="inlineStr"/>
      <c r="CD732" t="inlineStr"/>
      <c r="CE732" t="inlineStr"/>
      <c r="CF732" t="inlineStr"/>
      <c r="CG732" t="inlineStr"/>
      <c r="CH732" t="inlineStr"/>
      <c r="CI732" t="inlineStr"/>
      <c r="CJ732" t="inlineStr"/>
      <c r="CK732" t="inlineStr"/>
      <c r="CL732" t="inlineStr"/>
      <c r="CM732" t="n">
        <v>0.5</v>
      </c>
      <c r="CN732" t="inlineStr"/>
      <c r="CO732" t="inlineStr"/>
      <c r="CP732" t="inlineStr"/>
      <c r="CQ732" t="inlineStr"/>
      <c r="CR732" t="inlineStr"/>
      <c r="CS732" t="inlineStr"/>
      <c r="CT732" t="inlineStr"/>
      <c r="CU732" t="inlineStr"/>
      <c r="CV732" t="inlineStr"/>
      <c r="CW732" t="inlineStr"/>
      <c r="CX732" t="inlineStr"/>
      <c r="CY732" t="inlineStr"/>
      <c r="CZ732" t="inlineStr"/>
      <c r="DA732" t="inlineStr"/>
      <c r="DB732" t="inlineStr"/>
      <c r="DC732" t="inlineStr"/>
      <c r="DD732" t="inlineStr"/>
      <c r="DE732" t="inlineStr"/>
      <c r="DF732" t="inlineStr"/>
      <c r="DG732" t="inlineStr"/>
    </row>
    <row r="733">
      <c r="A733" t="inlineStr">
        <is>
          <t>III</t>
        </is>
      </c>
      <c r="B733" t="b">
        <v>1</v>
      </c>
      <c r="C733" t="inlineStr"/>
      <c r="D733" t="inlineStr"/>
      <c r="E733" t="n">
        <v>824</v>
      </c>
      <c r="F733">
        <f>HYPERLINK("https://portal.dnb.de/opac.htm?method=simpleSearch&amp;cqlMode=true&amp;query=idn%3D1003970656", "Portal")</f>
        <v/>
      </c>
      <c r="G733" t="inlineStr">
        <is>
          <t>Aal</t>
        </is>
      </c>
      <c r="H733" t="inlineStr">
        <is>
          <t>L-1503-306836378</t>
        </is>
      </c>
      <c r="I733" t="inlineStr">
        <is>
          <t>1003970656</t>
        </is>
      </c>
      <c r="J733" t="inlineStr">
        <is>
          <t>III 75, 1</t>
        </is>
      </c>
      <c r="K733" t="inlineStr">
        <is>
          <t>III 75, 1</t>
        </is>
      </c>
      <c r="L733" t="inlineStr">
        <is>
          <t>III 75, 1</t>
        </is>
      </c>
      <c r="M733" t="inlineStr"/>
      <c r="N733" t="inlineStr">
        <is>
          <t xml:space="preserve">MAgnencij Rabani|| Mauri De Laudib#[us] sancte Crucis|| opus. erudicione versu prosa#[que]|| mirificum.|| : </t>
        </is>
      </c>
      <c r="O733" t="inlineStr">
        <is>
          <t xml:space="preserve"> : </t>
        </is>
      </c>
      <c r="P733" t="inlineStr">
        <is>
          <t>X</t>
        </is>
      </c>
      <c r="Q733" t="inlineStr"/>
      <c r="R733" t="inlineStr">
        <is>
          <t>Halbledereinband</t>
        </is>
      </c>
      <c r="S733" t="inlineStr">
        <is>
          <t>bis 35 cm</t>
        </is>
      </c>
      <c r="T733" t="inlineStr">
        <is>
          <t>80° bis 110°, einseitig digitalisierbar?</t>
        </is>
      </c>
      <c r="U733" t="inlineStr">
        <is>
          <t>hohler Rücken</t>
        </is>
      </c>
      <c r="V733" t="inlineStr"/>
      <c r="W733" t="inlineStr"/>
      <c r="X733" t="inlineStr"/>
      <c r="Y733" t="n">
        <v>0</v>
      </c>
      <c r="Z733" t="inlineStr"/>
      <c r="AA733" t="inlineStr"/>
      <c r="AB733" t="inlineStr"/>
      <c r="AC733" t="inlineStr"/>
      <c r="AD733" t="inlineStr"/>
      <c r="AE733" t="inlineStr"/>
      <c r="AF733" t="inlineStr"/>
      <c r="AG733" t="inlineStr"/>
      <c r="AH733" t="inlineStr"/>
      <c r="AI733" t="inlineStr"/>
      <c r="AJ733" t="inlineStr"/>
      <c r="AK733" t="inlineStr"/>
      <c r="AL733" t="inlineStr"/>
      <c r="AM733" t="inlineStr"/>
      <c r="AN733" t="inlineStr"/>
      <c r="AO733" t="inlineStr"/>
      <c r="AP733" t="inlineStr"/>
      <c r="AQ733" t="inlineStr"/>
      <c r="AR733" t="inlineStr"/>
      <c r="AS733" t="inlineStr"/>
      <c r="AT733" t="inlineStr"/>
      <c r="AU733" t="inlineStr"/>
      <c r="AV733" t="inlineStr"/>
      <c r="AW733" t="inlineStr"/>
      <c r="AX733" t="inlineStr"/>
      <c r="AY733" t="inlineStr"/>
      <c r="AZ733" t="inlineStr"/>
      <c r="BA733" t="inlineStr"/>
      <c r="BB733" t="inlineStr"/>
      <c r="BC733" t="inlineStr"/>
      <c r="BD733" t="inlineStr"/>
      <c r="BE733" t="inlineStr"/>
      <c r="BF733" t="inlineStr"/>
      <c r="BG733" t="inlineStr"/>
      <c r="BH733" t="inlineStr"/>
      <c r="BI733" t="inlineStr"/>
      <c r="BJ733" t="inlineStr"/>
      <c r="BK733" t="inlineStr"/>
      <c r="BL733" t="inlineStr"/>
      <c r="BM733" t="inlineStr"/>
      <c r="BN733" t="n">
        <v>0</v>
      </c>
      <c r="BO733" t="inlineStr"/>
      <c r="BP733" t="inlineStr"/>
      <c r="BQ733" t="inlineStr"/>
      <c r="BR733" t="inlineStr"/>
      <c r="BS733" t="inlineStr"/>
      <c r="BT733" t="inlineStr"/>
      <c r="BU733" t="inlineStr"/>
      <c r="BV733" t="inlineStr"/>
      <c r="BW733" t="inlineStr"/>
      <c r="BX733" t="inlineStr"/>
      <c r="BY733" t="inlineStr"/>
      <c r="BZ733" t="inlineStr"/>
      <c r="CA733" t="inlineStr"/>
      <c r="CB733" t="inlineStr"/>
      <c r="CC733" t="inlineStr"/>
      <c r="CD733" t="inlineStr"/>
      <c r="CE733" t="inlineStr"/>
      <c r="CF733" t="inlineStr"/>
      <c r="CG733" t="inlineStr"/>
      <c r="CH733" t="inlineStr"/>
      <c r="CI733" t="inlineStr"/>
      <c r="CJ733" t="inlineStr"/>
      <c r="CK733" t="inlineStr"/>
      <c r="CL733" t="inlineStr"/>
      <c r="CM733" t="inlineStr"/>
      <c r="CN733" t="inlineStr"/>
      <c r="CO733" t="inlineStr"/>
      <c r="CP733" t="inlineStr"/>
      <c r="CQ733" t="inlineStr"/>
      <c r="CR733" t="inlineStr"/>
      <c r="CS733" t="inlineStr"/>
      <c r="CT733" t="inlineStr"/>
      <c r="CU733" t="inlineStr"/>
      <c r="CV733" t="inlineStr"/>
      <c r="CW733" t="inlineStr"/>
      <c r="CX733" t="inlineStr"/>
      <c r="CY733" t="inlineStr"/>
      <c r="CZ733" t="inlineStr"/>
      <c r="DA733" t="inlineStr"/>
      <c r="DB733" t="inlineStr"/>
      <c r="DC733" t="inlineStr"/>
      <c r="DD733" t="inlineStr"/>
      <c r="DE733" t="inlineStr"/>
      <c r="DF733" t="inlineStr"/>
      <c r="DG733" t="inlineStr"/>
    </row>
    <row r="734">
      <c r="A734" t="inlineStr">
        <is>
          <t>III</t>
        </is>
      </c>
      <c r="B734" t="b">
        <v>1</v>
      </c>
      <c r="C734" t="inlineStr"/>
      <c r="D734" t="inlineStr"/>
      <c r="E734" t="n">
        <v>825</v>
      </c>
      <c r="F734">
        <f>HYPERLINK("https://portal.dnb.de/opac.htm?method=simpleSearch&amp;cqlMode=true&amp;query=idn%3D1066961379", "Portal")</f>
        <v/>
      </c>
      <c r="G734" t="inlineStr">
        <is>
          <t>Aaf</t>
        </is>
      </c>
      <c r="H734" t="inlineStr">
        <is>
          <t>L-1504-315491787</t>
        </is>
      </c>
      <c r="I734" t="inlineStr">
        <is>
          <t>1066961379</t>
        </is>
      </c>
      <c r="J734" t="inlineStr">
        <is>
          <t>III 75, 2</t>
        </is>
      </c>
      <c r="K734" t="inlineStr">
        <is>
          <t>III 75, 2</t>
        </is>
      </c>
      <c r="L734" t="inlineStr">
        <is>
          <t>III 75, 2</t>
        </is>
      </c>
      <c r="M734" t="inlineStr"/>
      <c r="N734" t="inlineStr">
        <is>
          <t xml:space="preserve">Rabani Mauri|| Archiepiscopi Maguntini.|| De Institutione cleri=||coru. opusculum|| aureum.|| ... [Hrsg. v.] Georgius Symler.|| ...|| : </t>
        </is>
      </c>
      <c r="O734" t="inlineStr">
        <is>
          <t xml:space="preserve"> : </t>
        </is>
      </c>
      <c r="P734" t="inlineStr">
        <is>
          <t>X</t>
        </is>
      </c>
      <c r="Q734" t="inlineStr"/>
      <c r="R734" t="inlineStr">
        <is>
          <t>Gewebeeinband, Schließen, erhabene Buchbeschläge</t>
        </is>
      </c>
      <c r="S734" t="inlineStr">
        <is>
          <t>bis 25 cm</t>
        </is>
      </c>
      <c r="T734" t="inlineStr">
        <is>
          <t>80° bis 110°, einseitig digitalisierbar?</t>
        </is>
      </c>
      <c r="U734" t="inlineStr">
        <is>
          <t>hohler Rücken</t>
        </is>
      </c>
      <c r="V734" t="inlineStr"/>
      <c r="W734" t="inlineStr">
        <is>
          <t>Buchschuh</t>
        </is>
      </c>
      <c r="X734" t="inlineStr">
        <is>
          <t>Nein</t>
        </is>
      </c>
      <c r="Y734" t="n">
        <v>0</v>
      </c>
      <c r="Z734" t="inlineStr"/>
      <c r="AA734" t="inlineStr"/>
      <c r="AB734" t="inlineStr"/>
      <c r="AC734" t="inlineStr"/>
      <c r="AD734" t="inlineStr"/>
      <c r="AE734" t="inlineStr"/>
      <c r="AF734" t="inlineStr"/>
      <c r="AG734" t="inlineStr"/>
      <c r="AH734" t="inlineStr"/>
      <c r="AI734" t="inlineStr"/>
      <c r="AJ734" t="inlineStr"/>
      <c r="AK734" t="inlineStr"/>
      <c r="AL734" t="inlineStr"/>
      <c r="AM734" t="inlineStr"/>
      <c r="AN734" t="inlineStr"/>
      <c r="AO734" t="inlineStr"/>
      <c r="AP734" t="inlineStr"/>
      <c r="AQ734" t="inlineStr"/>
      <c r="AR734" t="inlineStr"/>
      <c r="AS734" t="inlineStr"/>
      <c r="AT734" t="inlineStr"/>
      <c r="AU734" t="inlineStr"/>
      <c r="AV734" t="inlineStr"/>
      <c r="AW734" t="inlineStr"/>
      <c r="AX734" t="inlineStr"/>
      <c r="AY734" t="inlineStr"/>
      <c r="AZ734" t="inlineStr"/>
      <c r="BA734" t="inlineStr"/>
      <c r="BB734" t="inlineStr"/>
      <c r="BC734" t="inlineStr"/>
      <c r="BD734" t="inlineStr"/>
      <c r="BE734" t="inlineStr"/>
      <c r="BF734" t="inlineStr"/>
      <c r="BG734" t="inlineStr"/>
      <c r="BH734" t="inlineStr"/>
      <c r="BI734" t="inlineStr"/>
      <c r="BJ734" t="inlineStr"/>
      <c r="BK734" t="inlineStr"/>
      <c r="BL734" t="inlineStr"/>
      <c r="BM734" t="inlineStr"/>
      <c r="BN734" t="n">
        <v>0</v>
      </c>
      <c r="BO734" t="inlineStr"/>
      <c r="BP734" t="inlineStr"/>
      <c r="BQ734" t="inlineStr"/>
      <c r="BR734" t="inlineStr"/>
      <c r="BS734" t="inlineStr"/>
      <c r="BT734" t="inlineStr"/>
      <c r="BU734" t="inlineStr"/>
      <c r="BV734" t="inlineStr"/>
      <c r="BW734" t="inlineStr"/>
      <c r="BX734" t="inlineStr"/>
      <c r="BY734" t="inlineStr"/>
      <c r="BZ734" t="inlineStr"/>
      <c r="CA734" t="inlineStr"/>
      <c r="CB734" t="inlineStr"/>
      <c r="CC734" t="inlineStr"/>
      <c r="CD734" t="inlineStr"/>
      <c r="CE734" t="inlineStr"/>
      <c r="CF734" t="inlineStr"/>
      <c r="CG734" t="inlineStr"/>
      <c r="CH734" t="inlineStr"/>
      <c r="CI734" t="inlineStr"/>
      <c r="CJ734" t="inlineStr"/>
      <c r="CK734" t="inlineStr"/>
      <c r="CL734" t="inlineStr"/>
      <c r="CM734" t="inlineStr"/>
      <c r="CN734" t="inlineStr"/>
      <c r="CO734" t="inlineStr"/>
      <c r="CP734" t="inlineStr"/>
      <c r="CQ734" t="inlineStr"/>
      <c r="CR734" t="inlineStr"/>
      <c r="CS734" t="inlineStr"/>
      <c r="CT734" t="inlineStr"/>
      <c r="CU734" t="inlineStr"/>
      <c r="CV734" t="inlineStr"/>
      <c r="CW734" t="inlineStr"/>
      <c r="CX734" t="inlineStr"/>
      <c r="CY734" t="inlineStr"/>
      <c r="CZ734" t="inlineStr"/>
      <c r="DA734" t="inlineStr"/>
      <c r="DB734" t="inlineStr"/>
      <c r="DC734" t="inlineStr"/>
      <c r="DD734" t="inlineStr"/>
      <c r="DE734" t="inlineStr"/>
      <c r="DF734" t="inlineStr"/>
      <c r="DG734" t="inlineStr"/>
    </row>
    <row r="735">
      <c r="A735" t="inlineStr">
        <is>
          <t>III</t>
        </is>
      </c>
      <c r="B735" t="b">
        <v>1</v>
      </c>
      <c r="C735" t="inlineStr"/>
      <c r="D735" t="inlineStr"/>
      <c r="E735" t="n">
        <v>826</v>
      </c>
      <c r="F735">
        <f>HYPERLINK("https://portal.dnb.de/opac.htm?method=simpleSearch&amp;cqlMode=true&amp;query=idn%3D1066961468", "Portal")</f>
        <v/>
      </c>
      <c r="G735" t="inlineStr">
        <is>
          <t>Aaf</t>
        </is>
      </c>
      <c r="H735" t="inlineStr">
        <is>
          <t>L-1505-31549185X</t>
        </is>
      </c>
      <c r="I735" t="inlineStr">
        <is>
          <t>1066961468</t>
        </is>
      </c>
      <c r="J735" t="inlineStr">
        <is>
          <t>III 75, 3</t>
        </is>
      </c>
      <c r="K735" t="inlineStr">
        <is>
          <t>III 75, 3</t>
        </is>
      </c>
      <c r="L735" t="inlineStr">
        <is>
          <t>III 75, 3</t>
        </is>
      </c>
      <c r="M735" t="inlineStr"/>
      <c r="N735" t="inlineStr">
        <is>
          <t>Rabanus De institutiõe|| clericorum.ad Heistulphu Archiepiscopu. libri tres.|| Eiusdem epistola ad Humbertum episcopum.quota|| generatione licitum sit</t>
        </is>
      </c>
      <c r="O735" t="inlineStr">
        <is>
          <t xml:space="preserve"> : </t>
        </is>
      </c>
      <c r="P735" t="inlineStr">
        <is>
          <t>X</t>
        </is>
      </c>
      <c r="Q735" t="inlineStr"/>
      <c r="R735" t="inlineStr">
        <is>
          <t>Pergamentband</t>
        </is>
      </c>
      <c r="S735" t="inlineStr">
        <is>
          <t>bis 25 cm</t>
        </is>
      </c>
      <c r="T735" t="inlineStr">
        <is>
          <t>180°</t>
        </is>
      </c>
      <c r="U735" t="inlineStr">
        <is>
          <t>hohler Rücken</t>
        </is>
      </c>
      <c r="V735" t="inlineStr"/>
      <c r="W735" t="inlineStr"/>
      <c r="X735" t="inlineStr"/>
      <c r="Y735" t="n">
        <v>0</v>
      </c>
      <c r="Z735" t="inlineStr"/>
      <c r="AA735" t="inlineStr"/>
      <c r="AB735" t="inlineStr"/>
      <c r="AC735" t="inlineStr"/>
      <c r="AD735" t="inlineStr"/>
      <c r="AE735" t="inlineStr"/>
      <c r="AF735" t="inlineStr"/>
      <c r="AG735" t="inlineStr"/>
      <c r="AH735" t="inlineStr"/>
      <c r="AI735" t="inlineStr"/>
      <c r="AJ735" t="inlineStr"/>
      <c r="AK735" t="inlineStr"/>
      <c r="AL735" t="inlineStr"/>
      <c r="AM735" t="inlineStr"/>
      <c r="AN735" t="inlineStr"/>
      <c r="AO735" t="inlineStr"/>
      <c r="AP735" t="inlineStr"/>
      <c r="AQ735" t="inlineStr"/>
      <c r="AR735" t="inlineStr"/>
      <c r="AS735" t="inlineStr"/>
      <c r="AT735" t="inlineStr"/>
      <c r="AU735" t="inlineStr"/>
      <c r="AV735" t="inlineStr"/>
      <c r="AW735" t="inlineStr"/>
      <c r="AX735" t="inlineStr"/>
      <c r="AY735" t="inlineStr"/>
      <c r="AZ735" t="inlineStr"/>
      <c r="BA735" t="inlineStr"/>
      <c r="BB735" t="inlineStr"/>
      <c r="BC735" t="inlineStr"/>
      <c r="BD735" t="inlineStr"/>
      <c r="BE735" t="inlineStr"/>
      <c r="BF735" t="inlineStr"/>
      <c r="BG735" t="inlineStr"/>
      <c r="BH735" t="inlineStr"/>
      <c r="BI735" t="inlineStr"/>
      <c r="BJ735" t="inlineStr"/>
      <c r="BK735" t="inlineStr"/>
      <c r="BL735" t="inlineStr"/>
      <c r="BM735" t="inlineStr"/>
      <c r="BN735" t="n">
        <v>0</v>
      </c>
      <c r="BO735" t="inlineStr"/>
      <c r="BP735" t="inlineStr"/>
      <c r="BQ735" t="inlineStr"/>
      <c r="BR735" t="inlineStr"/>
      <c r="BS735" t="inlineStr"/>
      <c r="BT735" t="inlineStr"/>
      <c r="BU735" t="inlineStr"/>
      <c r="BV735" t="inlineStr"/>
      <c r="BW735" t="inlineStr"/>
      <c r="BX735" t="inlineStr"/>
      <c r="BY735" t="inlineStr"/>
      <c r="BZ735" t="inlineStr"/>
      <c r="CA735" t="inlineStr"/>
      <c r="CB735" t="inlineStr"/>
      <c r="CC735" t="inlineStr"/>
      <c r="CD735" t="inlineStr"/>
      <c r="CE735" t="inlineStr"/>
      <c r="CF735" t="inlineStr"/>
      <c r="CG735" t="inlineStr"/>
      <c r="CH735" t="inlineStr"/>
      <c r="CI735" t="inlineStr"/>
      <c r="CJ735" t="inlineStr"/>
      <c r="CK735" t="inlineStr"/>
      <c r="CL735" t="inlineStr"/>
      <c r="CM735" t="inlineStr"/>
      <c r="CN735" t="inlineStr"/>
      <c r="CO735" t="inlineStr"/>
      <c r="CP735" t="inlineStr"/>
      <c r="CQ735" t="inlineStr"/>
      <c r="CR735" t="inlineStr"/>
      <c r="CS735" t="inlineStr"/>
      <c r="CT735" t="inlineStr"/>
      <c r="CU735" t="inlineStr"/>
      <c r="CV735" t="inlineStr"/>
      <c r="CW735" t="inlineStr"/>
      <c r="CX735" t="inlineStr"/>
      <c r="CY735" t="inlineStr"/>
      <c r="CZ735" t="inlineStr"/>
      <c r="DA735" t="inlineStr"/>
      <c r="DB735" t="inlineStr"/>
      <c r="DC735" t="inlineStr"/>
      <c r="DD735" t="inlineStr"/>
      <c r="DE735" t="inlineStr"/>
      <c r="DF735" t="inlineStr"/>
      <c r="DG735" t="inlineStr"/>
    </row>
    <row r="736">
      <c r="A736" t="inlineStr">
        <is>
          <t>III</t>
        </is>
      </c>
      <c r="B736" t="b">
        <v>1</v>
      </c>
      <c r="C736" t="inlineStr"/>
      <c r="D736" t="inlineStr"/>
      <c r="E736" t="n">
        <v>827</v>
      </c>
      <c r="F736">
        <f>HYPERLINK("https://portal.dnb.de/opac.htm?method=simpleSearch&amp;cqlMode=true&amp;query=idn%3D993993621", "Portal")</f>
        <v/>
      </c>
      <c r="G736" t="inlineStr">
        <is>
          <t>Aal</t>
        </is>
      </c>
      <c r="H736" t="inlineStr">
        <is>
          <t>L-1507-154135283</t>
        </is>
      </c>
      <c r="I736" t="inlineStr">
        <is>
          <t>993993621</t>
        </is>
      </c>
      <c r="J736" t="inlineStr">
        <is>
          <t>III 75, 4</t>
        </is>
      </c>
      <c r="K736" t="inlineStr">
        <is>
          <t>III 75, 4</t>
        </is>
      </c>
      <c r="L736" t="inlineStr">
        <is>
          <t>III 75, 4</t>
        </is>
      </c>
      <c r="M736" t="inlineStr"/>
      <c r="N736" t="inlineStr">
        <is>
          <t xml:space="preserve">Rationarium Euangeli||starum. omnia in se euangelia.||prosa. uersu. imaginibusqe||q̄ē mirifice cōplectēs|| : </t>
        </is>
      </c>
      <c r="O736" t="inlineStr">
        <is>
          <t xml:space="preserve"> : </t>
        </is>
      </c>
      <c r="P736" t="inlineStr">
        <is>
          <t>X</t>
        </is>
      </c>
      <c r="Q736" t="inlineStr"/>
      <c r="R736" t="inlineStr">
        <is>
          <t>Ledereinband, Schließen, erhabene Buchbeschläge</t>
        </is>
      </c>
      <c r="S736" t="inlineStr">
        <is>
          <t>bis 25 cm</t>
        </is>
      </c>
      <c r="T736" t="inlineStr">
        <is>
          <t>180°</t>
        </is>
      </c>
      <c r="U736" t="inlineStr"/>
      <c r="V736" t="inlineStr"/>
      <c r="W736" t="inlineStr"/>
      <c r="X736" t="inlineStr"/>
      <c r="Y736" t="inlineStr"/>
      <c r="Z736" t="inlineStr"/>
      <c r="AA736" t="inlineStr"/>
      <c r="AB736" t="inlineStr"/>
      <c r="AC736" t="inlineStr"/>
      <c r="AD736" t="inlineStr"/>
      <c r="AE736" t="inlineStr"/>
      <c r="AF736" t="inlineStr"/>
      <c r="AG736" t="inlineStr"/>
      <c r="AH736" t="inlineStr"/>
      <c r="AI736" t="inlineStr">
        <is>
          <t>L</t>
        </is>
      </c>
      <c r="AJ736" t="inlineStr"/>
      <c r="AK736" t="inlineStr">
        <is>
          <t>x</t>
        </is>
      </c>
      <c r="AL736" t="inlineStr">
        <is>
          <t>x</t>
        </is>
      </c>
      <c r="AM736" t="inlineStr">
        <is>
          <t>h/E</t>
        </is>
      </c>
      <c r="AN736" t="inlineStr"/>
      <c r="AO736" t="inlineStr"/>
      <c r="AP736" t="inlineStr"/>
      <c r="AQ736" t="inlineStr">
        <is>
          <t>x</t>
        </is>
      </c>
      <c r="AR736" t="inlineStr"/>
      <c r="AS736" t="inlineStr">
        <is>
          <t>Pa</t>
        </is>
      </c>
      <c r="AT736" t="inlineStr"/>
      <c r="AU736" t="inlineStr"/>
      <c r="AV736" t="inlineStr"/>
      <c r="AW736" t="inlineStr"/>
      <c r="AX736" t="inlineStr"/>
      <c r="AY736" t="inlineStr"/>
      <c r="AZ736" t="inlineStr"/>
      <c r="BA736" t="inlineStr"/>
      <c r="BB736" t="inlineStr"/>
      <c r="BC736" t="inlineStr">
        <is>
          <t>K</t>
        </is>
      </c>
      <c r="BD736" t="inlineStr">
        <is>
          <t>x</t>
        </is>
      </c>
      <c r="BE736" t="inlineStr"/>
      <c r="BF736" t="inlineStr"/>
      <c r="BG736" t="n">
        <v>110</v>
      </c>
      <c r="BH736" t="inlineStr"/>
      <c r="BI736" t="inlineStr"/>
      <c r="BJ736" t="inlineStr"/>
      <c r="BK736" t="inlineStr"/>
      <c r="BL736" t="inlineStr"/>
      <c r="BM736" t="inlineStr">
        <is>
          <t>n</t>
        </is>
      </c>
      <c r="BN736" t="n">
        <v>0</v>
      </c>
      <c r="BO736" t="inlineStr"/>
      <c r="BP736" t="inlineStr"/>
      <c r="BQ736" t="inlineStr"/>
      <c r="BR736" t="inlineStr">
        <is>
          <t>x</t>
        </is>
      </c>
      <c r="BS736" t="inlineStr"/>
      <c r="BT736" t="inlineStr"/>
      <c r="BU736" t="inlineStr"/>
      <c r="BV736" t="inlineStr">
        <is>
          <t>Schaden stabil</t>
        </is>
      </c>
      <c r="BW736" t="inlineStr"/>
      <c r="BX736" t="inlineStr"/>
      <c r="BY736" t="inlineStr"/>
      <c r="BZ736" t="inlineStr"/>
      <c r="CA736" t="inlineStr"/>
      <c r="CB736" t="inlineStr"/>
      <c r="CC736" t="inlineStr"/>
      <c r="CD736" t="inlineStr"/>
      <c r="CE736" t="inlineStr"/>
      <c r="CF736" t="inlineStr"/>
      <c r="CG736" t="inlineStr"/>
      <c r="CH736" t="inlineStr"/>
      <c r="CI736" t="inlineStr"/>
      <c r="CJ736" t="inlineStr"/>
      <c r="CK736" t="inlineStr"/>
      <c r="CL736" t="inlineStr"/>
      <c r="CM736" t="inlineStr"/>
      <c r="CN736" t="inlineStr"/>
      <c r="CO736" t="inlineStr"/>
      <c r="CP736" t="inlineStr"/>
      <c r="CQ736" t="inlineStr"/>
      <c r="CR736" t="inlineStr"/>
      <c r="CS736" t="inlineStr"/>
      <c r="CT736" t="inlineStr"/>
      <c r="CU736" t="inlineStr"/>
      <c r="CV736" t="inlineStr"/>
      <c r="CW736" t="inlineStr"/>
      <c r="CX736" t="inlineStr"/>
      <c r="CY736" t="inlineStr"/>
      <c r="CZ736" t="inlineStr"/>
      <c r="DA736" t="inlineStr"/>
      <c r="DB736" t="inlineStr"/>
      <c r="DC736" t="inlineStr"/>
      <c r="DD736" t="inlineStr"/>
      <c r="DE736" t="inlineStr"/>
      <c r="DF736" t="inlineStr"/>
      <c r="DG736" t="inlineStr"/>
    </row>
    <row r="737">
      <c r="A737" t="inlineStr">
        <is>
          <t>III</t>
        </is>
      </c>
      <c r="B737" t="b">
        <v>1</v>
      </c>
      <c r="C737" t="inlineStr"/>
      <c r="D737" t="inlineStr"/>
      <c r="E737" t="n">
        <v>828</v>
      </c>
      <c r="F737">
        <f>HYPERLINK("https://portal.dnb.de/opac.htm?method=simpleSearch&amp;cqlMode=true&amp;query=idn%3D1000466167", "Portal")</f>
        <v/>
      </c>
      <c r="G737" t="inlineStr">
        <is>
          <t>Aal</t>
        </is>
      </c>
      <c r="H737" t="inlineStr">
        <is>
          <t>L-1506-170682692</t>
        </is>
      </c>
      <c r="I737" t="inlineStr">
        <is>
          <t>1000466167</t>
        </is>
      </c>
      <c r="J737" t="inlineStr">
        <is>
          <t>III 75, 5</t>
        </is>
      </c>
      <c r="K737" t="inlineStr">
        <is>
          <t>III 75, 5</t>
        </is>
      </c>
      <c r="L737" t="inlineStr">
        <is>
          <t>III 75, 5</t>
        </is>
      </c>
      <c r="M737" t="inlineStr"/>
      <c r="N737" t="inlineStr">
        <is>
          <t xml:space="preserve">PRINCIPIVM|| LIBRI||(IOANNIS REVCHLIN PHORCENSIS|| LL. DOC. AD DIONYSIVM FRATREM|| SVVM GERMANVM DE RVDIMENTIS|| HEBRAICIS ...||) : </t>
        </is>
      </c>
      <c r="O737" t="inlineStr">
        <is>
          <t xml:space="preserve"> : </t>
        </is>
      </c>
      <c r="P737" t="inlineStr"/>
      <c r="Q737" t="inlineStr"/>
      <c r="R737" t="inlineStr">
        <is>
          <t>Ledereinband, Schließen, erhabene Buchbeschläge</t>
        </is>
      </c>
      <c r="S737" t="inlineStr">
        <is>
          <t>bis 35 cm</t>
        </is>
      </c>
      <c r="T737" t="inlineStr">
        <is>
          <t>80° bis 110°, einseitig digitalisierbar?</t>
        </is>
      </c>
      <c r="U737" t="inlineStr"/>
      <c r="V737" t="inlineStr"/>
      <c r="W737" t="inlineStr">
        <is>
          <t>Kassette</t>
        </is>
      </c>
      <c r="X737" t="inlineStr">
        <is>
          <t>Nein</t>
        </is>
      </c>
      <c r="Y737" t="n">
        <v>0</v>
      </c>
      <c r="Z737" t="inlineStr"/>
      <c r="AA737" t="inlineStr"/>
      <c r="AB737" t="inlineStr"/>
      <c r="AC737" t="inlineStr"/>
      <c r="AD737" t="inlineStr"/>
      <c r="AE737" t="inlineStr"/>
      <c r="AF737" t="inlineStr"/>
      <c r="AG737" t="inlineStr"/>
      <c r="AH737" t="inlineStr"/>
      <c r="AI737" t="inlineStr"/>
      <c r="AJ737" t="inlineStr"/>
      <c r="AK737" t="inlineStr"/>
      <c r="AL737" t="inlineStr"/>
      <c r="AM737" t="inlineStr"/>
      <c r="AN737" t="inlineStr"/>
      <c r="AO737" t="inlineStr"/>
      <c r="AP737" t="inlineStr"/>
      <c r="AQ737" t="inlineStr"/>
      <c r="AR737" t="inlineStr"/>
      <c r="AS737" t="inlineStr"/>
      <c r="AT737" t="inlineStr"/>
      <c r="AU737" t="inlineStr"/>
      <c r="AV737" t="inlineStr"/>
      <c r="AW737" t="inlineStr"/>
      <c r="AX737" t="inlineStr"/>
      <c r="AY737" t="inlineStr"/>
      <c r="AZ737" t="inlineStr"/>
      <c r="BA737" t="inlineStr"/>
      <c r="BB737" t="inlineStr"/>
      <c r="BC737" t="inlineStr"/>
      <c r="BD737" t="inlineStr"/>
      <c r="BE737" t="inlineStr"/>
      <c r="BF737" t="inlineStr"/>
      <c r="BG737" t="inlineStr"/>
      <c r="BH737" t="inlineStr"/>
      <c r="BI737" t="inlineStr"/>
      <c r="BJ737" t="inlineStr"/>
      <c r="BK737" t="inlineStr"/>
      <c r="BL737" t="inlineStr"/>
      <c r="BM737" t="inlineStr"/>
      <c r="BN737" t="n">
        <v>0</v>
      </c>
      <c r="BO737" t="inlineStr"/>
      <c r="BP737" t="inlineStr"/>
      <c r="BQ737" t="inlineStr"/>
      <c r="BR737" t="inlineStr"/>
      <c r="BS737" t="inlineStr"/>
      <c r="BT737" t="inlineStr"/>
      <c r="BU737" t="inlineStr"/>
      <c r="BV737" t="inlineStr"/>
      <c r="BW737" t="inlineStr"/>
      <c r="BX737" t="inlineStr"/>
      <c r="BY737" t="inlineStr"/>
      <c r="BZ737" t="inlineStr"/>
      <c r="CA737" t="inlineStr"/>
      <c r="CB737" t="inlineStr"/>
      <c r="CC737" t="inlineStr"/>
      <c r="CD737" t="inlineStr"/>
      <c r="CE737" t="inlineStr"/>
      <c r="CF737" t="inlineStr"/>
      <c r="CG737" t="inlineStr"/>
      <c r="CH737" t="inlineStr"/>
      <c r="CI737" t="inlineStr"/>
      <c r="CJ737" t="inlineStr"/>
      <c r="CK737" t="inlineStr"/>
      <c r="CL737" t="inlineStr"/>
      <c r="CM737" t="inlineStr"/>
      <c r="CN737" t="inlineStr"/>
      <c r="CO737" t="inlineStr"/>
      <c r="CP737" t="inlineStr"/>
      <c r="CQ737" t="inlineStr"/>
      <c r="CR737" t="inlineStr"/>
      <c r="CS737" t="inlineStr"/>
      <c r="CT737" t="inlineStr"/>
      <c r="CU737" t="inlineStr"/>
      <c r="CV737" t="inlineStr"/>
      <c r="CW737" t="inlineStr"/>
      <c r="CX737" t="inlineStr"/>
      <c r="CY737" t="inlineStr"/>
      <c r="CZ737" t="inlineStr"/>
      <c r="DA737" t="inlineStr"/>
      <c r="DB737" t="inlineStr"/>
      <c r="DC737" t="inlineStr"/>
      <c r="DD737" t="inlineStr"/>
      <c r="DE737" t="inlineStr"/>
      <c r="DF737" t="inlineStr"/>
      <c r="DG737" t="inlineStr"/>
    </row>
    <row r="738">
      <c r="A738" t="inlineStr">
        <is>
          <t>III</t>
        </is>
      </c>
      <c r="B738" t="b">
        <v>1</v>
      </c>
      <c r="C738" t="inlineStr"/>
      <c r="D738" t="inlineStr"/>
      <c r="E738" t="n">
        <v>829</v>
      </c>
      <c r="F738">
        <f>HYPERLINK("https://portal.dnb.de/opac.htm?method=simpleSearch&amp;cqlMode=true&amp;query=idn%3D1066779627", "Portal")</f>
        <v/>
      </c>
      <c r="G738" t="inlineStr">
        <is>
          <t>Aaf</t>
        </is>
      </c>
      <c r="H738" t="inlineStr">
        <is>
          <t>L-1541-315201436</t>
        </is>
      </c>
      <c r="I738" t="inlineStr">
        <is>
          <t>1066779627</t>
        </is>
      </c>
      <c r="J738" t="inlineStr">
        <is>
          <t>III 76, 1</t>
        </is>
      </c>
      <c r="K738" t="inlineStr">
        <is>
          <t>III 76, 1</t>
        </is>
      </c>
      <c r="L738" t="inlineStr">
        <is>
          <t>III 76, 1</t>
        </is>
      </c>
      <c r="M738" t="inlineStr"/>
      <c r="N738" t="inlineStr">
        <is>
          <t xml:space="preserve">Kronyka Czeská : </t>
        </is>
      </c>
      <c r="O738" t="inlineStr">
        <is>
          <t xml:space="preserve"> : </t>
        </is>
      </c>
      <c r="P738" t="inlineStr">
        <is>
          <t>X</t>
        </is>
      </c>
      <c r="Q738" t="inlineStr"/>
      <c r="R738" t="inlineStr">
        <is>
          <t>Ledereinband, Schließen, erhabene Buchbeschläge</t>
        </is>
      </c>
      <c r="S738" t="inlineStr">
        <is>
          <t>bis 35 cm</t>
        </is>
      </c>
      <c r="T738" t="inlineStr">
        <is>
          <t>80° bis 110°, einseitig digitalisierbar?</t>
        </is>
      </c>
      <c r="U738" t="inlineStr">
        <is>
          <t>fester Rücken mit Schmuckprägung</t>
        </is>
      </c>
      <c r="V738" t="inlineStr"/>
      <c r="W738" t="inlineStr">
        <is>
          <t>Buchschuh</t>
        </is>
      </c>
      <c r="X738" t="inlineStr">
        <is>
          <t>Nein</t>
        </is>
      </c>
      <c r="Y738" t="n">
        <v>0</v>
      </c>
      <c r="Z738" t="inlineStr"/>
      <c r="AA738" t="inlineStr"/>
      <c r="AB738" t="inlineStr"/>
      <c r="AC738" t="inlineStr"/>
      <c r="AD738" t="inlineStr"/>
      <c r="AE738" t="inlineStr"/>
      <c r="AF738" t="inlineStr"/>
      <c r="AG738" t="inlineStr"/>
      <c r="AH738" t="inlineStr"/>
      <c r="AI738" t="inlineStr"/>
      <c r="AJ738" t="inlineStr"/>
      <c r="AK738" t="inlineStr"/>
      <c r="AL738" t="inlineStr"/>
      <c r="AM738" t="inlineStr"/>
      <c r="AN738" t="inlineStr"/>
      <c r="AO738" t="inlineStr"/>
      <c r="AP738" t="inlineStr"/>
      <c r="AQ738" t="inlineStr"/>
      <c r="AR738" t="inlineStr"/>
      <c r="AS738" t="inlineStr"/>
      <c r="AT738" t="inlineStr"/>
      <c r="AU738" t="inlineStr"/>
      <c r="AV738" t="inlineStr"/>
      <c r="AW738" t="inlineStr"/>
      <c r="AX738" t="inlineStr"/>
      <c r="AY738" t="inlineStr"/>
      <c r="AZ738" t="inlineStr"/>
      <c r="BA738" t="inlineStr"/>
      <c r="BB738" t="inlineStr"/>
      <c r="BC738" t="inlineStr"/>
      <c r="BD738" t="inlineStr"/>
      <c r="BE738" t="inlineStr"/>
      <c r="BF738" t="inlineStr"/>
      <c r="BG738" t="inlineStr"/>
      <c r="BH738" t="inlineStr"/>
      <c r="BI738" t="inlineStr"/>
      <c r="BJ738" t="inlineStr"/>
      <c r="BK738" t="inlineStr"/>
      <c r="BL738" t="inlineStr"/>
      <c r="BM738" t="inlineStr"/>
      <c r="BN738" t="n">
        <v>0</v>
      </c>
      <c r="BO738" t="inlineStr"/>
      <c r="BP738" t="inlineStr"/>
      <c r="BQ738" t="inlineStr"/>
      <c r="BR738" t="inlineStr"/>
      <c r="BS738" t="inlineStr"/>
      <c r="BT738" t="inlineStr"/>
      <c r="BU738" t="inlineStr"/>
      <c r="BV738" t="inlineStr"/>
      <c r="BW738" t="inlineStr"/>
      <c r="BX738" t="inlineStr"/>
      <c r="BY738" t="inlineStr"/>
      <c r="BZ738" t="inlineStr"/>
      <c r="CA738" t="inlineStr"/>
      <c r="CB738" t="inlineStr"/>
      <c r="CC738" t="inlineStr"/>
      <c r="CD738" t="inlineStr"/>
      <c r="CE738" t="inlineStr"/>
      <c r="CF738" t="inlineStr"/>
      <c r="CG738" t="inlineStr"/>
      <c r="CH738" t="inlineStr"/>
      <c r="CI738" t="inlineStr"/>
      <c r="CJ738" t="inlineStr"/>
      <c r="CK738" t="inlineStr"/>
      <c r="CL738" t="inlineStr"/>
      <c r="CM738" t="inlineStr"/>
      <c r="CN738" t="inlineStr"/>
      <c r="CO738" t="inlineStr"/>
      <c r="CP738" t="inlineStr"/>
      <c r="CQ738" t="inlineStr"/>
      <c r="CR738" t="inlineStr"/>
      <c r="CS738" t="inlineStr"/>
      <c r="CT738" t="inlineStr"/>
      <c r="CU738" t="inlineStr"/>
      <c r="CV738" t="inlineStr"/>
      <c r="CW738" t="inlineStr"/>
      <c r="CX738" t="inlineStr"/>
      <c r="CY738" t="inlineStr"/>
      <c r="CZ738" t="inlineStr"/>
      <c r="DA738" t="inlineStr"/>
      <c r="DB738" t="inlineStr"/>
      <c r="DC738" t="inlineStr"/>
      <c r="DD738" t="inlineStr"/>
      <c r="DE738" t="inlineStr"/>
      <c r="DF738" t="inlineStr"/>
      <c r="DG738" t="inlineStr"/>
    </row>
    <row r="739">
      <c r="A739" t="inlineStr">
        <is>
          <t>III</t>
        </is>
      </c>
      <c r="B739" t="b">
        <v>1</v>
      </c>
      <c r="C739" t="inlineStr">
        <is>
          <t>x</t>
        </is>
      </c>
      <c r="D739" t="inlineStr"/>
      <c r="E739" t="n">
        <v>830</v>
      </c>
      <c r="F739">
        <f>HYPERLINK("https://portal.dnb.de/opac.htm?method=simpleSearch&amp;cqlMode=true&amp;query=idn%3D1066767114", "Portal")</f>
        <v/>
      </c>
      <c r="G739" t="inlineStr">
        <is>
          <t>Aaf</t>
        </is>
      </c>
      <c r="H739" t="inlineStr">
        <is>
          <t>L-1558-315189622</t>
        </is>
      </c>
      <c r="I739" t="inlineStr">
        <is>
          <t>1066767114</t>
        </is>
      </c>
      <c r="J739" t="inlineStr">
        <is>
          <t>III 76, 2</t>
        </is>
      </c>
      <c r="K739" t="inlineStr">
        <is>
          <t>III 76, 2</t>
        </is>
      </c>
      <c r="L739" t="inlineStr">
        <is>
          <t>III 76, 2</t>
        </is>
      </c>
      <c r="M739" t="inlineStr"/>
      <c r="N739" t="inlineStr">
        <is>
          <t>De trivmphali adventv serenissimi et invictissimi imperatoris Ferdinandi I. P.P. Pragam Bohemorum Metropolim, Gratulatoriae Acclamationes : ex Academi</t>
        </is>
      </c>
      <c r="O739" t="inlineStr">
        <is>
          <t xml:space="preserve"> : </t>
        </is>
      </c>
      <c r="P739" t="inlineStr">
        <is>
          <t>X</t>
        </is>
      </c>
      <c r="Q739" t="inlineStr"/>
      <c r="R739" t="inlineStr">
        <is>
          <t>Papier- oder Pappeinband</t>
        </is>
      </c>
      <c r="S739" t="inlineStr">
        <is>
          <t>bis 25 cm</t>
        </is>
      </c>
      <c r="T739" t="inlineStr">
        <is>
          <t>180°</t>
        </is>
      </c>
      <c r="U739" t="inlineStr">
        <is>
          <t>fester Rücken mit Schmuckprägung</t>
        </is>
      </c>
      <c r="V739" t="inlineStr"/>
      <c r="W739" t="inlineStr"/>
      <c r="X739" t="inlineStr"/>
      <c r="Y739" t="n">
        <v>3</v>
      </c>
      <c r="Z739" t="inlineStr"/>
      <c r="AA739" t="inlineStr"/>
      <c r="AB739" t="inlineStr"/>
      <c r="AC739" t="inlineStr"/>
      <c r="AD739" t="inlineStr"/>
      <c r="AE739" t="inlineStr"/>
      <c r="AF739" t="inlineStr"/>
      <c r="AG739" t="inlineStr"/>
      <c r="AH739" t="inlineStr"/>
      <c r="AI739" t="inlineStr">
        <is>
          <t>Pa</t>
        </is>
      </c>
      <c r="AJ739" t="inlineStr"/>
      <c r="AK739" t="inlineStr"/>
      <c r="AL739" t="inlineStr"/>
      <c r="AM739" t="inlineStr">
        <is>
          <t>f</t>
        </is>
      </c>
      <c r="AN739" t="inlineStr"/>
      <c r="AO739" t="inlineStr"/>
      <c r="AP739" t="inlineStr"/>
      <c r="AQ739" t="inlineStr"/>
      <c r="AR739" t="inlineStr"/>
      <c r="AS739" t="inlineStr">
        <is>
          <t>Pa</t>
        </is>
      </c>
      <c r="AT739" t="inlineStr"/>
      <c r="AU739" t="inlineStr"/>
      <c r="AV739" t="inlineStr"/>
      <c r="AW739" t="inlineStr"/>
      <c r="AX739" t="inlineStr"/>
      <c r="AY739" t="inlineStr"/>
      <c r="AZ739" t="inlineStr"/>
      <c r="BA739" t="inlineStr"/>
      <c r="BB739" t="inlineStr"/>
      <c r="BC739" t="inlineStr"/>
      <c r="BD739" t="inlineStr"/>
      <c r="BE739" t="inlineStr"/>
      <c r="BF739" t="inlineStr"/>
      <c r="BG739" t="n">
        <v>80</v>
      </c>
      <c r="BH739" t="inlineStr"/>
      <c r="BI739" t="inlineStr"/>
      <c r="BJ739" t="inlineStr"/>
      <c r="BK739" t="inlineStr"/>
      <c r="BL739" t="inlineStr"/>
      <c r="BM739" t="inlineStr">
        <is>
          <t>ja vor</t>
        </is>
      </c>
      <c r="BN739" t="n">
        <v>1.5</v>
      </c>
      <c r="BO739" t="inlineStr"/>
      <c r="BP739" t="inlineStr"/>
      <c r="BQ739" t="inlineStr"/>
      <c r="BR739" t="inlineStr"/>
      <c r="BS739" t="inlineStr"/>
      <c r="BT739" t="inlineStr"/>
      <c r="BU739" t="inlineStr"/>
      <c r="BV739" t="inlineStr"/>
      <c r="BW739" t="inlineStr"/>
      <c r="BX739" t="inlineStr"/>
      <c r="BY739" t="inlineStr"/>
      <c r="BZ739" t="inlineStr">
        <is>
          <t>x</t>
        </is>
      </c>
      <c r="CA739" t="inlineStr"/>
      <c r="CB739" t="inlineStr">
        <is>
          <t>x</t>
        </is>
      </c>
      <c r="CC739" t="inlineStr"/>
      <c r="CD739" t="inlineStr"/>
      <c r="CE739" t="inlineStr"/>
      <c r="CF739" t="inlineStr">
        <is>
          <t>x</t>
        </is>
      </c>
      <c r="CG739" t="inlineStr"/>
      <c r="CH739" t="inlineStr"/>
      <c r="CI739" t="inlineStr"/>
      <c r="CJ739" t="inlineStr"/>
      <c r="CK739" t="inlineStr"/>
      <c r="CL739" t="inlineStr"/>
      <c r="CM739" t="n">
        <v>1.5</v>
      </c>
      <c r="CN739" t="inlineStr">
        <is>
          <t>evtl. kleine Hülse, Fragment inneliegend, ggf. Rücken mit JP überfangen</t>
        </is>
      </c>
      <c r="CO739" t="inlineStr"/>
      <c r="CP739" t="inlineStr"/>
      <c r="CQ739" t="inlineStr"/>
      <c r="CR739" t="inlineStr"/>
      <c r="CS739" t="inlineStr"/>
      <c r="CT739" t="inlineStr"/>
      <c r="CU739" t="inlineStr"/>
      <c r="CV739" t="inlineStr"/>
      <c r="CW739" t="inlineStr"/>
      <c r="CX739" t="inlineStr"/>
      <c r="CY739" t="inlineStr"/>
      <c r="CZ739" t="inlineStr"/>
      <c r="DA739" t="inlineStr"/>
      <c r="DB739" t="inlineStr"/>
      <c r="DC739" t="inlineStr"/>
      <c r="DD739" t="inlineStr"/>
      <c r="DE739" t="inlineStr"/>
      <c r="DF739" t="inlineStr"/>
      <c r="DG739" t="inlineStr"/>
    </row>
    <row r="740">
      <c r="A740" t="inlineStr">
        <is>
          <t>III</t>
        </is>
      </c>
      <c r="B740" t="b">
        <v>0</v>
      </c>
      <c r="C740" t="inlineStr">
        <is>
          <t>x</t>
        </is>
      </c>
      <c r="D740" t="inlineStr"/>
      <c r="E740" t="inlineStr"/>
      <c r="F740">
        <f>HYPERLINK("https://portal.dnb.de/opac.htm?method=simpleSearch&amp;cqlMode=true&amp;query=idn%3D", "Portal")</f>
        <v/>
      </c>
      <c r="G740" t="inlineStr"/>
      <c r="H740" t="inlineStr"/>
      <c r="I740" t="inlineStr"/>
      <c r="J740" t="inlineStr"/>
      <c r="K740" t="inlineStr"/>
      <c r="L740" t="inlineStr">
        <is>
          <t>III 77, 1</t>
        </is>
      </c>
      <c r="M740" t="inlineStr"/>
      <c r="N740" t="inlineStr"/>
      <c r="O740" t="inlineStr"/>
      <c r="P740" t="inlineStr">
        <is>
          <t>X</t>
        </is>
      </c>
      <c r="Q740" t="inlineStr"/>
      <c r="R740" t="inlineStr">
        <is>
          <t>Pergamentband</t>
        </is>
      </c>
      <c r="S740" t="inlineStr">
        <is>
          <t>bis 35 cm</t>
        </is>
      </c>
      <c r="T740" t="inlineStr">
        <is>
          <t>nur sehr geringer Öffnungswinkel</t>
        </is>
      </c>
      <c r="U740" t="inlineStr">
        <is>
          <t>hohler Rücken</t>
        </is>
      </c>
      <c r="V740" t="inlineStr"/>
      <c r="W740" t="inlineStr">
        <is>
          <t>Kassette</t>
        </is>
      </c>
      <c r="X740" t="inlineStr">
        <is>
          <t>Nein</t>
        </is>
      </c>
      <c r="Y740" t="n">
        <v>2</v>
      </c>
      <c r="Z740" t="inlineStr"/>
      <c r="AA740" t="inlineStr"/>
      <c r="AB740" t="inlineStr"/>
      <c r="AC740" t="inlineStr"/>
      <c r="AD740" t="inlineStr"/>
      <c r="AE740" t="inlineStr"/>
      <c r="AF740" t="inlineStr"/>
      <c r="AG740" t="inlineStr"/>
      <c r="AH740" t="inlineStr"/>
      <c r="AI740" t="inlineStr">
        <is>
          <t>Pg</t>
        </is>
      </c>
      <c r="AJ740" t="inlineStr">
        <is>
          <t xml:space="preserve">
Pergamentumschlag</t>
        </is>
      </c>
      <c r="AK740" t="inlineStr"/>
      <c r="AL740" t="inlineStr"/>
      <c r="AM740" t="inlineStr">
        <is>
          <t>h</t>
        </is>
      </c>
      <c r="AN740" t="inlineStr"/>
      <c r="AO740" t="inlineStr"/>
      <c r="AP740" t="inlineStr"/>
      <c r="AQ740" t="inlineStr"/>
      <c r="AR740" t="inlineStr"/>
      <c r="AS740" t="inlineStr">
        <is>
          <t>Pa</t>
        </is>
      </c>
      <c r="AT740" t="inlineStr"/>
      <c r="AU740" t="inlineStr"/>
      <c r="AV740" t="inlineStr"/>
      <c r="AW740" t="inlineStr"/>
      <c r="AX740" t="inlineStr"/>
      <c r="AY740" t="inlineStr"/>
      <c r="AZ740" t="inlineStr"/>
      <c r="BA740" t="inlineStr"/>
      <c r="BB740" t="inlineStr"/>
      <c r="BC740" t="inlineStr"/>
      <c r="BD740" t="inlineStr"/>
      <c r="BE740" t="inlineStr"/>
      <c r="BF740" t="inlineStr"/>
      <c r="BG740" t="n">
        <v>45</v>
      </c>
      <c r="BH740" t="inlineStr"/>
      <c r="BI740" t="inlineStr">
        <is>
          <t>x</t>
        </is>
      </c>
      <c r="BJ740" t="inlineStr">
        <is>
          <t xml:space="preserve">
bes. Vorsicht wegen Lage hinten</t>
        </is>
      </c>
      <c r="BK740" t="inlineStr"/>
      <c r="BL740" t="inlineStr"/>
      <c r="BM740" t="inlineStr">
        <is>
          <t>ja vor</t>
        </is>
      </c>
      <c r="BN740" t="n">
        <v>2</v>
      </c>
      <c r="BO740" t="inlineStr"/>
      <c r="BP740" t="inlineStr">
        <is>
          <t>Gewebe</t>
        </is>
      </c>
      <c r="BQ740" t="inlineStr"/>
      <c r="BR740" t="inlineStr"/>
      <c r="BS740" t="inlineStr"/>
      <c r="BT740" t="inlineStr"/>
      <c r="BU740" t="inlineStr"/>
      <c r="BV740" t="inlineStr"/>
      <c r="BW740" t="inlineStr">
        <is>
          <t>x 45</t>
        </is>
      </c>
      <c r="BX740" t="inlineStr"/>
      <c r="BY740" t="inlineStr"/>
      <c r="BZ740" t="inlineStr">
        <is>
          <t>x</t>
        </is>
      </c>
      <c r="CA740" t="inlineStr"/>
      <c r="CB740" t="inlineStr"/>
      <c r="CC740" t="inlineStr"/>
      <c r="CD740" t="inlineStr"/>
      <c r="CE740" t="inlineStr"/>
      <c r="CF740" t="inlineStr"/>
      <c r="CG740" t="inlineStr"/>
      <c r="CH740" t="inlineStr"/>
      <c r="CI740" t="inlineStr"/>
      <c r="CJ740" t="inlineStr"/>
      <c r="CK740" t="inlineStr"/>
      <c r="CL740" t="inlineStr"/>
      <c r="CM740" t="inlineStr"/>
      <c r="CN740" t="inlineStr"/>
      <c r="CO740" t="inlineStr"/>
      <c r="CP740" t="inlineStr"/>
      <c r="CQ740" t="inlineStr"/>
      <c r="CR740" t="inlineStr"/>
      <c r="CS740" t="inlineStr"/>
      <c r="CT740" t="inlineStr"/>
      <c r="CU740" t="inlineStr"/>
      <c r="CV740" t="inlineStr"/>
      <c r="CW740" t="inlineStr"/>
      <c r="CX740" t="inlineStr">
        <is>
          <t>x</t>
        </is>
      </c>
      <c r="CY740" t="inlineStr"/>
      <c r="CZ740" t="inlineStr"/>
      <c r="DA740" t="inlineStr"/>
      <c r="DB740" t="inlineStr"/>
      <c r="DC740" t="inlineStr"/>
      <c r="DD740" t="inlineStr"/>
      <c r="DE740" t="inlineStr"/>
      <c r="DF740" t="n">
        <v>2</v>
      </c>
      <c r="DG740" t="inlineStr">
        <is>
          <t>v.a. Risse im Titelblatt , ggf auch letztes Blatt, Lage hinten belassen</t>
        </is>
      </c>
    </row>
    <row r="741">
      <c r="A741" t="inlineStr">
        <is>
          <t>III</t>
        </is>
      </c>
      <c r="B741" t="b">
        <v>1</v>
      </c>
      <c r="C741" t="inlineStr"/>
      <c r="D741" t="inlineStr"/>
      <c r="E741" t="inlineStr"/>
      <c r="F741">
        <f>HYPERLINK("https://portal.dnb.de/opac.htm?method=simpleSearch&amp;cqlMode=true&amp;query=idn%3D1268123862", "Portal")</f>
        <v/>
      </c>
      <c r="G741" t="inlineStr">
        <is>
          <t>Aa</t>
        </is>
      </c>
      <c r="H741" t="inlineStr">
        <is>
          <t>L-1552-822821869</t>
        </is>
      </c>
      <c r="I741" t="inlineStr">
        <is>
          <t>1268123862</t>
        </is>
      </c>
      <c r="J741" t="inlineStr">
        <is>
          <t>III 77, 1</t>
        </is>
      </c>
      <c r="K741" t="inlineStr">
        <is>
          <t>III 77, 1</t>
        </is>
      </c>
      <c r="L741" t="inlineStr">
        <is>
          <t>III 77, 1</t>
        </is>
      </c>
      <c r="M741" t="inlineStr"/>
      <c r="N741" t="inlineStr">
        <is>
          <t>Historiae Regni Boiemiae, De Rebvs Memoria Dignis, In Illa Gestis, Ab Initio Boiemorum, qui ex Illyria venientes, eandem Boiemiam, in medio propemodum</t>
        </is>
      </c>
      <c r="O741" t="inlineStr">
        <is>
          <t xml:space="preserve"> : </t>
        </is>
      </c>
      <c r="P741" t="inlineStr"/>
      <c r="Q741" t="inlineStr">
        <is>
          <t>460,00 EUR</t>
        </is>
      </c>
      <c r="R741" t="inlineStr"/>
      <c r="S741" t="inlineStr"/>
      <c r="T741" t="inlineStr"/>
      <c r="U741" t="inlineStr"/>
      <c r="V741" t="inlineStr"/>
      <c r="W741" t="inlineStr"/>
      <c r="X741" t="inlineStr"/>
      <c r="Y741" t="inlineStr"/>
      <c r="Z741" t="inlineStr"/>
      <c r="AA741" t="inlineStr"/>
      <c r="AB741" t="inlineStr"/>
      <c r="AC741" t="inlineStr"/>
      <c r="AD741" t="inlineStr"/>
      <c r="AE741" t="inlineStr"/>
      <c r="AF741" t="inlineStr"/>
      <c r="AG741" t="inlineStr"/>
      <c r="AH741" t="inlineStr"/>
      <c r="AI741" t="inlineStr"/>
      <c r="AJ741" t="inlineStr"/>
      <c r="AK741" t="inlineStr"/>
      <c r="AL741" t="inlineStr"/>
      <c r="AM741" t="inlineStr"/>
      <c r="AN741" t="inlineStr"/>
      <c r="AO741" t="inlineStr"/>
      <c r="AP741" t="inlineStr"/>
      <c r="AQ741" t="inlineStr"/>
      <c r="AR741" t="inlineStr"/>
      <c r="AS741" t="inlineStr"/>
      <c r="AT741" t="inlineStr"/>
      <c r="AU741" t="inlineStr"/>
      <c r="AV741" t="inlineStr"/>
      <c r="AW741" t="inlineStr"/>
      <c r="AX741" t="inlineStr"/>
      <c r="AY741" t="inlineStr"/>
      <c r="AZ741" t="inlineStr"/>
      <c r="BA741" t="inlineStr"/>
      <c r="BB741" t="inlineStr"/>
      <c r="BC741" t="inlineStr"/>
      <c r="BD741" t="inlineStr"/>
      <c r="BE741" t="inlineStr"/>
      <c r="BF741" t="inlineStr"/>
      <c r="BG741" t="inlineStr"/>
      <c r="BH741" t="inlineStr"/>
      <c r="BI741" t="inlineStr"/>
      <c r="BJ741" t="inlineStr"/>
      <c r="BK741" t="inlineStr"/>
      <c r="BL741" t="inlineStr"/>
      <c r="BM741" t="inlineStr"/>
      <c r="BN741" t="inlineStr"/>
      <c r="BO741" t="inlineStr"/>
      <c r="BP741" t="inlineStr"/>
      <c r="BQ741" t="inlineStr"/>
      <c r="BR741" t="inlineStr"/>
      <c r="BS741" t="inlineStr"/>
      <c r="BT741" t="inlineStr"/>
      <c r="BU741" t="inlineStr"/>
      <c r="BV741" t="inlineStr"/>
      <c r="BW741" t="inlineStr"/>
      <c r="BX741" t="inlineStr"/>
      <c r="BY741" t="inlineStr"/>
      <c r="BZ741" t="inlineStr"/>
      <c r="CA741" t="inlineStr"/>
      <c r="CB741" t="inlineStr"/>
      <c r="CC741" t="inlineStr"/>
      <c r="CD741" t="inlineStr"/>
      <c r="CE741" t="inlineStr"/>
      <c r="CF741" t="inlineStr"/>
      <c r="CG741" t="inlineStr"/>
      <c r="CH741" t="inlineStr"/>
      <c r="CI741" t="inlineStr"/>
      <c r="CJ741" t="inlineStr"/>
      <c r="CK741" t="inlineStr"/>
      <c r="CL741" t="inlineStr"/>
      <c r="CM741" t="inlineStr"/>
      <c r="CN741" t="inlineStr"/>
      <c r="CO741" t="inlineStr"/>
      <c r="CP741" t="inlineStr"/>
      <c r="CQ741" t="inlineStr"/>
      <c r="CR741" t="inlineStr"/>
      <c r="CS741" t="inlineStr"/>
      <c r="CT741" t="inlineStr"/>
      <c r="CU741" t="inlineStr"/>
      <c r="CV741" t="inlineStr"/>
      <c r="CW741" t="inlineStr"/>
      <c r="CX741" t="inlineStr"/>
      <c r="CY741" t="inlineStr"/>
      <c r="CZ741" t="inlineStr"/>
      <c r="DA741" t="inlineStr"/>
      <c r="DB741" t="inlineStr"/>
      <c r="DC741" t="inlineStr"/>
      <c r="DD741" t="inlineStr"/>
      <c r="DE741" t="inlineStr"/>
      <c r="DF741" t="inlineStr"/>
      <c r="DG741" t="inlineStr"/>
    </row>
    <row r="742">
      <c r="A742" t="inlineStr">
        <is>
          <t>III</t>
        </is>
      </c>
      <c r="B742" t="b">
        <v>1</v>
      </c>
      <c r="C742" t="inlineStr"/>
      <c r="D742" t="inlineStr"/>
      <c r="E742" t="n">
        <v>831</v>
      </c>
      <c r="F742">
        <f>HYPERLINK("https://portal.dnb.de/opac.htm?method=simpleSearch&amp;cqlMode=true&amp;query=idn%3D1066936455", "Portal")</f>
        <v/>
      </c>
      <c r="G742" t="inlineStr">
        <is>
          <t>Aaf</t>
        </is>
      </c>
      <c r="H742" t="inlineStr">
        <is>
          <t>L-1554-315464313</t>
        </is>
      </c>
      <c r="I742" t="inlineStr">
        <is>
          <t>1066936455</t>
        </is>
      </c>
      <c r="J742" t="inlineStr">
        <is>
          <t>III 78, 1</t>
        </is>
      </c>
      <c r="K742" t="inlineStr">
        <is>
          <t>III 78, 1</t>
        </is>
      </c>
      <c r="L742" t="inlineStr">
        <is>
          <t>III 78, 1</t>
        </is>
      </c>
      <c r="M742" t="inlineStr"/>
      <c r="N742" t="inlineStr">
        <is>
          <t>CATECHIS=||MVS|| PRedigsweise gestelt/ für|| die kirche zu Regenspurg/ zum|| Methodo/ das ist/ ordentlicher|| summa Christlicher lere/ ...|| Durch Nic</t>
        </is>
      </c>
      <c r="O742" t="inlineStr">
        <is>
          <t xml:space="preserve"> : </t>
        </is>
      </c>
      <c r="P742" t="inlineStr">
        <is>
          <t>X</t>
        </is>
      </c>
      <c r="Q742" t="inlineStr"/>
      <c r="R742" t="inlineStr">
        <is>
          <t>Ledereinband, Schließen, erhabene Buchbeschläge</t>
        </is>
      </c>
      <c r="S742" t="inlineStr">
        <is>
          <t>bis 25 cm</t>
        </is>
      </c>
      <c r="T742" t="inlineStr">
        <is>
          <t>80° bis 110°, einseitig digitalisierbar?</t>
        </is>
      </c>
      <c r="U742" t="inlineStr">
        <is>
          <t>fester Rücken mit Schmuckprägung</t>
        </is>
      </c>
      <c r="V742" t="inlineStr"/>
      <c r="W742" t="inlineStr">
        <is>
          <t>Buchschuh</t>
        </is>
      </c>
      <c r="X742" t="inlineStr">
        <is>
          <t>Nein</t>
        </is>
      </c>
      <c r="Y742" t="n">
        <v>1</v>
      </c>
      <c r="Z742" t="inlineStr"/>
      <c r="AA742" t="inlineStr"/>
      <c r="AB742" t="inlineStr"/>
      <c r="AC742" t="inlineStr"/>
      <c r="AD742" t="inlineStr"/>
      <c r="AE742" t="inlineStr"/>
      <c r="AF742" t="inlineStr"/>
      <c r="AG742" t="inlineStr"/>
      <c r="AH742" t="inlineStr"/>
      <c r="AI742" t="inlineStr">
        <is>
          <t>HD</t>
        </is>
      </c>
      <c r="AJ742" t="inlineStr"/>
      <c r="AK742" t="inlineStr"/>
      <c r="AL742" t="inlineStr"/>
      <c r="AM742" t="inlineStr">
        <is>
          <t>f</t>
        </is>
      </c>
      <c r="AN742" t="inlineStr"/>
      <c r="AO742" t="inlineStr"/>
      <c r="AP742" t="inlineStr"/>
      <c r="AQ742" t="inlineStr"/>
      <c r="AR742" t="inlineStr"/>
      <c r="AS742" t="inlineStr">
        <is>
          <t>Pa</t>
        </is>
      </c>
      <c r="AT742" t="inlineStr"/>
      <c r="AU742" t="inlineStr"/>
      <c r="AV742" t="inlineStr"/>
      <c r="AW742" t="inlineStr"/>
      <c r="AX742" t="inlineStr"/>
      <c r="AY742" t="inlineStr"/>
      <c r="AZ742" t="inlineStr"/>
      <c r="BA742" t="inlineStr"/>
      <c r="BB742" t="inlineStr"/>
      <c r="BC742" t="inlineStr"/>
      <c r="BD742" t="inlineStr"/>
      <c r="BE742" t="inlineStr"/>
      <c r="BF742" t="inlineStr"/>
      <c r="BG742" t="n">
        <v>60</v>
      </c>
      <c r="BH742" t="inlineStr"/>
      <c r="BI742" t="inlineStr"/>
      <c r="BJ742" t="inlineStr"/>
      <c r="BK742" t="inlineStr"/>
      <c r="BL742" t="inlineStr"/>
      <c r="BM742" t="inlineStr">
        <is>
          <t>n</t>
        </is>
      </c>
      <c r="BN742" t="n">
        <v>0</v>
      </c>
      <c r="BO742" t="inlineStr"/>
      <c r="BP742" t="inlineStr"/>
      <c r="BQ742" t="inlineStr"/>
      <c r="BR742" t="inlineStr">
        <is>
          <t>x</t>
        </is>
      </c>
      <c r="BS742" t="inlineStr"/>
      <c r="BT742" t="inlineStr"/>
      <c r="BU742" t="inlineStr"/>
      <c r="BV742" t="inlineStr">
        <is>
          <t>Schaden stabil</t>
        </is>
      </c>
      <c r="BW742" t="inlineStr"/>
      <c r="BX742" t="inlineStr"/>
      <c r="BY742" t="inlineStr"/>
      <c r="BZ742" t="inlineStr"/>
      <c r="CA742" t="inlineStr"/>
      <c r="CB742" t="inlineStr"/>
      <c r="CC742" t="inlineStr"/>
      <c r="CD742" t="inlineStr"/>
      <c r="CE742" t="inlineStr"/>
      <c r="CF742" t="inlineStr"/>
      <c r="CG742" t="inlineStr"/>
      <c r="CH742" t="inlineStr"/>
      <c r="CI742" t="inlineStr"/>
      <c r="CJ742" t="inlineStr"/>
      <c r="CK742" t="inlineStr"/>
      <c r="CL742" t="inlineStr"/>
      <c r="CM742" t="inlineStr"/>
      <c r="CN742" t="inlineStr"/>
      <c r="CO742" t="inlineStr"/>
      <c r="CP742" t="inlineStr"/>
      <c r="CQ742" t="inlineStr"/>
      <c r="CR742" t="inlineStr"/>
      <c r="CS742" t="inlineStr"/>
      <c r="CT742" t="inlineStr"/>
      <c r="CU742" t="inlineStr"/>
      <c r="CV742" t="inlineStr"/>
      <c r="CW742" t="inlineStr"/>
      <c r="CX742" t="inlineStr"/>
      <c r="CY742" t="inlineStr"/>
      <c r="CZ742" t="inlineStr"/>
      <c r="DA742" t="inlineStr"/>
      <c r="DB742" t="inlineStr"/>
      <c r="DC742" t="inlineStr"/>
      <c r="DD742" t="inlineStr"/>
      <c r="DE742" t="inlineStr"/>
      <c r="DF742" t="inlineStr"/>
      <c r="DG742" t="inlineStr"/>
    </row>
    <row r="743">
      <c r="A743" t="inlineStr">
        <is>
          <t>III</t>
        </is>
      </c>
      <c r="B743" t="b">
        <v>1</v>
      </c>
      <c r="C743" t="inlineStr"/>
      <c r="D743" t="inlineStr"/>
      <c r="E743" t="n">
        <v>832</v>
      </c>
      <c r="F743">
        <f>HYPERLINK("https://portal.dnb.de/opac.htm?method=simpleSearch&amp;cqlMode=true&amp;query=idn%3D995843651", "Portal")</f>
        <v/>
      </c>
      <c r="G743" t="inlineStr">
        <is>
          <t>Aal</t>
        </is>
      </c>
      <c r="H743" t="inlineStr">
        <is>
          <t>L-1560-161002250</t>
        </is>
      </c>
      <c r="I743" t="inlineStr">
        <is>
          <t>995843651</t>
        </is>
      </c>
      <c r="J743" t="inlineStr">
        <is>
          <t>III 78, 2</t>
        </is>
      </c>
      <c r="K743" t="inlineStr">
        <is>
          <t>III 78, 2</t>
        </is>
      </c>
      <c r="L743" t="inlineStr">
        <is>
          <t>III 78, 2</t>
        </is>
      </c>
      <c r="M743" t="inlineStr"/>
      <c r="N743" t="inlineStr">
        <is>
          <t>Summa vnd Aus||zug der ersten vnd andern antwort|| Nicolai Galli, auf der Professorn zu Wittem||temberg [!] ausgangne Acta, Suma vnd Aus||zug derselbe</t>
        </is>
      </c>
      <c r="O743" t="inlineStr">
        <is>
          <t xml:space="preserve"> : </t>
        </is>
      </c>
      <c r="P743" t="inlineStr"/>
      <c r="Q743" t="inlineStr"/>
      <c r="R743" t="inlineStr"/>
      <c r="S743" t="inlineStr">
        <is>
          <t>bis 25 cm</t>
        </is>
      </c>
      <c r="T743" t="inlineStr"/>
      <c r="U743" t="inlineStr"/>
      <c r="V743" t="inlineStr"/>
      <c r="W743" t="inlineStr"/>
      <c r="X743" t="inlineStr"/>
      <c r="Y743" t="inlineStr"/>
      <c r="Z743" t="inlineStr"/>
      <c r="AA743" t="inlineStr"/>
      <c r="AB743" t="inlineStr"/>
      <c r="AC743" t="inlineStr"/>
      <c r="AD743" t="inlineStr"/>
      <c r="AE743" t="inlineStr"/>
      <c r="AF743" t="inlineStr"/>
      <c r="AG743" t="inlineStr"/>
      <c r="AH743" t="inlineStr"/>
      <c r="AI743" t="inlineStr">
        <is>
          <t>Pg</t>
        </is>
      </c>
      <c r="AJ743" t="inlineStr"/>
      <c r="AK743" t="inlineStr"/>
      <c r="AL743" t="inlineStr"/>
      <c r="AM743" t="inlineStr">
        <is>
          <t>h</t>
        </is>
      </c>
      <c r="AN743" t="inlineStr"/>
      <c r="AO743" t="inlineStr"/>
      <c r="AP743" t="inlineStr"/>
      <c r="AQ743" t="inlineStr"/>
      <c r="AR743" t="inlineStr"/>
      <c r="AS743" t="inlineStr">
        <is>
          <t>Pa</t>
        </is>
      </c>
      <c r="AT743" t="inlineStr"/>
      <c r="AU743" t="inlineStr"/>
      <c r="AV743" t="inlineStr"/>
      <c r="AW743" t="inlineStr"/>
      <c r="AX743" t="inlineStr"/>
      <c r="AY743" t="inlineStr"/>
      <c r="AZ743" t="inlineStr"/>
      <c r="BA743" t="inlineStr"/>
      <c r="BB743" t="inlineStr"/>
      <c r="BC743" t="inlineStr"/>
      <c r="BD743" t="inlineStr"/>
      <c r="BE743" t="inlineStr"/>
      <c r="BF743" t="inlineStr"/>
      <c r="BG743" t="n">
        <v>180</v>
      </c>
      <c r="BH743" t="inlineStr"/>
      <c r="BI743" t="inlineStr"/>
      <c r="BJ743" t="inlineStr"/>
      <c r="BK743" t="inlineStr"/>
      <c r="BL743" t="inlineStr"/>
      <c r="BM743" t="inlineStr">
        <is>
          <t>n</t>
        </is>
      </c>
      <c r="BN743" t="n">
        <v>0</v>
      </c>
      <c r="BO743" t="inlineStr"/>
      <c r="BP743" t="inlineStr"/>
      <c r="BQ743" t="inlineStr"/>
      <c r="BR743" t="inlineStr"/>
      <c r="BS743" t="inlineStr"/>
      <c r="BT743" t="inlineStr"/>
      <c r="BU743" t="inlineStr"/>
      <c r="BV743" t="inlineStr"/>
      <c r="BW743" t="inlineStr"/>
      <c r="BX743" t="inlineStr"/>
      <c r="BY743" t="inlineStr"/>
      <c r="BZ743" t="inlineStr"/>
      <c r="CA743" t="inlineStr"/>
      <c r="CB743" t="inlineStr"/>
      <c r="CC743" t="inlineStr"/>
      <c r="CD743" t="inlineStr"/>
      <c r="CE743" t="inlineStr"/>
      <c r="CF743" t="inlineStr"/>
      <c r="CG743" t="inlineStr"/>
      <c r="CH743" t="inlineStr"/>
      <c r="CI743" t="inlineStr"/>
      <c r="CJ743" t="inlineStr"/>
      <c r="CK743" t="inlineStr"/>
      <c r="CL743" t="inlineStr"/>
      <c r="CM743" t="inlineStr"/>
      <c r="CN743" t="inlineStr"/>
      <c r="CO743" t="inlineStr"/>
      <c r="CP743" t="inlineStr"/>
      <c r="CQ743" t="inlineStr"/>
      <c r="CR743" t="inlineStr"/>
      <c r="CS743" t="inlineStr"/>
      <c r="CT743" t="inlineStr"/>
      <c r="CU743" t="inlineStr"/>
      <c r="CV743" t="inlineStr"/>
      <c r="CW743" t="inlineStr"/>
      <c r="CX743" t="inlineStr"/>
      <c r="CY743" t="inlineStr"/>
      <c r="CZ743" t="inlineStr"/>
      <c r="DA743" t="inlineStr"/>
      <c r="DB743" t="inlineStr"/>
      <c r="DC743" t="inlineStr"/>
      <c r="DD743" t="inlineStr"/>
      <c r="DE743" t="inlineStr"/>
      <c r="DF743" t="inlineStr"/>
      <c r="DG743" t="inlineStr"/>
    </row>
    <row r="744">
      <c r="A744" t="inlineStr">
        <is>
          <t>III</t>
        </is>
      </c>
      <c r="B744" t="b">
        <v>1</v>
      </c>
      <c r="C744" t="inlineStr"/>
      <c r="D744" t="inlineStr"/>
      <c r="E744" t="n">
        <v>833</v>
      </c>
      <c r="F744">
        <f>HYPERLINK("https://portal.dnb.de/opac.htm?method=simpleSearch&amp;cqlMode=true&amp;query=idn%3D106686814X", "Portal")</f>
        <v/>
      </c>
      <c r="G744" t="inlineStr">
        <is>
          <t>Aaf</t>
        </is>
      </c>
      <c r="H744" t="inlineStr">
        <is>
          <t>L-1501-315326328</t>
        </is>
      </c>
      <c r="I744" t="inlineStr">
        <is>
          <t>106686814X</t>
        </is>
      </c>
      <c r="J744" t="inlineStr">
        <is>
          <t>III 79, 1</t>
        </is>
      </c>
      <c r="K744" t="inlineStr">
        <is>
          <t>III 79, 1</t>
        </is>
      </c>
      <c r="L744" t="inlineStr">
        <is>
          <t>III 79, 1</t>
        </is>
      </c>
      <c r="M744" t="inlineStr"/>
      <c r="N744" t="inlineStr">
        <is>
          <t xml:space="preserve">Liber de ciuitate christi con pilatus : </t>
        </is>
      </c>
      <c r="O744" t="inlineStr">
        <is>
          <t xml:space="preserve"> : </t>
        </is>
      </c>
      <c r="P744" t="inlineStr"/>
      <c r="Q744" t="inlineStr"/>
      <c r="R744" t="inlineStr"/>
      <c r="S744" t="inlineStr">
        <is>
          <t>bis 25 cm</t>
        </is>
      </c>
      <c r="T744" t="inlineStr"/>
      <c r="U744" t="inlineStr"/>
      <c r="V744" t="inlineStr"/>
      <c r="W744" t="inlineStr"/>
      <c r="X744" t="inlineStr"/>
      <c r="Y744" t="inlineStr"/>
      <c r="Z744" t="inlineStr"/>
      <c r="AA744" t="inlineStr"/>
      <c r="AB744" t="inlineStr"/>
      <c r="AC744" t="inlineStr"/>
      <c r="AD744" t="inlineStr"/>
      <c r="AE744" t="inlineStr"/>
      <c r="AF744" t="inlineStr"/>
      <c r="AG744" t="inlineStr"/>
      <c r="AH744" t="inlineStr"/>
      <c r="AI744" t="inlineStr">
        <is>
          <t>HPg</t>
        </is>
      </c>
      <c r="AJ744" t="inlineStr"/>
      <c r="AK744" t="inlineStr"/>
      <c r="AL744" t="inlineStr"/>
      <c r="AM744" t="inlineStr">
        <is>
          <t>h</t>
        </is>
      </c>
      <c r="AN744" t="inlineStr"/>
      <c r="AO744" t="inlineStr"/>
      <c r="AP744" t="inlineStr"/>
      <c r="AQ744" t="inlineStr"/>
      <c r="AR744" t="inlineStr"/>
      <c r="AS744" t="inlineStr">
        <is>
          <t>Pa</t>
        </is>
      </c>
      <c r="AT744" t="inlineStr"/>
      <c r="AU744" t="inlineStr"/>
      <c r="AV744" t="inlineStr"/>
      <c r="AW744" t="inlineStr"/>
      <c r="AX744" t="inlineStr"/>
      <c r="AY744" t="inlineStr"/>
      <c r="AZ744" t="inlineStr"/>
      <c r="BA744" t="inlineStr"/>
      <c r="BB744" t="inlineStr"/>
      <c r="BC744" t="inlineStr"/>
      <c r="BD744" t="inlineStr"/>
      <c r="BE744" t="inlineStr"/>
      <c r="BF744" t="inlineStr"/>
      <c r="BG744" t="n">
        <v>110</v>
      </c>
      <c r="BH744" t="inlineStr"/>
      <c r="BI744" t="inlineStr"/>
      <c r="BJ744" t="inlineStr"/>
      <c r="BK744" t="inlineStr"/>
      <c r="BL744" t="inlineStr"/>
      <c r="BM744" t="inlineStr">
        <is>
          <t>n</t>
        </is>
      </c>
      <c r="BN744" t="n">
        <v>0</v>
      </c>
      <c r="BO744" t="inlineStr"/>
      <c r="BP744" t="inlineStr"/>
      <c r="BQ744" t="inlineStr"/>
      <c r="BR744" t="inlineStr"/>
      <c r="BS744" t="inlineStr"/>
      <c r="BT744" t="inlineStr"/>
      <c r="BU744" t="inlineStr"/>
      <c r="BV744" t="inlineStr"/>
      <c r="BW744" t="inlineStr"/>
      <c r="BX744" t="inlineStr"/>
      <c r="BY744" t="inlineStr"/>
      <c r="BZ744" t="inlineStr"/>
      <c r="CA744" t="inlineStr"/>
      <c r="CB744" t="inlineStr"/>
      <c r="CC744" t="inlineStr"/>
      <c r="CD744" t="inlineStr"/>
      <c r="CE744" t="inlineStr"/>
      <c r="CF744" t="inlineStr"/>
      <c r="CG744" t="inlineStr"/>
      <c r="CH744" t="inlineStr"/>
      <c r="CI744" t="inlineStr"/>
      <c r="CJ744" t="inlineStr"/>
      <c r="CK744" t="inlineStr"/>
      <c r="CL744" t="inlineStr"/>
      <c r="CM744" t="inlineStr"/>
      <c r="CN744" t="inlineStr"/>
      <c r="CO744" t="inlineStr"/>
      <c r="CP744" t="inlineStr"/>
      <c r="CQ744" t="inlineStr"/>
      <c r="CR744" t="inlineStr"/>
      <c r="CS744" t="inlineStr"/>
      <c r="CT744" t="inlineStr"/>
      <c r="CU744" t="inlineStr"/>
      <c r="CV744" t="inlineStr"/>
      <c r="CW744" t="inlineStr"/>
      <c r="CX744" t="inlineStr"/>
      <c r="CY744" t="inlineStr"/>
      <c r="CZ744" t="inlineStr"/>
      <c r="DA744" t="inlineStr"/>
      <c r="DB744" t="inlineStr"/>
      <c r="DC744" t="inlineStr"/>
      <c r="DD744" t="inlineStr"/>
      <c r="DE744" t="inlineStr"/>
      <c r="DF744" t="inlineStr"/>
      <c r="DG744" t="inlineStr"/>
    </row>
    <row r="745">
      <c r="A745" t="inlineStr">
        <is>
          <t>III</t>
        </is>
      </c>
      <c r="B745" t="b">
        <v>1</v>
      </c>
      <c r="C745" t="inlineStr"/>
      <c r="D745" t="inlineStr"/>
      <c r="E745" t="n">
        <v>834</v>
      </c>
      <c r="F745">
        <f>HYPERLINK("https://portal.dnb.de/opac.htm?method=simpleSearch&amp;cqlMode=true&amp;query=idn%3D1066956375", "Portal")</f>
        <v/>
      </c>
      <c r="G745" t="inlineStr">
        <is>
          <t>Aaf</t>
        </is>
      </c>
      <c r="H745" t="inlineStr">
        <is>
          <t>L-1517-315487054</t>
        </is>
      </c>
      <c r="I745" t="inlineStr">
        <is>
          <t>1066956375</t>
        </is>
      </c>
      <c r="J745" t="inlineStr">
        <is>
          <t>III 80, 1</t>
        </is>
      </c>
      <c r="K745" t="inlineStr">
        <is>
          <t>III 80, 1</t>
        </is>
      </c>
      <c r="L745" t="inlineStr">
        <is>
          <t>III 80, 1</t>
        </is>
      </c>
      <c r="M745" t="inlineStr"/>
      <c r="N745" t="inlineStr">
        <is>
          <t>Das @ist der geistlich streit|| gemacht vnnd gepredigt worden durch|| den Hochgelertenn Bayder Rechtenn|| Doctor Vlrich krafft pfarrer zu Vlm|| außget</t>
        </is>
      </c>
      <c r="O745" t="inlineStr">
        <is>
          <t xml:space="preserve"> : </t>
        </is>
      </c>
      <c r="P745" t="inlineStr"/>
      <c r="Q745" t="inlineStr"/>
      <c r="R745" t="inlineStr"/>
      <c r="S745" t="inlineStr">
        <is>
          <t>bis 25 cm</t>
        </is>
      </c>
      <c r="T745" t="inlineStr"/>
      <c r="U745" t="inlineStr"/>
      <c r="V745" t="inlineStr"/>
      <c r="W745" t="inlineStr"/>
      <c r="X745" t="inlineStr"/>
      <c r="Y745" t="inlineStr"/>
      <c r="Z745" t="inlineStr"/>
      <c r="AA745" t="inlineStr"/>
      <c r="AB745" t="inlineStr"/>
      <c r="AC745" t="inlineStr"/>
      <c r="AD745" t="inlineStr"/>
      <c r="AE745" t="inlineStr"/>
      <c r="AF745" t="inlineStr"/>
      <c r="AG745" t="inlineStr"/>
      <c r="AH745" t="inlineStr"/>
      <c r="AI745" t="inlineStr">
        <is>
          <t>HL</t>
        </is>
      </c>
      <c r="AJ745" t="inlineStr"/>
      <c r="AK745" t="inlineStr">
        <is>
          <t>x</t>
        </is>
      </c>
      <c r="AL745" t="inlineStr"/>
      <c r="AM745" t="inlineStr">
        <is>
          <t>h/E</t>
        </is>
      </c>
      <c r="AN745" t="inlineStr"/>
      <c r="AO745" t="inlineStr"/>
      <c r="AP745" t="inlineStr"/>
      <c r="AQ745" t="inlineStr"/>
      <c r="AR745" t="inlineStr"/>
      <c r="AS745" t="inlineStr">
        <is>
          <t>Pa</t>
        </is>
      </c>
      <c r="AT745" t="inlineStr">
        <is>
          <t>x</t>
        </is>
      </c>
      <c r="AU745" t="inlineStr"/>
      <c r="AV745" t="inlineStr"/>
      <c r="AW745" t="inlineStr"/>
      <c r="AX745" t="inlineStr"/>
      <c r="AY745" t="inlineStr"/>
      <c r="AZ745" t="inlineStr"/>
      <c r="BA745" t="inlineStr"/>
      <c r="BB745" t="inlineStr"/>
      <c r="BC745" t="inlineStr"/>
      <c r="BD745" t="inlineStr"/>
      <c r="BE745" t="inlineStr"/>
      <c r="BF745" t="inlineStr"/>
      <c r="BG745" t="n">
        <v>110</v>
      </c>
      <c r="BH745" t="inlineStr"/>
      <c r="BI745" t="inlineStr"/>
      <c r="BJ745" t="inlineStr"/>
      <c r="BK745" t="inlineStr"/>
      <c r="BL745" t="inlineStr"/>
      <c r="BM745" t="inlineStr">
        <is>
          <t>n</t>
        </is>
      </c>
      <c r="BN745" t="n">
        <v>0</v>
      </c>
      <c r="BO745" t="inlineStr"/>
      <c r="BP745" t="inlineStr"/>
      <c r="BQ745" t="inlineStr"/>
      <c r="BR745" t="inlineStr">
        <is>
          <t>x</t>
        </is>
      </c>
      <c r="BS745" t="inlineStr"/>
      <c r="BT745" t="inlineStr"/>
      <c r="BU745" t="inlineStr"/>
      <c r="BV745" t="inlineStr"/>
      <c r="BW745" t="inlineStr"/>
      <c r="BX745" t="inlineStr"/>
      <c r="BY745" t="inlineStr"/>
      <c r="BZ745" t="inlineStr"/>
      <c r="CA745" t="inlineStr"/>
      <c r="CB745" t="inlineStr"/>
      <c r="CC745" t="inlineStr"/>
      <c r="CD745" t="inlineStr"/>
      <c r="CE745" t="inlineStr"/>
      <c r="CF745" t="inlineStr"/>
      <c r="CG745" t="inlineStr"/>
      <c r="CH745" t="inlineStr"/>
      <c r="CI745" t="inlineStr"/>
      <c r="CJ745" t="inlineStr"/>
      <c r="CK745" t="inlineStr"/>
      <c r="CL745" t="inlineStr"/>
      <c r="CM745" t="inlineStr"/>
      <c r="CN745" t="inlineStr"/>
      <c r="CO745" t="inlineStr"/>
      <c r="CP745" t="inlineStr"/>
      <c r="CQ745" t="inlineStr"/>
      <c r="CR745" t="inlineStr"/>
      <c r="CS745" t="inlineStr"/>
      <c r="CT745" t="inlineStr"/>
      <c r="CU745" t="inlineStr"/>
      <c r="CV745" t="inlineStr"/>
      <c r="CW745" t="inlineStr"/>
      <c r="CX745" t="inlineStr"/>
      <c r="CY745" t="inlineStr"/>
      <c r="CZ745" t="inlineStr"/>
      <c r="DA745" t="inlineStr"/>
      <c r="DB745" t="inlineStr"/>
      <c r="DC745" t="inlineStr"/>
      <c r="DD745" t="inlineStr"/>
      <c r="DE745" t="inlineStr"/>
      <c r="DF745" t="inlineStr"/>
      <c r="DG745" t="inlineStr"/>
    </row>
    <row r="746">
      <c r="A746" t="inlineStr">
        <is>
          <t>III</t>
        </is>
      </c>
      <c r="B746" t="b">
        <v>1</v>
      </c>
      <c r="C746" t="inlineStr"/>
      <c r="D746" t="inlineStr"/>
      <c r="E746" t="n">
        <v>835</v>
      </c>
      <c r="F746">
        <f>HYPERLINK("https://portal.dnb.de/opac.htm?method=simpleSearch&amp;cqlMode=true&amp;query=idn%3D1066800278", "Portal")</f>
        <v/>
      </c>
      <c r="G746" t="inlineStr">
        <is>
          <t>Aaf</t>
        </is>
      </c>
      <c r="H746" t="inlineStr">
        <is>
          <t>L-1504-315220163</t>
        </is>
      </c>
      <c r="I746" t="inlineStr">
        <is>
          <t>1066800278</t>
        </is>
      </c>
      <c r="J746" t="inlineStr">
        <is>
          <t>III 81, 1</t>
        </is>
      </c>
      <c r="K746" t="inlineStr">
        <is>
          <t>III 81, 1</t>
        </is>
      </c>
      <c r="L746" t="inlineStr">
        <is>
          <t>III 81, 1</t>
        </is>
      </c>
      <c r="M746" t="inlineStr"/>
      <c r="N746" t="inlineStr">
        <is>
          <t xml:space="preserve">Kanuti, Episcopi Niburgensis, quaedam breves Expositiones et Legum et Jurium Concordantiae et allegationes circa Leges Juciae Latine et Danice : </t>
        </is>
      </c>
      <c r="O746" t="inlineStr">
        <is>
          <t xml:space="preserve"> : </t>
        </is>
      </c>
      <c r="P746" t="inlineStr"/>
      <c r="Q746" t="inlineStr"/>
      <c r="R746" t="inlineStr"/>
      <c r="S746" t="inlineStr">
        <is>
          <t>bis 25 cm</t>
        </is>
      </c>
      <c r="T746" t="inlineStr"/>
      <c r="U746" t="inlineStr"/>
      <c r="V746" t="inlineStr"/>
      <c r="W746" t="inlineStr"/>
      <c r="X746" t="inlineStr"/>
      <c r="Y746" t="inlineStr"/>
      <c r="Z746" t="inlineStr"/>
      <c r="AA746" t="inlineStr"/>
      <c r="AB746" t="inlineStr"/>
      <c r="AC746" t="inlineStr"/>
      <c r="AD746" t="inlineStr"/>
      <c r="AE746" t="inlineStr"/>
      <c r="AF746" t="inlineStr"/>
      <c r="AG746" t="inlineStr"/>
      <c r="AH746" t="inlineStr"/>
      <c r="AI746" t="inlineStr">
        <is>
          <t>HD</t>
        </is>
      </c>
      <c r="AJ746" t="inlineStr"/>
      <c r="AK746" t="inlineStr">
        <is>
          <t>x</t>
        </is>
      </c>
      <c r="AL746" t="inlineStr"/>
      <c r="AM746" t="inlineStr">
        <is>
          <t>f</t>
        </is>
      </c>
      <c r="AN746" t="inlineStr"/>
      <c r="AO746" t="inlineStr"/>
      <c r="AP746" t="inlineStr"/>
      <c r="AQ746" t="inlineStr"/>
      <c r="AR746" t="inlineStr"/>
      <c r="AS746" t="inlineStr">
        <is>
          <t>Pa</t>
        </is>
      </c>
      <c r="AT746" t="inlineStr"/>
      <c r="AU746" t="inlineStr"/>
      <c r="AV746" t="inlineStr"/>
      <c r="AW746" t="inlineStr"/>
      <c r="AX746" t="inlineStr"/>
      <c r="AY746" t="inlineStr"/>
      <c r="AZ746" t="inlineStr"/>
      <c r="BA746" t="inlineStr"/>
      <c r="BB746" t="inlineStr"/>
      <c r="BC746" t="inlineStr">
        <is>
          <t>I/R</t>
        </is>
      </c>
      <c r="BD746" t="inlineStr">
        <is>
          <t>x</t>
        </is>
      </c>
      <c r="BE746" t="inlineStr"/>
      <c r="BF746" t="inlineStr"/>
      <c r="BG746" t="n">
        <v>80</v>
      </c>
      <c r="BH746" t="inlineStr"/>
      <c r="BI746" t="inlineStr"/>
      <c r="BJ746" t="inlineStr"/>
      <c r="BK746" t="inlineStr"/>
      <c r="BL746" t="inlineStr"/>
      <c r="BM746" t="inlineStr">
        <is>
          <t>n</t>
        </is>
      </c>
      <c r="BN746" t="n">
        <v>0</v>
      </c>
      <c r="BO746" t="inlineStr"/>
      <c r="BP746" t="inlineStr"/>
      <c r="BQ746" t="inlineStr"/>
      <c r="BR746" t="inlineStr">
        <is>
          <t>x</t>
        </is>
      </c>
      <c r="BS746" t="inlineStr"/>
      <c r="BT746" t="inlineStr"/>
      <c r="BU746" t="inlineStr"/>
      <c r="BV746" t="inlineStr"/>
      <c r="BW746" t="inlineStr"/>
      <c r="BX746" t="inlineStr"/>
      <c r="BY746" t="inlineStr"/>
      <c r="BZ746" t="inlineStr"/>
      <c r="CA746" t="inlineStr"/>
      <c r="CB746" t="inlineStr"/>
      <c r="CC746" t="inlineStr"/>
      <c r="CD746" t="inlineStr"/>
      <c r="CE746" t="inlineStr"/>
      <c r="CF746" t="inlineStr"/>
      <c r="CG746" t="inlineStr"/>
      <c r="CH746" t="inlineStr"/>
      <c r="CI746" t="inlineStr"/>
      <c r="CJ746" t="inlineStr"/>
      <c r="CK746" t="inlineStr"/>
      <c r="CL746" t="inlineStr"/>
      <c r="CM746" t="inlineStr"/>
      <c r="CN746" t="inlineStr"/>
      <c r="CO746" t="inlineStr"/>
      <c r="CP746" t="inlineStr"/>
      <c r="CQ746" t="inlineStr"/>
      <c r="CR746" t="inlineStr"/>
      <c r="CS746" t="inlineStr"/>
      <c r="CT746" t="inlineStr"/>
      <c r="CU746" t="inlineStr"/>
      <c r="CV746" t="inlineStr"/>
      <c r="CW746" t="inlineStr"/>
      <c r="CX746" t="inlineStr"/>
      <c r="CY746" t="inlineStr"/>
      <c r="CZ746" t="inlineStr"/>
      <c r="DA746" t="inlineStr"/>
      <c r="DB746" t="inlineStr"/>
      <c r="DC746" t="inlineStr"/>
      <c r="DD746" t="inlineStr"/>
      <c r="DE746" t="inlineStr"/>
      <c r="DF746" t="inlineStr"/>
      <c r="DG746" t="inlineStr"/>
    </row>
    <row r="747">
      <c r="A747" t="inlineStr">
        <is>
          <t>III</t>
        </is>
      </c>
      <c r="B747" t="b">
        <v>1</v>
      </c>
      <c r="C747" t="inlineStr"/>
      <c r="D747" t="inlineStr"/>
      <c r="E747" t="n">
        <v>836</v>
      </c>
      <c r="F747">
        <f>HYPERLINK("https://portal.dnb.de/opac.htm?method=simpleSearch&amp;cqlMode=true&amp;query=idn%3D1066800278", "Portal")</f>
        <v/>
      </c>
      <c r="G747" t="inlineStr">
        <is>
          <t>Aaf</t>
        </is>
      </c>
      <c r="H747" t="inlineStr">
        <is>
          <t>L-1504-315220155</t>
        </is>
      </c>
      <c r="I747" t="inlineStr">
        <is>
          <t>1066800278</t>
        </is>
      </c>
      <c r="J747" t="inlineStr">
        <is>
          <t>III 81, 1</t>
        </is>
      </c>
      <c r="K747" t="inlineStr">
        <is>
          <t>III 81, 1</t>
        </is>
      </c>
      <c r="L747" t="inlineStr">
        <is>
          <t>III 81, 1</t>
        </is>
      </c>
      <c r="M747" t="inlineStr">
        <is>
          <t>doppelt?</t>
        </is>
      </c>
      <c r="N747" t="inlineStr">
        <is>
          <t xml:space="preserve">Kanuti, Episcopi Niburgensis, quaedam breves Expositiones et Legum et Jurium Concordantiae et allegationes circa Leges Juciae Latine et Danice : </t>
        </is>
      </c>
      <c r="O747" t="inlineStr">
        <is>
          <t xml:space="preserve"> : </t>
        </is>
      </c>
      <c r="P747" t="inlineStr"/>
      <c r="Q747" t="inlineStr"/>
      <c r="R747" t="inlineStr"/>
      <c r="S747" t="inlineStr"/>
      <c r="T747" t="inlineStr"/>
      <c r="U747" t="inlineStr"/>
      <c r="V747" t="inlineStr"/>
      <c r="W747" t="inlineStr"/>
      <c r="X747" t="inlineStr"/>
      <c r="Y747" t="inlineStr"/>
      <c r="Z747" t="inlineStr"/>
      <c r="AA747" t="inlineStr"/>
      <c r="AB747" t="inlineStr"/>
      <c r="AC747" t="inlineStr"/>
      <c r="AD747" t="inlineStr"/>
      <c r="AE747" t="inlineStr"/>
      <c r="AF747" t="inlineStr"/>
      <c r="AG747" t="inlineStr"/>
      <c r="AH747" t="inlineStr"/>
      <c r="AI747" t="inlineStr"/>
      <c r="AJ747" t="inlineStr"/>
      <c r="AK747" t="inlineStr"/>
      <c r="AL747" t="inlineStr"/>
      <c r="AM747" t="inlineStr"/>
      <c r="AN747" t="inlineStr"/>
      <c r="AO747" t="inlineStr"/>
      <c r="AP747" t="inlineStr"/>
      <c r="AQ747" t="inlineStr"/>
      <c r="AR747" t="inlineStr"/>
      <c r="AS747" t="inlineStr"/>
      <c r="AT747" t="inlineStr"/>
      <c r="AU747" t="inlineStr"/>
      <c r="AV747" t="inlineStr"/>
      <c r="AW747" t="inlineStr"/>
      <c r="AX747" t="inlineStr"/>
      <c r="AY747" t="inlineStr"/>
      <c r="AZ747" t="inlineStr"/>
      <c r="BA747" t="inlineStr"/>
      <c r="BB747" t="inlineStr"/>
      <c r="BC747" t="inlineStr"/>
      <c r="BD747" t="inlineStr"/>
      <c r="BE747" t="inlineStr"/>
      <c r="BF747" t="inlineStr"/>
      <c r="BG747" t="inlineStr"/>
      <c r="BH747" t="inlineStr"/>
      <c r="BI747" t="inlineStr"/>
      <c r="BJ747" t="inlineStr"/>
      <c r="BK747" t="inlineStr"/>
      <c r="BL747" t="inlineStr"/>
      <c r="BM747" t="inlineStr"/>
      <c r="BN747" t="n">
        <v>0</v>
      </c>
      <c r="BO747" t="inlineStr"/>
      <c r="BP747" t="inlineStr"/>
      <c r="BQ747" t="inlineStr"/>
      <c r="BR747" t="inlineStr"/>
      <c r="BS747" t="inlineStr"/>
      <c r="BT747" t="inlineStr"/>
      <c r="BU747" t="inlineStr"/>
      <c r="BV747" t="inlineStr"/>
      <c r="BW747" t="inlineStr"/>
      <c r="BX747" t="inlineStr"/>
      <c r="BY747" t="inlineStr"/>
      <c r="BZ747" t="inlineStr"/>
      <c r="CA747" t="inlineStr"/>
      <c r="CB747" t="inlineStr"/>
      <c r="CC747" t="inlineStr"/>
      <c r="CD747" t="inlineStr"/>
      <c r="CE747" t="inlineStr"/>
      <c r="CF747" t="inlineStr"/>
      <c r="CG747" t="inlineStr"/>
      <c r="CH747" t="inlineStr"/>
      <c r="CI747" t="inlineStr"/>
      <c r="CJ747" t="inlineStr"/>
      <c r="CK747" t="inlineStr"/>
      <c r="CL747" t="inlineStr"/>
      <c r="CM747" t="inlineStr"/>
      <c r="CN747" t="inlineStr"/>
      <c r="CO747" t="inlineStr"/>
      <c r="CP747" t="inlineStr"/>
      <c r="CQ747" t="inlineStr"/>
      <c r="CR747" t="inlineStr"/>
      <c r="CS747" t="inlineStr"/>
      <c r="CT747" t="inlineStr"/>
      <c r="CU747" t="inlineStr"/>
      <c r="CV747" t="inlineStr"/>
      <c r="CW747" t="inlineStr"/>
      <c r="CX747" t="inlineStr"/>
      <c r="CY747" t="inlineStr"/>
      <c r="CZ747" t="inlineStr"/>
      <c r="DA747" t="inlineStr"/>
      <c r="DB747" t="inlineStr"/>
      <c r="DC747" t="inlineStr"/>
      <c r="DD747" t="inlineStr"/>
      <c r="DE747" t="inlineStr"/>
      <c r="DF747" t="inlineStr"/>
      <c r="DG747" t="inlineStr"/>
    </row>
    <row r="748">
      <c r="A748" t="inlineStr">
        <is>
          <t>III</t>
        </is>
      </c>
      <c r="B748" t="b">
        <v>1</v>
      </c>
      <c r="C748" t="inlineStr"/>
      <c r="D748" t="inlineStr"/>
      <c r="E748" t="n">
        <v>837</v>
      </c>
      <c r="F748">
        <f>HYPERLINK("https://portal.dnb.de/opac.htm?method=simpleSearch&amp;cqlMode=true&amp;query=idn%3D1066798540", "Portal")</f>
        <v/>
      </c>
      <c r="G748" t="inlineStr">
        <is>
          <t>Aaf</t>
        </is>
      </c>
      <c r="H748" t="inlineStr">
        <is>
          <t>L-1521-315218711</t>
        </is>
      </c>
      <c r="I748" t="inlineStr">
        <is>
          <t>1066798540</t>
        </is>
      </c>
      <c r="J748" t="inlineStr">
        <is>
          <t>III 82, 1</t>
        </is>
      </c>
      <c r="K748" t="inlineStr">
        <is>
          <t>III 82, 1</t>
        </is>
      </c>
      <c r="L748" t="inlineStr">
        <is>
          <t>III 82, 1</t>
        </is>
      </c>
      <c r="M748" t="inlineStr"/>
      <c r="N748" t="inlineStr">
        <is>
          <t xml:space="preserve">Pvb. Francisci Modesti Ariminensis, ad Antonium Grimanvm. P. S. Q. V. Venetias : </t>
        </is>
      </c>
      <c r="O748" t="inlineStr">
        <is>
          <t xml:space="preserve"> : </t>
        </is>
      </c>
      <c r="P748" t="inlineStr"/>
      <c r="Q748" t="inlineStr"/>
      <c r="R748" t="inlineStr"/>
      <c r="S748" t="inlineStr">
        <is>
          <t>bis 35 cm</t>
        </is>
      </c>
      <c r="T748" t="inlineStr"/>
      <c r="U748" t="inlineStr"/>
      <c r="V748" t="inlineStr"/>
      <c r="W748" t="inlineStr"/>
      <c r="X748" t="inlineStr"/>
      <c r="Y748" t="inlineStr"/>
      <c r="Z748" t="inlineStr"/>
      <c r="AA748" t="inlineStr"/>
      <c r="AB748" t="inlineStr"/>
      <c r="AC748" t="inlineStr"/>
      <c r="AD748" t="inlineStr"/>
      <c r="AE748" t="inlineStr"/>
      <c r="AF748" t="inlineStr"/>
      <c r="AG748" t="inlineStr"/>
      <c r="AH748" t="inlineStr"/>
      <c r="AI748" t="inlineStr">
        <is>
          <t>HL</t>
        </is>
      </c>
      <c r="AJ748" t="inlineStr"/>
      <c r="AK748" t="inlineStr">
        <is>
          <t>x</t>
        </is>
      </c>
      <c r="AL748" t="inlineStr"/>
      <c r="AM748" t="inlineStr">
        <is>
          <t>h/E</t>
        </is>
      </c>
      <c r="AN748" t="inlineStr"/>
      <c r="AO748" t="inlineStr"/>
      <c r="AP748" t="inlineStr"/>
      <c r="AQ748" t="inlineStr"/>
      <c r="AR748" t="inlineStr"/>
      <c r="AS748" t="inlineStr">
        <is>
          <t>Pa</t>
        </is>
      </c>
      <c r="AT748" t="inlineStr"/>
      <c r="AU748" t="inlineStr"/>
      <c r="AV748" t="inlineStr"/>
      <c r="AW748" t="inlineStr"/>
      <c r="AX748" t="inlineStr"/>
      <c r="AY748" t="inlineStr"/>
      <c r="AZ748" t="inlineStr"/>
      <c r="BA748" t="inlineStr"/>
      <c r="BB748" t="inlineStr"/>
      <c r="BC748" t="inlineStr"/>
      <c r="BD748" t="inlineStr"/>
      <c r="BE748" t="inlineStr"/>
      <c r="BF748" t="inlineStr"/>
      <c r="BG748" t="n">
        <v>110</v>
      </c>
      <c r="BH748" t="inlineStr"/>
      <c r="BI748" t="inlineStr"/>
      <c r="BJ748" t="inlineStr"/>
      <c r="BK748" t="inlineStr"/>
      <c r="BL748" t="inlineStr"/>
      <c r="BM748" t="inlineStr">
        <is>
          <t>n</t>
        </is>
      </c>
      <c r="BN748" t="n">
        <v>0</v>
      </c>
      <c r="BO748" t="inlineStr"/>
      <c r="BP748" t="inlineStr"/>
      <c r="BQ748" t="inlineStr"/>
      <c r="BR748" t="inlineStr">
        <is>
          <t>x</t>
        </is>
      </c>
      <c r="BS748" t="inlineStr"/>
      <c r="BT748" t="inlineStr"/>
      <c r="BU748" t="inlineStr"/>
      <c r="BV748" t="inlineStr"/>
      <c r="BW748" t="inlineStr"/>
      <c r="BX748" t="inlineStr"/>
      <c r="BY748" t="inlineStr"/>
      <c r="BZ748" t="inlineStr"/>
      <c r="CA748" t="inlineStr"/>
      <c r="CB748" t="inlineStr"/>
      <c r="CC748" t="inlineStr"/>
      <c r="CD748" t="inlineStr"/>
      <c r="CE748" t="inlineStr"/>
      <c r="CF748" t="inlineStr"/>
      <c r="CG748" t="inlineStr"/>
      <c r="CH748" t="inlineStr"/>
      <c r="CI748" t="inlineStr"/>
      <c r="CJ748" t="inlineStr"/>
      <c r="CK748" t="inlineStr"/>
      <c r="CL748" t="inlineStr"/>
      <c r="CM748" t="inlineStr"/>
      <c r="CN748" t="inlineStr"/>
      <c r="CO748" t="inlineStr"/>
      <c r="CP748" t="inlineStr"/>
      <c r="CQ748" t="inlineStr"/>
      <c r="CR748" t="inlineStr"/>
      <c r="CS748" t="inlineStr"/>
      <c r="CT748" t="inlineStr"/>
      <c r="CU748" t="inlineStr"/>
      <c r="CV748" t="inlineStr"/>
      <c r="CW748" t="inlineStr"/>
      <c r="CX748" t="inlineStr"/>
      <c r="CY748" t="inlineStr"/>
      <c r="CZ748" t="inlineStr"/>
      <c r="DA748" t="inlineStr"/>
      <c r="DB748" t="inlineStr"/>
      <c r="DC748" t="inlineStr"/>
      <c r="DD748" t="inlineStr"/>
      <c r="DE748" t="inlineStr"/>
      <c r="DF748" t="inlineStr"/>
      <c r="DG748" t="inlineStr"/>
    </row>
    <row r="749">
      <c r="A749" t="inlineStr">
        <is>
          <t>III</t>
        </is>
      </c>
      <c r="B749" t="b">
        <v>0</v>
      </c>
      <c r="C749" t="inlineStr"/>
      <c r="D749" t="inlineStr"/>
      <c r="E749" t="n">
        <v>838</v>
      </c>
      <c r="F749">
        <f>HYPERLINK("https://portal.dnb.de/opac.htm?method=simpleSearch&amp;cqlMode=true&amp;query=idn%3D1066834555", "Portal")</f>
        <v/>
      </c>
      <c r="G749" t="inlineStr"/>
      <c r="H749" t="inlineStr">
        <is>
          <t>L-1520-315294493</t>
        </is>
      </c>
      <c r="I749" t="inlineStr">
        <is>
          <t>1066834555</t>
        </is>
      </c>
      <c r="J749" t="inlineStr"/>
      <c r="K749" t="inlineStr"/>
      <c r="L749" t="inlineStr">
        <is>
          <t>III 83, 1</t>
        </is>
      </c>
      <c r="M749" t="inlineStr"/>
      <c r="N749" t="inlineStr"/>
      <c r="O749" t="inlineStr"/>
      <c r="P749" t="inlineStr"/>
      <c r="Q749" t="inlineStr"/>
      <c r="R749" t="inlineStr"/>
      <c r="S749" t="inlineStr">
        <is>
          <t>bis 25 cm</t>
        </is>
      </c>
      <c r="T749" t="inlineStr"/>
      <c r="U749" t="inlineStr"/>
      <c r="V749" t="inlineStr"/>
      <c r="W749" t="inlineStr"/>
      <c r="X749" t="inlineStr"/>
      <c r="Y749" t="inlineStr"/>
      <c r="Z749" t="inlineStr"/>
      <c r="AA749" t="inlineStr"/>
      <c r="AB749" t="inlineStr"/>
      <c r="AC749" t="inlineStr"/>
      <c r="AD749" t="inlineStr">
        <is>
          <t>DA</t>
        </is>
      </c>
      <c r="AE749" t="inlineStr"/>
      <c r="AF749" t="inlineStr"/>
      <c r="AG749" t="inlineStr"/>
      <c r="AH749" t="inlineStr"/>
      <c r="AI749" t="inlineStr"/>
      <c r="AJ749" t="inlineStr"/>
      <c r="AK749" t="inlineStr"/>
      <c r="AL749" t="inlineStr"/>
      <c r="AM749" t="inlineStr"/>
      <c r="AN749" t="inlineStr"/>
      <c r="AO749" t="inlineStr"/>
      <c r="AP749" t="inlineStr"/>
      <c r="AQ749" t="inlineStr"/>
      <c r="AR749" t="inlineStr"/>
      <c r="AS749" t="inlineStr"/>
      <c r="AT749" t="inlineStr"/>
      <c r="AU749" t="inlineStr"/>
      <c r="AV749" t="inlineStr"/>
      <c r="AW749" t="inlineStr"/>
      <c r="AX749" t="inlineStr"/>
      <c r="AY749" t="inlineStr"/>
      <c r="AZ749" t="inlineStr"/>
      <c r="BA749" t="inlineStr"/>
      <c r="BB749" t="inlineStr"/>
      <c r="BC749" t="inlineStr"/>
      <c r="BD749" t="inlineStr"/>
      <c r="BE749" t="inlineStr"/>
      <c r="BF749" t="inlineStr"/>
      <c r="BG749" t="inlineStr"/>
      <c r="BH749" t="inlineStr"/>
      <c r="BI749" t="inlineStr"/>
      <c r="BJ749" t="inlineStr"/>
      <c r="BK749" t="inlineStr"/>
      <c r="BL749" t="inlineStr"/>
      <c r="BM749" t="inlineStr"/>
      <c r="BN749" t="n">
        <v>0</v>
      </c>
      <c r="BO749" t="inlineStr"/>
      <c r="BP749" t="inlineStr"/>
      <c r="BQ749" t="inlineStr"/>
      <c r="BR749" t="inlineStr"/>
      <c r="BS749" t="inlineStr">
        <is>
          <t>x</t>
        </is>
      </c>
      <c r="BT749" t="inlineStr"/>
      <c r="BU749" t="inlineStr"/>
      <c r="BV749" t="inlineStr">
        <is>
          <t>nur Einband (Papierband) am Standort (Inhalt offenbar heraus gelöst)</t>
        </is>
      </c>
      <c r="BW749" t="inlineStr"/>
      <c r="BX749" t="inlineStr"/>
      <c r="BY749" t="inlineStr"/>
      <c r="BZ749" t="inlineStr"/>
      <c r="CA749" t="inlineStr"/>
      <c r="CB749" t="inlineStr"/>
      <c r="CC749" t="inlineStr"/>
      <c r="CD749" t="inlineStr"/>
      <c r="CE749" t="inlineStr"/>
      <c r="CF749" t="inlineStr"/>
      <c r="CG749" t="inlineStr"/>
      <c r="CH749" t="inlineStr"/>
      <c r="CI749" t="inlineStr"/>
      <c r="CJ749" t="inlineStr"/>
      <c r="CK749" t="inlineStr"/>
      <c r="CL749" t="inlineStr"/>
      <c r="CM749" t="inlineStr"/>
      <c r="CN749" t="inlineStr"/>
      <c r="CO749" t="inlineStr"/>
      <c r="CP749" t="inlineStr"/>
      <c r="CQ749" t="inlineStr"/>
      <c r="CR749" t="inlineStr"/>
      <c r="CS749" t="inlineStr"/>
      <c r="CT749" t="inlineStr"/>
      <c r="CU749" t="inlineStr"/>
      <c r="CV749" t="inlineStr"/>
      <c r="CW749" t="inlineStr"/>
      <c r="CX749" t="inlineStr"/>
      <c r="CY749" t="inlineStr"/>
      <c r="CZ749" t="inlineStr"/>
      <c r="DA749" t="inlineStr"/>
      <c r="DB749" t="inlineStr"/>
      <c r="DC749" t="inlineStr"/>
      <c r="DD749" t="inlineStr"/>
      <c r="DE749" t="inlineStr"/>
      <c r="DF749" t="inlineStr"/>
      <c r="DG749" t="inlineStr"/>
    </row>
    <row r="750">
      <c r="A750" t="inlineStr">
        <is>
          <t>III</t>
        </is>
      </c>
      <c r="B750" t="b">
        <v>1</v>
      </c>
      <c r="C750" t="inlineStr"/>
      <c r="D750" t="inlineStr"/>
      <c r="E750" t="n">
        <v>839</v>
      </c>
      <c r="F750">
        <f>HYPERLINK("https://portal.dnb.de/opac.htm?method=simpleSearch&amp;cqlMode=true&amp;query=idn%3D1000270947", "Portal")</f>
        <v/>
      </c>
      <c r="G750" t="inlineStr">
        <is>
          <t>Aal</t>
        </is>
      </c>
      <c r="H750" t="inlineStr">
        <is>
          <t>L-1522-170280322</t>
        </is>
      </c>
      <c r="I750" t="inlineStr">
        <is>
          <t>1000270947</t>
        </is>
      </c>
      <c r="J750" t="inlineStr">
        <is>
          <t>III 83, 3</t>
        </is>
      </c>
      <c r="K750" t="inlineStr">
        <is>
          <t>III 83, 3</t>
        </is>
      </c>
      <c r="L750" t="inlineStr">
        <is>
          <t>III 83, 3</t>
        </is>
      </c>
      <c r="M750" t="inlineStr"/>
      <c r="N750" t="inlineStr">
        <is>
          <t>THOMAE|| RAD.[ini] TODISCHI PLACENT|| : Or. Prae. artium &amp; Sacr. Theol. ma||gistri, atq? in almo urbis Romae|| gymnasio diuinas lite||ras ordinarie do</t>
        </is>
      </c>
      <c r="O750" t="inlineStr">
        <is>
          <t xml:space="preserve"> : </t>
        </is>
      </c>
      <c r="P750" t="inlineStr"/>
      <c r="Q750" t="inlineStr"/>
      <c r="R750" t="inlineStr"/>
      <c r="S750" t="inlineStr">
        <is>
          <t>bis 25 cm</t>
        </is>
      </c>
      <c r="T750" t="inlineStr"/>
      <c r="U750" t="inlineStr"/>
      <c r="V750" t="inlineStr"/>
      <c r="W750" t="inlineStr"/>
      <c r="X750" t="inlineStr"/>
      <c r="Y750" t="inlineStr"/>
      <c r="Z750" t="inlineStr"/>
      <c r="AA750" t="inlineStr"/>
      <c r="AB750" t="inlineStr"/>
      <c r="AC750" t="inlineStr"/>
      <c r="AD750" t="inlineStr"/>
      <c r="AE750" t="inlineStr"/>
      <c r="AF750" t="inlineStr"/>
      <c r="AG750" t="inlineStr"/>
      <c r="AH750" t="inlineStr"/>
      <c r="AI750" t="inlineStr">
        <is>
          <t>HPg</t>
        </is>
      </c>
      <c r="AJ750" t="inlineStr"/>
      <c r="AK750" t="inlineStr"/>
      <c r="AL750" t="inlineStr"/>
      <c r="AM750" t="inlineStr">
        <is>
          <t>h/E</t>
        </is>
      </c>
      <c r="AN750" t="inlineStr"/>
      <c r="AO750" t="inlineStr"/>
      <c r="AP750" t="inlineStr"/>
      <c r="AQ750" t="inlineStr"/>
      <c r="AR750" t="inlineStr"/>
      <c r="AS750" t="inlineStr">
        <is>
          <t>Pa</t>
        </is>
      </c>
      <c r="AT750" t="inlineStr"/>
      <c r="AU750" t="inlineStr"/>
      <c r="AV750" t="inlineStr"/>
      <c r="AW750" t="inlineStr"/>
      <c r="AX750" t="inlineStr"/>
      <c r="AY750" t="inlineStr"/>
      <c r="AZ750" t="inlineStr"/>
      <c r="BA750" t="inlineStr"/>
      <c r="BB750" t="inlineStr"/>
      <c r="BC750" t="inlineStr"/>
      <c r="BD750" t="inlineStr"/>
      <c r="BE750" t="inlineStr"/>
      <c r="BF750" t="inlineStr"/>
      <c r="BG750" t="n">
        <v>110</v>
      </c>
      <c r="BH750" t="inlineStr"/>
      <c r="BI750" t="inlineStr"/>
      <c r="BJ750" t="inlineStr"/>
      <c r="BK750" t="inlineStr"/>
      <c r="BL750" t="inlineStr"/>
      <c r="BM750" t="inlineStr">
        <is>
          <t>n</t>
        </is>
      </c>
      <c r="BN750" t="n">
        <v>0</v>
      </c>
      <c r="BO750" t="inlineStr"/>
      <c r="BP750" t="inlineStr"/>
      <c r="BQ750" t="inlineStr"/>
      <c r="BR750" t="inlineStr"/>
      <c r="BS750" t="inlineStr"/>
      <c r="BT750" t="inlineStr"/>
      <c r="BU750" t="inlineStr"/>
      <c r="BV750" t="inlineStr"/>
      <c r="BW750" t="inlineStr"/>
      <c r="BX750" t="inlineStr"/>
      <c r="BY750" t="inlineStr"/>
      <c r="BZ750" t="inlineStr"/>
      <c r="CA750" t="inlineStr"/>
      <c r="CB750" t="inlineStr"/>
      <c r="CC750" t="inlineStr"/>
      <c r="CD750" t="inlineStr"/>
      <c r="CE750" t="inlineStr"/>
      <c r="CF750" t="inlineStr"/>
      <c r="CG750" t="inlineStr"/>
      <c r="CH750" t="inlineStr"/>
      <c r="CI750" t="inlineStr"/>
      <c r="CJ750" t="inlineStr"/>
      <c r="CK750" t="inlineStr"/>
      <c r="CL750" t="inlineStr"/>
      <c r="CM750" t="inlineStr"/>
      <c r="CN750" t="inlineStr"/>
      <c r="CO750" t="inlineStr"/>
      <c r="CP750" t="inlineStr"/>
      <c r="CQ750" t="inlineStr"/>
      <c r="CR750" t="inlineStr"/>
      <c r="CS750" t="inlineStr"/>
      <c r="CT750" t="inlineStr"/>
      <c r="CU750" t="inlineStr"/>
      <c r="CV750" t="inlineStr"/>
      <c r="CW750" t="inlineStr"/>
      <c r="CX750" t="inlineStr"/>
      <c r="CY750" t="inlineStr"/>
      <c r="CZ750" t="inlineStr"/>
      <c r="DA750" t="inlineStr"/>
      <c r="DB750" t="inlineStr"/>
      <c r="DC750" t="inlineStr"/>
      <c r="DD750" t="inlineStr"/>
      <c r="DE750" t="inlineStr"/>
      <c r="DF750" t="inlineStr"/>
      <c r="DG750" t="inlineStr"/>
    </row>
    <row r="751">
      <c r="A751" t="inlineStr">
        <is>
          <t>III</t>
        </is>
      </c>
      <c r="B751" t="b">
        <v>1</v>
      </c>
      <c r="C751" t="inlineStr"/>
      <c r="D751" t="inlineStr"/>
      <c r="E751" t="inlineStr"/>
      <c r="F751">
        <f>HYPERLINK("https://portal.dnb.de/opac.htm?method=simpleSearch&amp;cqlMode=true&amp;query=idn%3D1255208783", "Portal")</f>
        <v/>
      </c>
      <c r="G751" t="inlineStr">
        <is>
          <t>Qd</t>
        </is>
      </c>
      <c r="H751" t="inlineStr">
        <is>
          <t>L-1533-769693059</t>
        </is>
      </c>
      <c r="I751" t="inlineStr">
        <is>
          <t>1255208783</t>
        </is>
      </c>
      <c r="J751" t="inlineStr">
        <is>
          <t>III 83, 4</t>
        </is>
      </c>
      <c r="K751" t="inlineStr">
        <is>
          <t>III 83, 4</t>
        </is>
      </c>
      <c r="L751" t="inlineStr">
        <is>
          <t>III 83, 4</t>
        </is>
      </c>
      <c r="M751" t="inlineStr"/>
      <c r="N751" t="inlineStr">
        <is>
          <t xml:space="preserve">Sammelband mit zwei Erstdrucken in griechischer Schrift : </t>
        </is>
      </c>
      <c r="O751" t="inlineStr">
        <is>
          <t xml:space="preserve"> : </t>
        </is>
      </c>
      <c r="P751" t="inlineStr"/>
      <c r="Q751" t="inlineStr"/>
      <c r="R751" t="inlineStr"/>
      <c r="S751" t="inlineStr">
        <is>
          <t>bis 25 cm</t>
        </is>
      </c>
      <c r="T751" t="inlineStr"/>
      <c r="U751" t="inlineStr"/>
      <c r="V751" t="inlineStr"/>
      <c r="W751" t="inlineStr"/>
      <c r="X751" t="inlineStr"/>
      <c r="Y751" t="inlineStr"/>
      <c r="Z751" t="inlineStr"/>
      <c r="AA751" t="inlineStr"/>
      <c r="AB751" t="inlineStr"/>
      <c r="AC751" t="inlineStr"/>
      <c r="AD751" t="inlineStr"/>
      <c r="AE751" t="inlineStr"/>
      <c r="AF751" t="inlineStr"/>
      <c r="AG751" t="inlineStr"/>
      <c r="AH751" t="inlineStr"/>
      <c r="AI751" t="inlineStr">
        <is>
          <t>L</t>
        </is>
      </c>
      <c r="AJ751" t="inlineStr"/>
      <c r="AK751" t="inlineStr"/>
      <c r="AL751" t="inlineStr"/>
      <c r="AM751" t="inlineStr">
        <is>
          <t>f</t>
        </is>
      </c>
      <c r="AN751" t="inlineStr"/>
      <c r="AO751" t="inlineStr"/>
      <c r="AP751" t="inlineStr"/>
      <c r="AQ751" t="inlineStr"/>
      <c r="AR751" t="inlineStr"/>
      <c r="AS751" t="inlineStr">
        <is>
          <t>Pa</t>
        </is>
      </c>
      <c r="AT751" t="inlineStr"/>
      <c r="AU751" t="inlineStr"/>
      <c r="AV751" t="inlineStr"/>
      <c r="AW751" t="inlineStr"/>
      <c r="AX751" t="inlineStr"/>
      <c r="AY751" t="inlineStr"/>
      <c r="AZ751" t="inlineStr"/>
      <c r="BA751" t="inlineStr"/>
      <c r="BB751" t="inlineStr"/>
      <c r="BC751" t="inlineStr"/>
      <c r="BD751" t="inlineStr"/>
      <c r="BE751" t="inlineStr"/>
      <c r="BF751" t="inlineStr"/>
      <c r="BG751" t="inlineStr">
        <is>
          <t>max 110</t>
        </is>
      </c>
      <c r="BH751" t="inlineStr"/>
      <c r="BI751" t="inlineStr"/>
      <c r="BJ751" t="inlineStr"/>
      <c r="BK751" t="inlineStr"/>
      <c r="BL751" t="inlineStr"/>
      <c r="BM751" t="inlineStr">
        <is>
          <t>n</t>
        </is>
      </c>
      <c r="BN751" t="n">
        <v>0</v>
      </c>
      <c r="BO751" t="inlineStr"/>
      <c r="BP751" t="inlineStr">
        <is>
          <t>Gewebe</t>
        </is>
      </c>
      <c r="BQ751" t="inlineStr"/>
      <c r="BR751" t="inlineStr"/>
      <c r="BS751" t="inlineStr"/>
      <c r="BT751" t="inlineStr"/>
      <c r="BU751" t="inlineStr"/>
      <c r="BV751" t="inlineStr"/>
      <c r="BW751" t="inlineStr"/>
      <c r="BX751" t="inlineStr"/>
      <c r="BY751" t="inlineStr"/>
      <c r="BZ751" t="inlineStr"/>
      <c r="CA751" t="inlineStr"/>
      <c r="CB751" t="inlineStr"/>
      <c r="CC751" t="inlineStr"/>
      <c r="CD751" t="inlineStr"/>
      <c r="CE751" t="inlineStr"/>
      <c r="CF751" t="inlineStr"/>
      <c r="CG751" t="inlineStr"/>
      <c r="CH751" t="inlineStr"/>
      <c r="CI751" t="inlineStr"/>
      <c r="CJ751" t="inlineStr"/>
      <c r="CK751" t="inlineStr"/>
      <c r="CL751" t="inlineStr"/>
      <c r="CM751" t="inlineStr"/>
      <c r="CN751" t="inlineStr"/>
      <c r="CO751" t="inlineStr"/>
      <c r="CP751" t="inlineStr"/>
      <c r="CQ751" t="inlineStr"/>
      <c r="CR751" t="inlineStr"/>
      <c r="CS751" t="inlineStr"/>
      <c r="CT751" t="inlineStr"/>
      <c r="CU751" t="inlineStr"/>
      <c r="CV751" t="inlineStr"/>
      <c r="CW751" t="inlineStr"/>
      <c r="CX751" t="inlineStr"/>
      <c r="CY751" t="inlineStr"/>
      <c r="CZ751" t="inlineStr"/>
      <c r="DA751" t="inlineStr"/>
      <c r="DB751" t="inlineStr"/>
      <c r="DC751" t="inlineStr"/>
      <c r="DD751" t="inlineStr"/>
      <c r="DE751" t="inlineStr"/>
      <c r="DF751" t="inlineStr"/>
      <c r="DG751" t="inlineStr"/>
    </row>
    <row r="752">
      <c r="A752" t="inlineStr">
        <is>
          <t>III</t>
        </is>
      </c>
      <c r="B752" t="b">
        <v>1</v>
      </c>
      <c r="C752" t="inlineStr"/>
      <c r="D752" t="inlineStr"/>
      <c r="E752" t="n">
        <v>842</v>
      </c>
      <c r="F752">
        <f>HYPERLINK("https://portal.dnb.de/opac.htm?method=simpleSearch&amp;cqlMode=true&amp;query=idn%3D1066960453", "Portal")</f>
        <v/>
      </c>
      <c r="G752" t="inlineStr">
        <is>
          <t>Aaf</t>
        </is>
      </c>
      <c r="H752" t="inlineStr">
        <is>
          <t>L-1529-315490942</t>
        </is>
      </c>
      <c r="I752" t="inlineStr">
        <is>
          <t>1066960453</t>
        </is>
      </c>
      <c r="J752" t="inlineStr">
        <is>
          <t>III 84, 1</t>
        </is>
      </c>
      <c r="K752" t="inlineStr">
        <is>
          <t>III 84, 1</t>
        </is>
      </c>
      <c r="L752" t="inlineStr">
        <is>
          <t>III 84, 1</t>
        </is>
      </c>
      <c r="M752" t="inlineStr"/>
      <c r="N752" t="inlineStr">
        <is>
          <t>Wat byllick|| vñ recht ys/ eyne kor=||te erklaring/ allen stenden|| denstlick.|| Dorch Joannem Oldendorp/|| Keyserliker rechte Doctorem/|| Syndicum th</t>
        </is>
      </c>
      <c r="O752" t="inlineStr">
        <is>
          <t xml:space="preserve"> : </t>
        </is>
      </c>
      <c r="P752" t="inlineStr"/>
      <c r="Q752" t="inlineStr"/>
      <c r="R752" t="inlineStr"/>
      <c r="S752" t="inlineStr">
        <is>
          <t>bis 25 cm</t>
        </is>
      </c>
      <c r="T752" t="inlineStr"/>
      <c r="U752" t="inlineStr"/>
      <c r="V752" t="inlineStr"/>
      <c r="W752" t="inlineStr"/>
      <c r="X752" t="inlineStr"/>
      <c r="Y752" t="inlineStr"/>
      <c r="Z752" t="inlineStr"/>
      <c r="AA752" t="inlineStr"/>
      <c r="AB752" t="inlineStr"/>
      <c r="AC752" t="inlineStr"/>
      <c r="AD752" t="inlineStr"/>
      <c r="AE752" t="inlineStr"/>
      <c r="AF752" t="inlineStr"/>
      <c r="AG752" t="inlineStr"/>
      <c r="AH752" t="inlineStr">
        <is>
          <t>x</t>
        </is>
      </c>
      <c r="AI752" t="inlineStr">
        <is>
          <t>HL</t>
        </is>
      </c>
      <c r="AJ752" t="inlineStr"/>
      <c r="AK752" t="inlineStr">
        <is>
          <t>x</t>
        </is>
      </c>
      <c r="AL752" t="inlineStr"/>
      <c r="AM752" t="inlineStr">
        <is>
          <t>h/E</t>
        </is>
      </c>
      <c r="AN752" t="inlineStr"/>
      <c r="AO752" t="inlineStr"/>
      <c r="AP752" t="inlineStr"/>
      <c r="AQ752" t="inlineStr"/>
      <c r="AR752" t="inlineStr"/>
      <c r="AS752" t="inlineStr">
        <is>
          <t>Pa</t>
        </is>
      </c>
      <c r="AT752" t="inlineStr">
        <is>
          <t>x</t>
        </is>
      </c>
      <c r="AU752" t="inlineStr"/>
      <c r="AV752" t="inlineStr"/>
      <c r="AW752" t="inlineStr"/>
      <c r="AX752" t="inlineStr"/>
      <c r="AY752" t="inlineStr"/>
      <c r="AZ752" t="inlineStr"/>
      <c r="BA752" t="inlineStr"/>
      <c r="BB752" t="inlineStr"/>
      <c r="BC752" t="inlineStr"/>
      <c r="BD752" t="inlineStr"/>
      <c r="BE752" t="inlineStr"/>
      <c r="BF752" t="inlineStr"/>
      <c r="BG752" t="n">
        <v>110</v>
      </c>
      <c r="BH752" t="inlineStr"/>
      <c r="BI752" t="inlineStr"/>
      <c r="BJ752" t="inlineStr"/>
      <c r="BK752" t="inlineStr"/>
      <c r="BL752" t="inlineStr"/>
      <c r="BM752" t="inlineStr">
        <is>
          <t>n</t>
        </is>
      </c>
      <c r="BN752" t="n">
        <v>0</v>
      </c>
      <c r="BO752" t="inlineStr"/>
      <c r="BP752" t="inlineStr"/>
      <c r="BQ752" t="inlineStr"/>
      <c r="BR752" t="inlineStr">
        <is>
          <t>x</t>
        </is>
      </c>
      <c r="BS752" t="inlineStr"/>
      <c r="BT752" t="inlineStr"/>
      <c r="BU752" t="inlineStr"/>
      <c r="BV752" t="inlineStr"/>
      <c r="BW752" t="inlineStr"/>
      <c r="BX752" t="inlineStr"/>
      <c r="BY752" t="inlineStr"/>
      <c r="BZ752" t="inlineStr"/>
      <c r="CA752" t="inlineStr"/>
      <c r="CB752" t="inlineStr"/>
      <c r="CC752" t="inlineStr"/>
      <c r="CD752" t="inlineStr"/>
      <c r="CE752" t="inlineStr"/>
      <c r="CF752" t="inlineStr"/>
      <c r="CG752" t="inlineStr"/>
      <c r="CH752" t="inlineStr"/>
      <c r="CI752" t="inlineStr"/>
      <c r="CJ752" t="inlineStr"/>
      <c r="CK752" t="inlineStr"/>
      <c r="CL752" t="inlineStr"/>
      <c r="CM752" t="inlineStr"/>
      <c r="CN752" t="inlineStr"/>
      <c r="CO752" t="inlineStr"/>
      <c r="CP752" t="inlineStr"/>
      <c r="CQ752" t="inlineStr"/>
      <c r="CR752" t="inlineStr"/>
      <c r="CS752" t="inlineStr"/>
      <c r="CT752" t="inlineStr"/>
      <c r="CU752" t="inlineStr"/>
      <c r="CV752" t="inlineStr"/>
      <c r="CW752" t="inlineStr"/>
      <c r="CX752" t="inlineStr"/>
      <c r="CY752" t="inlineStr"/>
      <c r="CZ752" t="inlineStr"/>
      <c r="DA752" t="inlineStr"/>
      <c r="DB752" t="inlineStr"/>
      <c r="DC752" t="inlineStr"/>
      <c r="DD752" t="inlineStr"/>
      <c r="DE752" t="inlineStr"/>
      <c r="DF752" t="inlineStr"/>
      <c r="DG752" t="inlineStr"/>
    </row>
    <row r="753">
      <c r="A753" t="inlineStr">
        <is>
          <t>III</t>
        </is>
      </c>
      <c r="B753" t="b">
        <v>1</v>
      </c>
      <c r="C753" t="inlineStr"/>
      <c r="D753" t="inlineStr"/>
      <c r="E753" t="n">
        <v>843</v>
      </c>
      <c r="F753">
        <f>HYPERLINK("https://portal.dnb.de/opac.htm?method=simpleSearch&amp;cqlMode=true&amp;query=idn%3D1066959978", "Portal")</f>
        <v/>
      </c>
      <c r="G753" t="inlineStr">
        <is>
          <t>Aaf</t>
        </is>
      </c>
      <c r="H753" t="inlineStr">
        <is>
          <t>L-1557-315490489</t>
        </is>
      </c>
      <c r="I753" t="inlineStr">
        <is>
          <t>1066959978</t>
        </is>
      </c>
      <c r="J753" t="inlineStr">
        <is>
          <t>III 84, 2</t>
        </is>
      </c>
      <c r="K753" t="inlineStr">
        <is>
          <t>III 84, 2</t>
        </is>
      </c>
      <c r="L753" t="inlineStr">
        <is>
          <t>III 84, 2</t>
        </is>
      </c>
      <c r="M753" t="inlineStr"/>
      <c r="N753" t="inlineStr">
        <is>
          <t xml:space="preserve">Kerckenordeninge:|| Wo ydt mit Christlyker Lere// vorre=||kinge der Sacramente// Ordination der Dene=||re des Euangelij// ordentlyken Ceremoni=||en// </t>
        </is>
      </c>
      <c r="O753" t="inlineStr">
        <is>
          <t xml:space="preserve"> : </t>
        </is>
      </c>
      <c r="P753" t="inlineStr"/>
      <c r="Q753" t="inlineStr"/>
      <c r="R753" t="inlineStr"/>
      <c r="S753" t="inlineStr">
        <is>
          <t>bis 25 cm</t>
        </is>
      </c>
      <c r="T753" t="inlineStr"/>
      <c r="U753" t="inlineStr"/>
      <c r="V753" t="inlineStr"/>
      <c r="W753" t="inlineStr"/>
      <c r="X753" t="inlineStr"/>
      <c r="Y753" t="inlineStr"/>
      <c r="Z753" t="inlineStr"/>
      <c r="AA753" t="inlineStr"/>
      <c r="AB753" t="inlineStr"/>
      <c r="AC753" t="inlineStr"/>
      <c r="AD753" t="inlineStr"/>
      <c r="AE753" t="inlineStr"/>
      <c r="AF753" t="inlineStr"/>
      <c r="AG753" t="inlineStr"/>
      <c r="AH753" t="inlineStr"/>
      <c r="AI753" t="inlineStr">
        <is>
          <t>HPg</t>
        </is>
      </c>
      <c r="AJ753" t="inlineStr"/>
      <c r="AK753" t="inlineStr"/>
      <c r="AL753" t="inlineStr"/>
      <c r="AM753" t="inlineStr">
        <is>
          <t>h/E</t>
        </is>
      </c>
      <c r="AN753" t="inlineStr"/>
      <c r="AO753" t="inlineStr"/>
      <c r="AP753" t="inlineStr"/>
      <c r="AQ753" t="inlineStr"/>
      <c r="AR753" t="inlineStr"/>
      <c r="AS753" t="inlineStr">
        <is>
          <t>Pa</t>
        </is>
      </c>
      <c r="AT753" t="inlineStr"/>
      <c r="AU753" t="inlineStr"/>
      <c r="AV753" t="inlineStr"/>
      <c r="AW753" t="inlineStr"/>
      <c r="AX753" t="inlineStr"/>
      <c r="AY753" t="inlineStr"/>
      <c r="AZ753" t="inlineStr"/>
      <c r="BA753" t="inlineStr"/>
      <c r="BB753" t="inlineStr"/>
      <c r="BC753" t="inlineStr"/>
      <c r="BD753" t="inlineStr"/>
      <c r="BE753" t="inlineStr"/>
      <c r="BF753" t="inlineStr"/>
      <c r="BG753" t="n">
        <v>110</v>
      </c>
      <c r="BH753" t="inlineStr"/>
      <c r="BI753" t="inlineStr"/>
      <c r="BJ753" t="inlineStr"/>
      <c r="BK753" t="inlineStr"/>
      <c r="BL753" t="inlineStr"/>
      <c r="BM753" t="inlineStr">
        <is>
          <t>n</t>
        </is>
      </c>
      <c r="BN753" t="n">
        <v>0</v>
      </c>
      <c r="BO753" t="inlineStr"/>
      <c r="BP753" t="inlineStr"/>
      <c r="BQ753" t="inlineStr"/>
      <c r="BR753" t="inlineStr"/>
      <c r="BS753" t="inlineStr"/>
      <c r="BT753" t="inlineStr"/>
      <c r="BU753" t="inlineStr"/>
      <c r="BV753" t="inlineStr"/>
      <c r="BW753" t="inlineStr"/>
      <c r="BX753" t="inlineStr"/>
      <c r="BY753" t="inlineStr"/>
      <c r="BZ753" t="inlineStr"/>
      <c r="CA753" t="inlineStr"/>
      <c r="CB753" t="inlineStr"/>
      <c r="CC753" t="inlineStr"/>
      <c r="CD753" t="inlineStr"/>
      <c r="CE753" t="inlineStr"/>
      <c r="CF753" t="inlineStr"/>
      <c r="CG753" t="inlineStr"/>
      <c r="CH753" t="inlineStr"/>
      <c r="CI753" t="inlineStr"/>
      <c r="CJ753" t="inlineStr"/>
      <c r="CK753" t="inlineStr"/>
      <c r="CL753" t="inlineStr"/>
      <c r="CM753" t="inlineStr"/>
      <c r="CN753" t="inlineStr"/>
      <c r="CO753" t="inlineStr"/>
      <c r="CP753" t="inlineStr"/>
      <c r="CQ753" t="inlineStr"/>
      <c r="CR753" t="inlineStr"/>
      <c r="CS753" t="inlineStr"/>
      <c r="CT753" t="inlineStr"/>
      <c r="CU753" t="inlineStr"/>
      <c r="CV753" t="inlineStr"/>
      <c r="CW753" t="inlineStr"/>
      <c r="CX753" t="inlineStr"/>
      <c r="CY753" t="inlineStr"/>
      <c r="CZ753" t="inlineStr"/>
      <c r="DA753" t="inlineStr"/>
      <c r="DB753" t="inlineStr"/>
      <c r="DC753" t="inlineStr"/>
      <c r="DD753" t="inlineStr"/>
      <c r="DE753" t="inlineStr"/>
      <c r="DF753" t="inlineStr"/>
      <c r="DG753" t="inlineStr"/>
    </row>
    <row r="754">
      <c r="A754" t="inlineStr">
        <is>
          <t>III</t>
        </is>
      </c>
      <c r="B754" t="b">
        <v>1</v>
      </c>
      <c r="C754" t="inlineStr"/>
      <c r="D754" t="inlineStr"/>
      <c r="E754" t="n">
        <v>844</v>
      </c>
      <c r="F754">
        <f>HYPERLINK("https://portal.dnb.de/opac.htm?method=simpleSearch&amp;cqlMode=true&amp;query=idn%3D106677935X", "Portal")</f>
        <v/>
      </c>
      <c r="G754" t="inlineStr">
        <is>
          <t>Aaf</t>
        </is>
      </c>
      <c r="H754" t="inlineStr">
        <is>
          <t>L-1544-315201215</t>
        </is>
      </c>
      <c r="I754" t="inlineStr">
        <is>
          <t>106677935X</t>
        </is>
      </c>
      <c r="J754" t="inlineStr">
        <is>
          <t>III 85, 1</t>
        </is>
      </c>
      <c r="K754" t="inlineStr">
        <is>
          <t>III 85, 1</t>
        </is>
      </c>
      <c r="L754" t="inlineStr">
        <is>
          <t>III 85, 1</t>
        </is>
      </c>
      <c r="M754" t="inlineStr"/>
      <c r="N754" t="inlineStr">
        <is>
          <t xml:space="preserve">Pavli Grisignani de Salerno Ar. et Me. Doctoris Clarissimi In Aphorismis Hippocratis expositio foeliciter incipit : </t>
        </is>
      </c>
      <c r="O754" t="inlineStr">
        <is>
          <t xml:space="preserve"> : </t>
        </is>
      </c>
      <c r="P754" t="inlineStr"/>
      <c r="Q754" t="inlineStr"/>
      <c r="R754" t="inlineStr"/>
      <c r="S754" t="inlineStr">
        <is>
          <t>bis 35 cm</t>
        </is>
      </c>
      <c r="T754" t="inlineStr"/>
      <c r="U754" t="inlineStr"/>
      <c r="V754" t="inlineStr"/>
      <c r="W754" t="inlineStr"/>
      <c r="X754" t="inlineStr"/>
      <c r="Y754" t="inlineStr"/>
      <c r="Z754" t="inlineStr"/>
      <c r="AA754" t="inlineStr"/>
      <c r="AB754" t="inlineStr"/>
      <c r="AC754" t="inlineStr"/>
      <c r="AD754" t="inlineStr"/>
      <c r="AE754" t="inlineStr"/>
      <c r="AF754" t="inlineStr"/>
      <c r="AG754" t="inlineStr"/>
      <c r="AH754" t="inlineStr"/>
      <c r="AI754" t="inlineStr">
        <is>
          <t>Pg</t>
        </is>
      </c>
      <c r="AJ754" t="inlineStr"/>
      <c r="AK754" t="inlineStr"/>
      <c r="AL754" t="inlineStr"/>
      <c r="AM754" t="inlineStr">
        <is>
          <t>h</t>
        </is>
      </c>
      <c r="AN754" t="inlineStr"/>
      <c r="AO754" t="inlineStr"/>
      <c r="AP754" t="inlineStr">
        <is>
          <t>x</t>
        </is>
      </c>
      <c r="AQ754" t="inlineStr"/>
      <c r="AR754" t="inlineStr"/>
      <c r="AS754" t="inlineStr">
        <is>
          <t>Pa</t>
        </is>
      </c>
      <c r="AT754" t="inlineStr"/>
      <c r="AU754" t="inlineStr"/>
      <c r="AV754" t="inlineStr"/>
      <c r="AW754" t="inlineStr"/>
      <c r="AX754" t="inlineStr"/>
      <c r="AY754" t="inlineStr"/>
      <c r="AZ754" t="inlineStr"/>
      <c r="BA754" t="inlineStr"/>
      <c r="BB754" t="inlineStr"/>
      <c r="BC754" t="inlineStr"/>
      <c r="BD754" t="inlineStr"/>
      <c r="BE754" t="inlineStr"/>
      <c r="BF754" t="inlineStr"/>
      <c r="BG754" t="n">
        <v>110</v>
      </c>
      <c r="BH754" t="inlineStr"/>
      <c r="BI754" t="inlineStr"/>
      <c r="BJ754" t="inlineStr"/>
      <c r="BK754" t="inlineStr"/>
      <c r="BL754" t="inlineStr"/>
      <c r="BM754" t="inlineStr">
        <is>
          <t>n</t>
        </is>
      </c>
      <c r="BN754" t="n">
        <v>0</v>
      </c>
      <c r="BO754" t="inlineStr"/>
      <c r="BP754" t="inlineStr"/>
      <c r="BQ754" t="inlineStr"/>
      <c r="BR754" t="inlineStr"/>
      <c r="BS754" t="inlineStr"/>
      <c r="BT754" t="inlineStr"/>
      <c r="BU754" t="inlineStr"/>
      <c r="BV754" t="inlineStr">
        <is>
          <t>Deckel stark nach innen gerundet</t>
        </is>
      </c>
      <c r="BW754" t="inlineStr"/>
      <c r="BX754" t="inlineStr"/>
      <c r="BY754" t="inlineStr">
        <is>
          <t>Box (wegen Deckeln)</t>
        </is>
      </c>
      <c r="BZ754" t="inlineStr"/>
      <c r="CA754" t="inlineStr"/>
      <c r="CB754" t="inlineStr"/>
      <c r="CC754" t="inlineStr"/>
      <c r="CD754" t="inlineStr"/>
      <c r="CE754" t="inlineStr"/>
      <c r="CF754" t="inlineStr"/>
      <c r="CG754" t="inlineStr"/>
      <c r="CH754" t="inlineStr"/>
      <c r="CI754" t="inlineStr"/>
      <c r="CJ754" t="inlineStr"/>
      <c r="CK754" t="inlineStr"/>
      <c r="CL754" t="inlineStr"/>
      <c r="CM754" t="inlineStr"/>
      <c r="CN754" t="inlineStr"/>
      <c r="CO754" t="inlineStr"/>
      <c r="CP754" t="inlineStr"/>
      <c r="CQ754" t="inlineStr"/>
      <c r="CR754" t="inlineStr"/>
      <c r="CS754" t="inlineStr"/>
      <c r="CT754" t="inlineStr"/>
      <c r="CU754" t="inlineStr"/>
      <c r="CV754" t="inlineStr"/>
      <c r="CW754" t="inlineStr"/>
      <c r="CX754" t="inlineStr"/>
      <c r="CY754" t="inlineStr"/>
      <c r="CZ754" t="inlineStr"/>
      <c r="DA754" t="inlineStr"/>
      <c r="DB754" t="inlineStr"/>
      <c r="DC754" t="inlineStr"/>
      <c r="DD754" t="inlineStr"/>
      <c r="DE754" t="inlineStr"/>
      <c r="DF754" t="inlineStr"/>
      <c r="DG754" t="inlineStr"/>
    </row>
    <row r="755">
      <c r="A755" t="inlineStr">
        <is>
          <t>III</t>
        </is>
      </c>
      <c r="B755" t="b">
        <v>1</v>
      </c>
      <c r="C755" t="inlineStr"/>
      <c r="D755" t="inlineStr"/>
      <c r="E755" t="inlineStr"/>
      <c r="F755">
        <f>HYPERLINK("https://portal.dnb.de/opac.htm?method=simpleSearch&amp;cqlMode=true&amp;query=idn%3D1138240702", "Portal")</f>
        <v/>
      </c>
      <c r="G755" t="inlineStr">
        <is>
          <t>Qd</t>
        </is>
      </c>
      <c r="H755" t="inlineStr">
        <is>
          <t>L-9999-414746198</t>
        </is>
      </c>
      <c r="I755" t="inlineStr">
        <is>
          <t>1138240702</t>
        </is>
      </c>
      <c r="J755" t="inlineStr">
        <is>
          <t>III 86, 1</t>
        </is>
      </c>
      <c r="K755" t="inlineStr">
        <is>
          <t>III 86, 1</t>
        </is>
      </c>
      <c r="L755" t="inlineStr">
        <is>
          <t>III 86, 1</t>
        </is>
      </c>
      <c r="M755" t="inlineStr"/>
      <c r="N755" t="inlineStr">
        <is>
          <t xml:space="preserve">Sammelband mit "Füllmaterial" : </t>
        </is>
      </c>
      <c r="O755" t="inlineStr">
        <is>
          <t xml:space="preserve"> : </t>
        </is>
      </c>
      <c r="P755" t="inlineStr"/>
      <c r="Q755" t="inlineStr"/>
      <c r="R755" t="inlineStr"/>
      <c r="S755" t="inlineStr">
        <is>
          <t>bis 25 cm</t>
        </is>
      </c>
      <c r="T755" t="inlineStr"/>
      <c r="U755" t="inlineStr"/>
      <c r="V755" t="inlineStr"/>
      <c r="W755" t="inlineStr"/>
      <c r="X755" t="inlineStr"/>
      <c r="Y755" t="inlineStr"/>
      <c r="Z755" t="inlineStr"/>
      <c r="AA755" t="inlineStr"/>
      <c r="AB755" t="inlineStr"/>
      <c r="AC755" t="inlineStr"/>
      <c r="AD755" t="inlineStr"/>
      <c r="AE755" t="inlineStr"/>
      <c r="AF755" t="inlineStr"/>
      <c r="AG755" t="inlineStr"/>
      <c r="AH755" t="inlineStr"/>
      <c r="AI755" t="inlineStr">
        <is>
          <t>HL</t>
        </is>
      </c>
      <c r="AJ755" t="inlineStr"/>
      <c r="AK755" t="inlineStr">
        <is>
          <t>x</t>
        </is>
      </c>
      <c r="AL755" t="inlineStr"/>
      <c r="AM755" t="inlineStr">
        <is>
          <t>h/E</t>
        </is>
      </c>
      <c r="AN755" t="inlineStr"/>
      <c r="AO755" t="inlineStr"/>
      <c r="AP755" t="inlineStr"/>
      <c r="AQ755" t="inlineStr"/>
      <c r="AR755" t="inlineStr"/>
      <c r="AS755" t="inlineStr">
        <is>
          <t>Pa</t>
        </is>
      </c>
      <c r="AT755" t="inlineStr"/>
      <c r="AU755" t="inlineStr"/>
      <c r="AV755" t="inlineStr"/>
      <c r="AW755" t="inlineStr"/>
      <c r="AX755" t="inlineStr"/>
      <c r="AY755" t="inlineStr"/>
      <c r="AZ755" t="inlineStr"/>
      <c r="BA755" t="inlineStr"/>
      <c r="BB755" t="inlineStr"/>
      <c r="BC755" t="inlineStr"/>
      <c r="BD755" t="inlineStr"/>
      <c r="BE755" t="inlineStr"/>
      <c r="BF755" t="inlineStr"/>
      <c r="BG755" t="n">
        <v>110</v>
      </c>
      <c r="BH755" t="inlineStr"/>
      <c r="BI755" t="inlineStr"/>
      <c r="BJ755" t="inlineStr"/>
      <c r="BK755" t="inlineStr"/>
      <c r="BL755" t="inlineStr"/>
      <c r="BM755" t="inlineStr">
        <is>
          <t>n</t>
        </is>
      </c>
      <c r="BN755" t="n">
        <v>0</v>
      </c>
      <c r="BO755" t="inlineStr"/>
      <c r="BP755" t="inlineStr"/>
      <c r="BQ755" t="inlineStr"/>
      <c r="BR755" t="inlineStr">
        <is>
          <t>x</t>
        </is>
      </c>
      <c r="BS755" t="inlineStr"/>
      <c r="BT755" t="inlineStr"/>
      <c r="BU755" t="inlineStr"/>
      <c r="BV755" t="inlineStr"/>
      <c r="BW755" t="inlineStr"/>
      <c r="BX755" t="inlineStr"/>
      <c r="BY755" t="inlineStr"/>
      <c r="BZ755" t="inlineStr"/>
      <c r="CA755" t="inlineStr"/>
      <c r="CB755" t="inlineStr"/>
      <c r="CC755" t="inlineStr"/>
      <c r="CD755" t="inlineStr"/>
      <c r="CE755" t="inlineStr"/>
      <c r="CF755" t="inlineStr"/>
      <c r="CG755" t="inlineStr"/>
      <c r="CH755" t="inlineStr"/>
      <c r="CI755" t="inlineStr"/>
      <c r="CJ755" t="inlineStr"/>
      <c r="CK755" t="inlineStr"/>
      <c r="CL755" t="inlineStr"/>
      <c r="CM755" t="inlineStr"/>
      <c r="CN755" t="inlineStr"/>
      <c r="CO755" t="inlineStr"/>
      <c r="CP755" t="inlineStr"/>
      <c r="CQ755" t="inlineStr"/>
      <c r="CR755" t="inlineStr"/>
      <c r="CS755" t="inlineStr"/>
      <c r="CT755" t="inlineStr"/>
      <c r="CU755" t="inlineStr"/>
      <c r="CV755" t="inlineStr"/>
      <c r="CW755" t="inlineStr"/>
      <c r="CX755" t="inlineStr"/>
      <c r="CY755" t="inlineStr"/>
      <c r="CZ755" t="inlineStr"/>
      <c r="DA755" t="inlineStr"/>
      <c r="DB755" t="inlineStr"/>
      <c r="DC755" t="inlineStr"/>
      <c r="DD755" t="inlineStr"/>
      <c r="DE755" t="inlineStr"/>
      <c r="DF755" t="inlineStr"/>
      <c r="DG755" t="inlineStr"/>
    </row>
    <row r="756">
      <c r="A756" t="inlineStr">
        <is>
          <t>III</t>
        </is>
      </c>
      <c r="B756" t="b">
        <v>1</v>
      </c>
      <c r="C756" t="inlineStr">
        <is>
          <t>x</t>
        </is>
      </c>
      <c r="D756" t="inlineStr"/>
      <c r="E756" t="n">
        <v>849</v>
      </c>
      <c r="F756">
        <f>HYPERLINK("https://portal.dnb.de/opac.htm?method=simpleSearch&amp;cqlMode=true&amp;query=idn%3D1066937672", "Portal")</f>
        <v/>
      </c>
      <c r="G756" t="inlineStr">
        <is>
          <t>Aaf</t>
        </is>
      </c>
      <c r="H756" t="inlineStr">
        <is>
          <t>L-1555-315465506</t>
        </is>
      </c>
      <c r="I756" t="inlineStr">
        <is>
          <t>1066937672</t>
        </is>
      </c>
      <c r="J756" t="inlineStr">
        <is>
          <t>III 87, 1</t>
        </is>
      </c>
      <c r="K756" t="inlineStr">
        <is>
          <t>III 87, 1</t>
        </is>
      </c>
      <c r="L756" t="inlineStr">
        <is>
          <t>III 87, 1</t>
        </is>
      </c>
      <c r="M756" t="inlineStr"/>
      <c r="N756" t="inlineStr">
        <is>
          <t>Arte breve y provechosa de cuenta castellana y arithmetica, donde se nuestra las cinco reglas de guarismo por la cuenta castellana y reglas de memoria</t>
        </is>
      </c>
      <c r="O756" t="inlineStr">
        <is>
          <t xml:space="preserve"> : </t>
        </is>
      </c>
      <c r="P756" t="inlineStr"/>
      <c r="Q756" t="inlineStr"/>
      <c r="R756" t="inlineStr"/>
      <c r="S756" t="inlineStr">
        <is>
          <t>bis 25 cm</t>
        </is>
      </c>
      <c r="T756" t="inlineStr"/>
      <c r="U756" t="inlineStr"/>
      <c r="V756" t="inlineStr"/>
      <c r="W756" t="inlineStr"/>
      <c r="X756" t="inlineStr"/>
      <c r="Y756" t="inlineStr"/>
      <c r="Z756" t="inlineStr"/>
      <c r="AA756" t="inlineStr"/>
      <c r="AB756" t="inlineStr"/>
      <c r="AC756" t="inlineStr"/>
      <c r="AD756" t="inlineStr"/>
      <c r="AE756" t="inlineStr"/>
      <c r="AF756" t="inlineStr"/>
      <c r="AG756" t="inlineStr"/>
      <c r="AH756" t="inlineStr"/>
      <c r="AI756" t="inlineStr">
        <is>
          <t>G</t>
        </is>
      </c>
      <c r="AJ756" t="inlineStr"/>
      <c r="AK756" t="inlineStr">
        <is>
          <t>x</t>
        </is>
      </c>
      <c r="AL756" t="inlineStr"/>
      <c r="AM756" t="inlineStr">
        <is>
          <t>h/E</t>
        </is>
      </c>
      <c r="AN756" t="inlineStr"/>
      <c r="AO756" t="inlineStr"/>
      <c r="AP756" t="inlineStr"/>
      <c r="AQ756" t="inlineStr"/>
      <c r="AR756" t="inlineStr"/>
      <c r="AS756" t="inlineStr">
        <is>
          <t>Pa</t>
        </is>
      </c>
      <c r="AT756" t="inlineStr">
        <is>
          <t>x</t>
        </is>
      </c>
      <c r="AU756" t="inlineStr"/>
      <c r="AV756" t="inlineStr"/>
      <c r="AW756" t="inlineStr"/>
      <c r="AX756" t="inlineStr"/>
      <c r="AY756" t="inlineStr"/>
      <c r="AZ756" t="inlineStr"/>
      <c r="BA756" t="inlineStr"/>
      <c r="BB756" t="inlineStr"/>
      <c r="BC756" t="inlineStr"/>
      <c r="BD756" t="inlineStr"/>
      <c r="BE756" t="inlineStr"/>
      <c r="BF756" t="inlineStr"/>
      <c r="BG756" t="n">
        <v>110</v>
      </c>
      <c r="BH756" t="inlineStr"/>
      <c r="BI756" t="inlineStr"/>
      <c r="BJ756" t="inlineStr"/>
      <c r="BK756" t="inlineStr"/>
      <c r="BL756" t="inlineStr"/>
      <c r="BM756" t="inlineStr">
        <is>
          <t>ja vor</t>
        </is>
      </c>
      <c r="BN756" t="n">
        <v>1.5</v>
      </c>
      <c r="BO756" t="inlineStr"/>
      <c r="BP756" t="inlineStr"/>
      <c r="BQ756" t="inlineStr"/>
      <c r="BR756" t="inlineStr">
        <is>
          <t>x</t>
        </is>
      </c>
      <c r="BS756" t="inlineStr"/>
      <c r="BT756" t="inlineStr"/>
      <c r="BU756" t="inlineStr"/>
      <c r="BV756" t="inlineStr"/>
      <c r="BW756" t="inlineStr"/>
      <c r="BX756" t="inlineStr"/>
      <c r="BY756" t="inlineStr"/>
      <c r="BZ756" t="inlineStr"/>
      <c r="CA756" t="inlineStr"/>
      <c r="CB756" t="inlineStr">
        <is>
          <t>x</t>
        </is>
      </c>
      <c r="CC756" t="inlineStr"/>
      <c r="CD756" t="inlineStr">
        <is>
          <t>v</t>
        </is>
      </c>
      <c r="CE756" t="inlineStr"/>
      <c r="CF756" t="inlineStr"/>
      <c r="CG756" t="inlineStr"/>
      <c r="CH756" t="inlineStr"/>
      <c r="CI756" t="inlineStr"/>
      <c r="CJ756" t="inlineStr"/>
      <c r="CK756" t="inlineStr"/>
      <c r="CL756" t="inlineStr"/>
      <c r="CM756" t="n">
        <v>1.5</v>
      </c>
      <c r="CN756" t="inlineStr">
        <is>
          <t>JP+Gewebe unterlegen</t>
        </is>
      </c>
      <c r="CO756" t="inlineStr"/>
      <c r="CP756" t="inlineStr"/>
      <c r="CQ756" t="inlineStr"/>
      <c r="CR756" t="inlineStr"/>
      <c r="CS756" t="inlineStr"/>
      <c r="CT756" t="inlineStr"/>
      <c r="CU756" t="inlineStr"/>
      <c r="CV756" t="inlineStr"/>
      <c r="CW756" t="inlineStr"/>
      <c r="CX756" t="inlineStr"/>
      <c r="CY756" t="inlineStr"/>
      <c r="CZ756" t="inlineStr"/>
      <c r="DA756" t="inlineStr"/>
      <c r="DB756" t="inlineStr"/>
      <c r="DC756" t="inlineStr"/>
      <c r="DD756" t="inlineStr"/>
      <c r="DE756" t="inlineStr"/>
      <c r="DF756" t="inlineStr"/>
      <c r="DG756" t="inlineStr"/>
    </row>
    <row r="757">
      <c r="A757" t="inlineStr">
        <is>
          <t>III</t>
        </is>
      </c>
      <c r="B757" t="b">
        <v>1</v>
      </c>
      <c r="C757" t="inlineStr"/>
      <c r="D757" t="inlineStr"/>
      <c r="E757" t="n">
        <v>850</v>
      </c>
      <c r="F757">
        <f>HYPERLINK("https://portal.dnb.de/opac.htm?method=simpleSearch&amp;cqlMode=true&amp;query=idn%3D1066964491", "Portal")</f>
        <v/>
      </c>
      <c r="G757" t="inlineStr">
        <is>
          <t>Aaf</t>
        </is>
      </c>
      <c r="H757" t="inlineStr">
        <is>
          <t>L-1519-315494727</t>
        </is>
      </c>
      <c r="I757" t="inlineStr">
        <is>
          <t>1066964491</t>
        </is>
      </c>
      <c r="J757" t="inlineStr">
        <is>
          <t>III 88, 1</t>
        </is>
      </c>
      <c r="K757" t="inlineStr">
        <is>
          <t>III 88, 1</t>
        </is>
      </c>
      <c r="L757" t="inlineStr">
        <is>
          <t>III 88, 1</t>
        </is>
      </c>
      <c r="M757" t="inlineStr"/>
      <c r="N757" t="inlineStr">
        <is>
          <t xml:space="preserve">GRAVAMINA|| GERMANICAE NATIONIS|| cum remedijs &amp; auisamentis ad Cae=||saream Maiestatem.|| [Hrsg.v. Jakob Wimpheling] : </t>
        </is>
      </c>
      <c r="O757" t="inlineStr">
        <is>
          <t xml:space="preserve"> : </t>
        </is>
      </c>
      <c r="P757" t="inlineStr"/>
      <c r="Q757" t="inlineStr"/>
      <c r="R757" t="inlineStr"/>
      <c r="S757" t="inlineStr">
        <is>
          <t>bis 25 cm</t>
        </is>
      </c>
      <c r="T757" t="inlineStr"/>
      <c r="U757" t="inlineStr"/>
      <c r="V757" t="inlineStr"/>
      <c r="W757" t="inlineStr"/>
      <c r="X757" t="inlineStr"/>
      <c r="Y757" t="inlineStr"/>
      <c r="Z757" t="inlineStr"/>
      <c r="AA757" t="inlineStr"/>
      <c r="AB757" t="inlineStr"/>
      <c r="AC757" t="inlineStr"/>
      <c r="AD757" t="inlineStr"/>
      <c r="AE757" t="inlineStr"/>
      <c r="AF757" t="inlineStr"/>
      <c r="AG757" t="inlineStr"/>
      <c r="AH757" t="inlineStr"/>
      <c r="AI757" t="inlineStr">
        <is>
          <t>Br</t>
        </is>
      </c>
      <c r="AJ757" t="inlineStr"/>
      <c r="AK757" t="inlineStr"/>
      <c r="AL757" t="inlineStr"/>
      <c r="AM757" t="inlineStr">
        <is>
          <t>f</t>
        </is>
      </c>
      <c r="AN757" t="inlineStr"/>
      <c r="AO757" t="inlineStr"/>
      <c r="AP757" t="inlineStr"/>
      <c r="AQ757" t="inlineStr"/>
      <c r="AR757" t="inlineStr"/>
      <c r="AS757" t="inlineStr">
        <is>
          <t>Pa</t>
        </is>
      </c>
      <c r="AT757" t="inlineStr"/>
      <c r="AU757" t="inlineStr"/>
      <c r="AV757" t="inlineStr"/>
      <c r="AW757" t="inlineStr"/>
      <c r="AX757" t="inlineStr"/>
      <c r="AY757" t="inlineStr"/>
      <c r="AZ757" t="inlineStr"/>
      <c r="BA757" t="inlineStr"/>
      <c r="BB757" t="inlineStr"/>
      <c r="BC757" t="inlineStr"/>
      <c r="BD757" t="inlineStr"/>
      <c r="BE757" t="inlineStr"/>
      <c r="BF757" t="inlineStr"/>
      <c r="BG757" t="n">
        <v>180</v>
      </c>
      <c r="BH757" t="inlineStr"/>
      <c r="BI757" t="inlineStr"/>
      <c r="BJ757" t="inlineStr"/>
      <c r="BK757" t="inlineStr"/>
      <c r="BL757" t="inlineStr"/>
      <c r="BM757" t="inlineStr">
        <is>
          <t>n</t>
        </is>
      </c>
      <c r="BN757" t="n">
        <v>0</v>
      </c>
      <c r="BO757" t="inlineStr"/>
      <c r="BP757" t="inlineStr"/>
      <c r="BQ757" t="inlineStr"/>
      <c r="BR757" t="inlineStr"/>
      <c r="BS757" t="inlineStr"/>
      <c r="BT757" t="inlineStr"/>
      <c r="BU757" t="inlineStr"/>
      <c r="BV757" t="inlineStr"/>
      <c r="BW757" t="inlineStr"/>
      <c r="BX757" t="inlineStr"/>
      <c r="BY757" t="inlineStr"/>
      <c r="BZ757" t="inlineStr"/>
      <c r="CA757" t="inlineStr"/>
      <c r="CB757" t="inlineStr"/>
      <c r="CC757" t="inlineStr"/>
      <c r="CD757" t="inlineStr"/>
      <c r="CE757" t="inlineStr"/>
      <c r="CF757" t="inlineStr"/>
      <c r="CG757" t="inlineStr"/>
      <c r="CH757" t="inlineStr"/>
      <c r="CI757" t="inlineStr"/>
      <c r="CJ757" t="inlineStr"/>
      <c r="CK757" t="inlineStr"/>
      <c r="CL757" t="inlineStr"/>
      <c r="CM757" t="inlineStr"/>
      <c r="CN757" t="inlineStr"/>
      <c r="CO757" t="inlineStr"/>
      <c r="CP757" t="inlineStr"/>
      <c r="CQ757" t="inlineStr"/>
      <c r="CR757" t="inlineStr"/>
      <c r="CS757" t="inlineStr"/>
      <c r="CT757" t="inlineStr"/>
      <c r="CU757" t="inlineStr"/>
      <c r="CV757" t="inlineStr"/>
      <c r="CW757" t="inlineStr"/>
      <c r="CX757" t="inlineStr"/>
      <c r="CY757" t="inlineStr"/>
      <c r="CZ757" t="inlineStr"/>
      <c r="DA757" t="inlineStr"/>
      <c r="DB757" t="inlineStr"/>
      <c r="DC757" t="inlineStr"/>
      <c r="DD757" t="inlineStr"/>
      <c r="DE757" t="inlineStr"/>
      <c r="DF757" t="inlineStr"/>
      <c r="DG757" t="inlineStr"/>
    </row>
    <row r="758">
      <c r="A758" t="inlineStr">
        <is>
          <t>III</t>
        </is>
      </c>
      <c r="B758" t="b">
        <v>1</v>
      </c>
      <c r="C758" t="inlineStr"/>
      <c r="D758" t="inlineStr"/>
      <c r="E758" t="n">
        <v>851</v>
      </c>
      <c r="F758">
        <f>HYPERLINK("https://portal.dnb.de/opac.htm?method=simpleSearch&amp;cqlMode=true&amp;query=idn%3D1066962200", "Portal")</f>
        <v/>
      </c>
      <c r="G758" t="inlineStr">
        <is>
          <t>Aaf</t>
        </is>
      </c>
      <c r="H758" t="inlineStr">
        <is>
          <t>L-1520-315492600</t>
        </is>
      </c>
      <c r="I758" t="inlineStr">
        <is>
          <t>1066962200</t>
        </is>
      </c>
      <c r="J758" t="inlineStr">
        <is>
          <t>III 88, 2</t>
        </is>
      </c>
      <c r="K758" t="inlineStr">
        <is>
          <t>III 88, 2</t>
        </is>
      </c>
      <c r="L758" t="inlineStr">
        <is>
          <t>III 88, 2</t>
        </is>
      </c>
      <c r="M758" t="inlineStr"/>
      <c r="N758" t="inlineStr">
        <is>
          <t xml:space="preserve">EPIGRAMMA||TA IOANNIS SAPIDI.|| Selestadij bonas literas ac|| linguam utram#[que]|| docentis.|| [Hrsg. v. (IACOBVS SPIEGEL ...||)] : </t>
        </is>
      </c>
      <c r="O758" t="inlineStr">
        <is>
          <t xml:space="preserve"> : </t>
        </is>
      </c>
      <c r="P758" t="inlineStr"/>
      <c r="Q758" t="inlineStr"/>
      <c r="R758" t="inlineStr"/>
      <c r="S758" t="inlineStr">
        <is>
          <t>bis 25 cm</t>
        </is>
      </c>
      <c r="T758" t="inlineStr"/>
      <c r="U758" t="inlineStr"/>
      <c r="V758" t="inlineStr"/>
      <c r="W758" t="inlineStr"/>
      <c r="X758" t="inlineStr"/>
      <c r="Y758" t="inlineStr"/>
      <c r="Z758" t="inlineStr"/>
      <c r="AA758" t="inlineStr"/>
      <c r="AB758" t="inlineStr"/>
      <c r="AC758" t="inlineStr"/>
      <c r="AD758" t="inlineStr"/>
      <c r="AE758" t="inlineStr"/>
      <c r="AF758" t="inlineStr"/>
      <c r="AG758" t="inlineStr"/>
      <c r="AH758" t="inlineStr"/>
      <c r="AI758" t="inlineStr">
        <is>
          <t>Br</t>
        </is>
      </c>
      <c r="AJ758" t="inlineStr"/>
      <c r="AK758" t="inlineStr"/>
      <c r="AL758" t="inlineStr"/>
      <c r="AM758" t="inlineStr">
        <is>
          <t>f</t>
        </is>
      </c>
      <c r="AN758" t="inlineStr"/>
      <c r="AO758" t="inlineStr"/>
      <c r="AP758" t="inlineStr"/>
      <c r="AQ758" t="inlineStr"/>
      <c r="AR758" t="inlineStr"/>
      <c r="AS758" t="inlineStr">
        <is>
          <t>Pa</t>
        </is>
      </c>
      <c r="AT758" t="inlineStr"/>
      <c r="AU758" t="inlineStr"/>
      <c r="AV758" t="inlineStr"/>
      <c r="AW758" t="inlineStr"/>
      <c r="AX758" t="inlineStr"/>
      <c r="AY758" t="inlineStr"/>
      <c r="AZ758" t="inlineStr"/>
      <c r="BA758" t="inlineStr"/>
      <c r="BB758" t="inlineStr"/>
      <c r="BC758" t="inlineStr"/>
      <c r="BD758" t="inlineStr"/>
      <c r="BE758" t="inlineStr"/>
      <c r="BF758" t="inlineStr"/>
      <c r="BG758" t="n">
        <v>180</v>
      </c>
      <c r="BH758" t="inlineStr"/>
      <c r="BI758" t="inlineStr"/>
      <c r="BJ758" t="inlineStr"/>
      <c r="BK758" t="inlineStr"/>
      <c r="BL758" t="inlineStr"/>
      <c r="BM758" t="inlineStr">
        <is>
          <t>n</t>
        </is>
      </c>
      <c r="BN758" t="n">
        <v>0</v>
      </c>
      <c r="BO758" t="inlineStr"/>
      <c r="BP758" t="inlineStr"/>
      <c r="BQ758" t="inlineStr"/>
      <c r="BR758" t="inlineStr"/>
      <c r="BS758" t="inlineStr"/>
      <c r="BT758" t="inlineStr"/>
      <c r="BU758" t="inlineStr"/>
      <c r="BV758" t="inlineStr"/>
      <c r="BW758" t="inlineStr"/>
      <c r="BX758" t="inlineStr"/>
      <c r="BY758" t="inlineStr"/>
      <c r="BZ758" t="inlineStr"/>
      <c r="CA758" t="inlineStr"/>
      <c r="CB758" t="inlineStr"/>
      <c r="CC758" t="inlineStr"/>
      <c r="CD758" t="inlineStr"/>
      <c r="CE758" t="inlineStr"/>
      <c r="CF758" t="inlineStr"/>
      <c r="CG758" t="inlineStr"/>
      <c r="CH758" t="inlineStr"/>
      <c r="CI758" t="inlineStr"/>
      <c r="CJ758" t="inlineStr"/>
      <c r="CK758" t="inlineStr"/>
      <c r="CL758" t="inlineStr"/>
      <c r="CM758" t="inlineStr"/>
      <c r="CN758" t="inlineStr"/>
      <c r="CO758" t="inlineStr"/>
      <c r="CP758" t="inlineStr"/>
      <c r="CQ758" t="inlineStr"/>
      <c r="CR758" t="inlineStr"/>
      <c r="CS758" t="inlineStr"/>
      <c r="CT758" t="inlineStr"/>
      <c r="CU758" t="inlineStr"/>
      <c r="CV758" t="inlineStr"/>
      <c r="CW758" t="inlineStr"/>
      <c r="CX758" t="inlineStr"/>
      <c r="CY758" t="inlineStr"/>
      <c r="CZ758" t="inlineStr"/>
      <c r="DA758" t="inlineStr"/>
      <c r="DB758" t="inlineStr"/>
      <c r="DC758" t="inlineStr"/>
      <c r="DD758" t="inlineStr"/>
      <c r="DE758" t="inlineStr"/>
      <c r="DF758" t="inlineStr"/>
      <c r="DG758" t="inlineStr"/>
    </row>
    <row r="759">
      <c r="A759" t="inlineStr">
        <is>
          <t>III</t>
        </is>
      </c>
      <c r="B759" t="b">
        <v>1</v>
      </c>
      <c r="C759" t="inlineStr"/>
      <c r="D759" t="inlineStr"/>
      <c r="E759" t="n">
        <v>852</v>
      </c>
      <c r="F759">
        <f>HYPERLINK("https://portal.dnb.de/opac.htm?method=simpleSearch&amp;cqlMode=true&amp;query=idn%3D106696274X", "Portal")</f>
        <v/>
      </c>
      <c r="G759" t="inlineStr">
        <is>
          <t>Aaf</t>
        </is>
      </c>
      <c r="H759" t="inlineStr">
        <is>
          <t>L-1520-315493070</t>
        </is>
      </c>
      <c r="I759" t="inlineStr">
        <is>
          <t>106696274X</t>
        </is>
      </c>
      <c r="J759" t="inlineStr">
        <is>
          <t>III 88, 3</t>
        </is>
      </c>
      <c r="K759" t="inlineStr">
        <is>
          <t>III 88, 3</t>
        </is>
      </c>
      <c r="L759" t="inlineStr">
        <is>
          <t>III 88, 3</t>
        </is>
      </c>
      <c r="M759" t="inlineStr"/>
      <c r="N759" t="inlineStr">
        <is>
          <t xml:space="preserve">IOAN||NES LODOVICVS|| Viues, Valentinus, aduersus|| pseudodialecticos.|| EIVSDEM POM||peius fugiens.|| : </t>
        </is>
      </c>
      <c r="O759" t="inlineStr">
        <is>
          <t xml:space="preserve"> : </t>
        </is>
      </c>
      <c r="P759" t="inlineStr"/>
      <c r="Q759" t="inlineStr"/>
      <c r="R759" t="inlineStr"/>
      <c r="S759" t="inlineStr">
        <is>
          <t>bis 25 cm</t>
        </is>
      </c>
      <c r="T759" t="inlineStr"/>
      <c r="U759" t="inlineStr"/>
      <c r="V759" t="inlineStr"/>
      <c r="W759" t="inlineStr"/>
      <c r="X759" t="inlineStr"/>
      <c r="Y759" t="inlineStr"/>
      <c r="Z759" t="inlineStr"/>
      <c r="AA759" t="inlineStr"/>
      <c r="AB759" t="inlineStr"/>
      <c r="AC759" t="inlineStr"/>
      <c r="AD759" t="inlineStr"/>
      <c r="AE759" t="inlineStr"/>
      <c r="AF759" t="inlineStr"/>
      <c r="AG759" t="inlineStr"/>
      <c r="AH759" t="inlineStr"/>
      <c r="AI759" t="inlineStr">
        <is>
          <t>G</t>
        </is>
      </c>
      <c r="AJ759" t="inlineStr"/>
      <c r="AK759" t="inlineStr">
        <is>
          <t>x</t>
        </is>
      </c>
      <c r="AL759" t="inlineStr"/>
      <c r="AM759" t="inlineStr">
        <is>
          <t>h/E</t>
        </is>
      </c>
      <c r="AN759" t="inlineStr"/>
      <c r="AO759" t="inlineStr"/>
      <c r="AP759" t="inlineStr"/>
      <c r="AQ759" t="inlineStr"/>
      <c r="AR759" t="inlineStr"/>
      <c r="AS759" t="inlineStr">
        <is>
          <t>Pa</t>
        </is>
      </c>
      <c r="AT759" t="inlineStr">
        <is>
          <t>x</t>
        </is>
      </c>
      <c r="AU759" t="inlineStr"/>
      <c r="AV759" t="inlineStr"/>
      <c r="AW759" t="inlineStr"/>
      <c r="AX759" t="inlineStr"/>
      <c r="AY759" t="inlineStr"/>
      <c r="AZ759" t="inlineStr"/>
      <c r="BA759" t="inlineStr"/>
      <c r="BB759" t="inlineStr"/>
      <c r="BC759" t="inlineStr"/>
      <c r="BD759" t="inlineStr"/>
      <c r="BE759" t="inlineStr"/>
      <c r="BF759" t="inlineStr"/>
      <c r="BG759" t="n">
        <v>110</v>
      </c>
      <c r="BH759" t="inlineStr"/>
      <c r="BI759" t="inlineStr"/>
      <c r="BJ759" t="inlineStr"/>
      <c r="BK759" t="inlineStr"/>
      <c r="BL759" t="inlineStr"/>
      <c r="BM759" t="inlineStr">
        <is>
          <t>n</t>
        </is>
      </c>
      <c r="BN759" t="n">
        <v>0</v>
      </c>
      <c r="BO759" t="inlineStr"/>
      <c r="BP759" t="inlineStr"/>
      <c r="BQ759" t="inlineStr"/>
      <c r="BR759" t="inlineStr"/>
      <c r="BS759" t="inlineStr"/>
      <c r="BT759" t="inlineStr"/>
      <c r="BU759" t="inlineStr"/>
      <c r="BV759" t="inlineStr"/>
      <c r="BW759" t="inlineStr"/>
      <c r="BX759" t="inlineStr"/>
      <c r="BY759" t="inlineStr"/>
      <c r="BZ759" t="inlineStr"/>
      <c r="CA759" t="inlineStr"/>
      <c r="CB759" t="inlineStr"/>
      <c r="CC759" t="inlineStr"/>
      <c r="CD759" t="inlineStr"/>
      <c r="CE759" t="inlineStr"/>
      <c r="CF759" t="inlineStr"/>
      <c r="CG759" t="inlineStr"/>
      <c r="CH759" t="inlineStr"/>
      <c r="CI759" t="inlineStr"/>
      <c r="CJ759" t="inlineStr"/>
      <c r="CK759" t="inlineStr"/>
      <c r="CL759" t="inlineStr"/>
      <c r="CM759" t="inlineStr"/>
      <c r="CN759" t="inlineStr"/>
      <c r="CO759" t="inlineStr"/>
      <c r="CP759" t="inlineStr"/>
      <c r="CQ759" t="inlineStr"/>
      <c r="CR759" t="inlineStr"/>
      <c r="CS759" t="inlineStr"/>
      <c r="CT759" t="inlineStr"/>
      <c r="CU759" t="inlineStr"/>
      <c r="CV759" t="inlineStr"/>
      <c r="CW759" t="inlineStr"/>
      <c r="CX759" t="inlineStr"/>
      <c r="CY759" t="inlineStr"/>
      <c r="CZ759" t="inlineStr"/>
      <c r="DA759" t="inlineStr"/>
      <c r="DB759" t="inlineStr"/>
      <c r="DC759" t="inlineStr"/>
      <c r="DD759" t="inlineStr"/>
      <c r="DE759" t="inlineStr"/>
      <c r="DF759" t="inlineStr"/>
      <c r="DG759" t="inlineStr"/>
    </row>
    <row r="760">
      <c r="A760" t="inlineStr">
        <is>
          <t>III</t>
        </is>
      </c>
      <c r="B760" t="b">
        <v>1</v>
      </c>
      <c r="C760" t="inlineStr"/>
      <c r="D760" t="inlineStr"/>
      <c r="E760" t="n">
        <v>853</v>
      </c>
      <c r="F760">
        <f>HYPERLINK("https://portal.dnb.de/opac.htm?method=simpleSearch&amp;cqlMode=true&amp;query=idn%3D106696310X", "Portal")</f>
        <v/>
      </c>
      <c r="G760" t="inlineStr">
        <is>
          <t>Aaf</t>
        </is>
      </c>
      <c r="H760" t="inlineStr">
        <is>
          <t>L-1520-315493380</t>
        </is>
      </c>
      <c r="I760" t="inlineStr">
        <is>
          <t>106696310X</t>
        </is>
      </c>
      <c r="J760" t="inlineStr">
        <is>
          <t>III 88, 4</t>
        </is>
      </c>
      <c r="K760" t="inlineStr">
        <is>
          <t>III 88, 4</t>
        </is>
      </c>
      <c r="L760" t="inlineStr">
        <is>
          <t>III 88, 4</t>
        </is>
      </c>
      <c r="M760" t="inlineStr"/>
      <c r="N760" t="inlineStr">
        <is>
          <t>DIVO|| MAXIMILIANO IV||bente Pragmatice sancti=||onis Medulla ex=||cerpta.||(DE actionibus &amp; astutijs quorun=||dam Curtisanorum.||) [Hrsg. v. (Iacobus</t>
        </is>
      </c>
      <c r="O760" t="inlineStr">
        <is>
          <t xml:space="preserve"> : </t>
        </is>
      </c>
      <c r="P760" t="inlineStr"/>
      <c r="Q760" t="inlineStr"/>
      <c r="R760" t="inlineStr"/>
      <c r="S760" t="inlineStr">
        <is>
          <t>bis 25 cm</t>
        </is>
      </c>
      <c r="T760" t="inlineStr"/>
      <c r="U760" t="inlineStr"/>
      <c r="V760" t="inlineStr"/>
      <c r="W760" t="inlineStr"/>
      <c r="X760" t="inlineStr"/>
      <c r="Y760" t="inlineStr"/>
      <c r="Z760" t="inlineStr"/>
      <c r="AA760" t="inlineStr"/>
      <c r="AB760" t="inlineStr"/>
      <c r="AC760" t="inlineStr"/>
      <c r="AD760" t="inlineStr"/>
      <c r="AE760" t="inlineStr"/>
      <c r="AF760" t="inlineStr"/>
      <c r="AG760" t="inlineStr"/>
      <c r="AH760" t="inlineStr"/>
      <c r="AI760" t="inlineStr">
        <is>
          <t>Pg</t>
        </is>
      </c>
      <c r="AJ760" t="inlineStr"/>
      <c r="AK760" t="inlineStr"/>
      <c r="AL760" t="inlineStr"/>
      <c r="AM760" t="inlineStr">
        <is>
          <t>h/E</t>
        </is>
      </c>
      <c r="AN760" t="inlineStr"/>
      <c r="AO760" t="inlineStr"/>
      <c r="AP760" t="inlineStr"/>
      <c r="AQ760" t="inlineStr"/>
      <c r="AR760" t="inlineStr"/>
      <c r="AS760" t="inlineStr">
        <is>
          <t>Pa</t>
        </is>
      </c>
      <c r="AT760" t="inlineStr"/>
      <c r="AU760" t="inlineStr"/>
      <c r="AV760" t="inlineStr"/>
      <c r="AW760" t="inlineStr"/>
      <c r="AX760" t="inlineStr"/>
      <c r="AY760" t="inlineStr"/>
      <c r="AZ760" t="inlineStr"/>
      <c r="BA760" t="inlineStr"/>
      <c r="BB760" t="inlineStr"/>
      <c r="BC760" t="inlineStr"/>
      <c r="BD760" t="inlineStr"/>
      <c r="BE760" t="inlineStr"/>
      <c r="BF760" t="inlineStr"/>
      <c r="BG760" t="n">
        <v>110</v>
      </c>
      <c r="BH760" t="inlineStr"/>
      <c r="BI760" t="inlineStr"/>
      <c r="BJ760" t="inlineStr"/>
      <c r="BK760" t="inlineStr"/>
      <c r="BL760" t="inlineStr"/>
      <c r="BM760" t="inlineStr">
        <is>
          <t>n</t>
        </is>
      </c>
      <c r="BN760" t="n">
        <v>0</v>
      </c>
      <c r="BO760" t="inlineStr"/>
      <c r="BP760" t="inlineStr"/>
      <c r="BQ760" t="inlineStr"/>
      <c r="BR760" t="inlineStr"/>
      <c r="BS760" t="inlineStr"/>
      <c r="BT760" t="inlineStr"/>
      <c r="BU760" t="inlineStr"/>
      <c r="BV760" t="inlineStr"/>
      <c r="BW760" t="inlineStr"/>
      <c r="BX760" t="inlineStr"/>
      <c r="BY760" t="inlineStr"/>
      <c r="BZ760" t="inlineStr"/>
      <c r="CA760" t="inlineStr"/>
      <c r="CB760" t="inlineStr"/>
      <c r="CC760" t="inlineStr"/>
      <c r="CD760" t="inlineStr"/>
      <c r="CE760" t="inlineStr"/>
      <c r="CF760" t="inlineStr"/>
      <c r="CG760" t="inlineStr"/>
      <c r="CH760" t="inlineStr"/>
      <c r="CI760" t="inlineStr"/>
      <c r="CJ760" t="inlineStr"/>
      <c r="CK760" t="inlineStr"/>
      <c r="CL760" t="inlineStr"/>
      <c r="CM760" t="inlineStr"/>
      <c r="CN760" t="inlineStr"/>
      <c r="CO760" t="inlineStr"/>
      <c r="CP760" t="inlineStr"/>
      <c r="CQ760" t="inlineStr"/>
      <c r="CR760" t="inlineStr"/>
      <c r="CS760" t="inlineStr"/>
      <c r="CT760" t="inlineStr"/>
      <c r="CU760" t="inlineStr"/>
      <c r="CV760" t="inlineStr"/>
      <c r="CW760" t="inlineStr"/>
      <c r="CX760" t="inlineStr"/>
      <c r="CY760" t="inlineStr"/>
      <c r="CZ760" t="inlineStr"/>
      <c r="DA760" t="inlineStr"/>
      <c r="DB760" t="inlineStr"/>
      <c r="DC760" t="inlineStr"/>
      <c r="DD760" t="inlineStr"/>
      <c r="DE760" t="inlineStr"/>
      <c r="DF760" t="inlineStr"/>
      <c r="DG760" t="inlineStr"/>
    </row>
    <row r="761">
      <c r="A761" t="inlineStr">
        <is>
          <t>III</t>
        </is>
      </c>
      <c r="B761" t="b">
        <v>1</v>
      </c>
      <c r="C761" t="inlineStr"/>
      <c r="D761" t="inlineStr"/>
      <c r="E761" t="n">
        <v>854</v>
      </c>
      <c r="F761">
        <f>HYPERLINK("https://portal.dnb.de/opac.htm?method=simpleSearch&amp;cqlMode=true&amp;query=idn%3D1066935823", "Portal")</f>
        <v/>
      </c>
      <c r="G761" t="inlineStr">
        <is>
          <t>Aaf</t>
        </is>
      </c>
      <c r="H761" t="inlineStr">
        <is>
          <t>L-1501-315463732</t>
        </is>
      </c>
      <c r="I761" t="inlineStr">
        <is>
          <t>1066935823</t>
        </is>
      </c>
      <c r="J761" t="inlineStr">
        <is>
          <t>III 89, 1</t>
        </is>
      </c>
      <c r="K761" t="inlineStr">
        <is>
          <t>III 89, 1</t>
        </is>
      </c>
      <c r="L761" t="inlineStr">
        <is>
          <t>III 89, 1</t>
        </is>
      </c>
      <c r="M761" t="inlineStr"/>
      <c r="N761" t="inlineStr">
        <is>
          <t>Quodlibetica decisio perpulchra et deuota de septem doloribus|| xp̃ifere virginis marie ac conmuni #[et] saluberrima confraternitate|| de super instit</t>
        </is>
      </c>
      <c r="O761" t="inlineStr">
        <is>
          <t xml:space="preserve"> : </t>
        </is>
      </c>
      <c r="P761" t="inlineStr"/>
      <c r="Q761" t="inlineStr"/>
      <c r="R761" t="inlineStr"/>
      <c r="S761" t="inlineStr">
        <is>
          <t>bis 25 cm</t>
        </is>
      </c>
      <c r="T761" t="inlineStr"/>
      <c r="U761" t="inlineStr"/>
      <c r="V761" t="inlineStr"/>
      <c r="W761" t="inlineStr"/>
      <c r="X761" t="inlineStr"/>
      <c r="Y761" t="inlineStr"/>
      <c r="Z761" t="inlineStr"/>
      <c r="AA761" t="inlineStr"/>
      <c r="AB761" t="inlineStr"/>
      <c r="AC761" t="inlineStr"/>
      <c r="AD761" t="inlineStr"/>
      <c r="AE761" t="inlineStr"/>
      <c r="AF761" t="inlineStr"/>
      <c r="AG761" t="inlineStr"/>
      <c r="AH761" t="inlineStr"/>
      <c r="AI761" t="inlineStr">
        <is>
          <t>HL</t>
        </is>
      </c>
      <c r="AJ761" t="inlineStr"/>
      <c r="AK761" t="inlineStr">
        <is>
          <t>x</t>
        </is>
      </c>
      <c r="AL761" t="inlineStr"/>
      <c r="AM761" t="inlineStr">
        <is>
          <t>h/E</t>
        </is>
      </c>
      <c r="AN761" t="inlineStr"/>
      <c r="AO761" t="inlineStr"/>
      <c r="AP761" t="inlineStr"/>
      <c r="AQ761" t="inlineStr"/>
      <c r="AR761" t="inlineStr"/>
      <c r="AS761" t="inlineStr">
        <is>
          <t>Pa</t>
        </is>
      </c>
      <c r="AT761" t="inlineStr">
        <is>
          <t>x</t>
        </is>
      </c>
      <c r="AU761" t="inlineStr"/>
      <c r="AV761" t="inlineStr"/>
      <c r="AW761" t="inlineStr"/>
      <c r="AX761" t="inlineStr"/>
      <c r="AY761" t="inlineStr"/>
      <c r="AZ761" t="inlineStr"/>
      <c r="BA761" t="inlineStr"/>
      <c r="BB761" t="inlineStr"/>
      <c r="BC761" t="inlineStr"/>
      <c r="BD761" t="inlineStr"/>
      <c r="BE761" t="inlineStr"/>
      <c r="BF761" t="inlineStr"/>
      <c r="BG761" t="n">
        <v>110</v>
      </c>
      <c r="BH761" t="inlineStr"/>
      <c r="BI761" t="inlineStr"/>
      <c r="BJ761" t="inlineStr"/>
      <c r="BK761" t="inlineStr"/>
      <c r="BL761" t="inlineStr"/>
      <c r="BM761" t="inlineStr">
        <is>
          <t>n</t>
        </is>
      </c>
      <c r="BN761" t="n">
        <v>0</v>
      </c>
      <c r="BO761" t="inlineStr"/>
      <c r="BP761" t="inlineStr"/>
      <c r="BQ761" t="inlineStr"/>
      <c r="BR761" t="inlineStr"/>
      <c r="BS761" t="inlineStr"/>
      <c r="BT761" t="inlineStr"/>
      <c r="BU761" t="inlineStr"/>
      <c r="BV761" t="inlineStr"/>
      <c r="BW761" t="inlineStr"/>
      <c r="BX761" t="inlineStr"/>
      <c r="BY761" t="inlineStr"/>
      <c r="BZ761" t="inlineStr"/>
      <c r="CA761" t="inlineStr"/>
      <c r="CB761" t="inlineStr"/>
      <c r="CC761" t="inlineStr"/>
      <c r="CD761" t="inlineStr"/>
      <c r="CE761" t="inlineStr"/>
      <c r="CF761" t="inlineStr"/>
      <c r="CG761" t="inlineStr"/>
      <c r="CH761" t="inlineStr"/>
      <c r="CI761" t="inlineStr"/>
      <c r="CJ761" t="inlineStr"/>
      <c r="CK761" t="inlineStr"/>
      <c r="CL761" t="inlineStr"/>
      <c r="CM761" t="inlineStr"/>
      <c r="CN761" t="inlineStr"/>
      <c r="CO761" t="inlineStr"/>
      <c r="CP761" t="inlineStr"/>
      <c r="CQ761" t="inlineStr"/>
      <c r="CR761" t="inlineStr"/>
      <c r="CS761" t="inlineStr"/>
      <c r="CT761" t="inlineStr"/>
      <c r="CU761" t="inlineStr"/>
      <c r="CV761" t="inlineStr"/>
      <c r="CW761" t="inlineStr"/>
      <c r="CX761" t="inlineStr"/>
      <c r="CY761" t="inlineStr"/>
      <c r="CZ761" t="inlineStr"/>
      <c r="DA761" t="inlineStr"/>
      <c r="DB761" t="inlineStr"/>
      <c r="DC761" t="inlineStr"/>
      <c r="DD761" t="inlineStr"/>
      <c r="DE761" t="inlineStr"/>
      <c r="DF761" t="inlineStr"/>
      <c r="DG761" t="inlineStr"/>
    </row>
    <row r="762">
      <c r="A762" t="inlineStr">
        <is>
          <t>III</t>
        </is>
      </c>
      <c r="B762" t="b">
        <v>1</v>
      </c>
      <c r="C762" t="inlineStr"/>
      <c r="D762" t="inlineStr"/>
      <c r="E762" t="n">
        <v>855</v>
      </c>
      <c r="F762">
        <f>HYPERLINK("https://portal.dnb.de/opac.htm?method=simpleSearch&amp;cqlMode=true&amp;query=idn%3D1066963479", "Portal")</f>
        <v/>
      </c>
      <c r="G762" t="inlineStr">
        <is>
          <t>Aaf</t>
        </is>
      </c>
      <c r="H762" t="inlineStr">
        <is>
          <t>L-1538-315493712</t>
        </is>
      </c>
      <c r="I762" t="inlineStr">
        <is>
          <t>1066963479</t>
        </is>
      </c>
      <c r="J762" t="inlineStr">
        <is>
          <t>III 90, 1</t>
        </is>
      </c>
      <c r="K762" t="inlineStr">
        <is>
          <t>III 90, 1</t>
        </is>
      </c>
      <c r="L762" t="inlineStr">
        <is>
          <t>III 90, 1</t>
        </is>
      </c>
      <c r="M762" t="inlineStr"/>
      <c r="N762" t="inlineStr">
        <is>
          <t xml:space="preserve">M.T. CICE||RONIS EPISTOLAE FA||MILIARES.|| : </t>
        </is>
      </c>
      <c r="O762" t="inlineStr">
        <is>
          <t xml:space="preserve"> : </t>
        </is>
      </c>
      <c r="P762" t="inlineStr"/>
      <c r="Q762" t="inlineStr"/>
      <c r="R762" t="inlineStr"/>
      <c r="S762" t="inlineStr">
        <is>
          <t>bis 25 cm</t>
        </is>
      </c>
      <c r="T762" t="inlineStr"/>
      <c r="U762" t="inlineStr"/>
      <c r="V762" t="inlineStr"/>
      <c r="W762" t="inlineStr"/>
      <c r="X762" t="inlineStr"/>
      <c r="Y762" t="inlineStr"/>
      <c r="Z762" t="inlineStr"/>
      <c r="AA762" t="inlineStr"/>
      <c r="AB762" t="inlineStr"/>
      <c r="AC762" t="inlineStr"/>
      <c r="AD762" t="inlineStr"/>
      <c r="AE762" t="inlineStr"/>
      <c r="AF762" t="inlineStr"/>
      <c r="AG762" t="inlineStr"/>
      <c r="AH762" t="inlineStr">
        <is>
          <t>x</t>
        </is>
      </c>
      <c r="AI762" t="inlineStr">
        <is>
          <t>G</t>
        </is>
      </c>
      <c r="AJ762" t="inlineStr"/>
      <c r="AK762" t="inlineStr">
        <is>
          <t>x</t>
        </is>
      </c>
      <c r="AL762" t="inlineStr"/>
      <c r="AM762" t="inlineStr">
        <is>
          <t>h/E</t>
        </is>
      </c>
      <c r="AN762" t="inlineStr"/>
      <c r="AO762" t="inlineStr"/>
      <c r="AP762" t="inlineStr"/>
      <c r="AQ762" t="inlineStr"/>
      <c r="AR762" t="inlineStr"/>
      <c r="AS762" t="inlineStr">
        <is>
          <t>Pa</t>
        </is>
      </c>
      <c r="AT762" t="inlineStr"/>
      <c r="AU762" t="inlineStr"/>
      <c r="AV762" t="inlineStr"/>
      <c r="AW762" t="inlineStr"/>
      <c r="AX762" t="inlineStr"/>
      <c r="AY762" t="inlineStr"/>
      <c r="AZ762" t="inlineStr"/>
      <c r="BA762" t="inlineStr"/>
      <c r="BB762" t="inlineStr"/>
      <c r="BC762" t="inlineStr"/>
      <c r="BD762" t="inlineStr"/>
      <c r="BE762" t="inlineStr"/>
      <c r="BF762" t="inlineStr"/>
      <c r="BG762" t="n">
        <v>110</v>
      </c>
      <c r="BH762" t="inlineStr"/>
      <c r="BI762" t="inlineStr"/>
      <c r="BJ762" t="inlineStr"/>
      <c r="BK762" t="inlineStr"/>
      <c r="BL762" t="inlineStr"/>
      <c r="BM762" t="inlineStr">
        <is>
          <t>n</t>
        </is>
      </c>
      <c r="BN762" t="n">
        <v>0</v>
      </c>
      <c r="BO762" t="inlineStr"/>
      <c r="BP762" t="inlineStr"/>
      <c r="BQ762" t="inlineStr"/>
      <c r="BR762" t="inlineStr"/>
      <c r="BS762" t="inlineStr"/>
      <c r="BT762" t="inlineStr"/>
      <c r="BU762" t="inlineStr"/>
      <c r="BV762" t="inlineStr"/>
      <c r="BW762" t="inlineStr"/>
      <c r="BX762" t="inlineStr"/>
      <c r="BY762" t="inlineStr"/>
      <c r="BZ762" t="inlineStr"/>
      <c r="CA762" t="inlineStr"/>
      <c r="CB762" t="inlineStr"/>
      <c r="CC762" t="inlineStr"/>
      <c r="CD762" t="inlineStr"/>
      <c r="CE762" t="inlineStr"/>
      <c r="CF762" t="inlineStr"/>
      <c r="CG762" t="inlineStr"/>
      <c r="CH762" t="inlineStr"/>
      <c r="CI762" t="inlineStr"/>
      <c r="CJ762" t="inlineStr"/>
      <c r="CK762" t="inlineStr"/>
      <c r="CL762" t="inlineStr"/>
      <c r="CM762" t="inlineStr"/>
      <c r="CN762" t="inlineStr"/>
      <c r="CO762" t="inlineStr"/>
      <c r="CP762" t="inlineStr"/>
      <c r="CQ762" t="inlineStr"/>
      <c r="CR762" t="inlineStr"/>
      <c r="CS762" t="inlineStr"/>
      <c r="CT762" t="inlineStr"/>
      <c r="CU762" t="inlineStr"/>
      <c r="CV762" t="inlineStr"/>
      <c r="CW762" t="inlineStr"/>
      <c r="CX762" t="inlineStr"/>
      <c r="CY762" t="inlineStr"/>
      <c r="CZ762" t="inlineStr"/>
      <c r="DA762" t="inlineStr"/>
      <c r="DB762" t="inlineStr"/>
      <c r="DC762" t="inlineStr"/>
      <c r="DD762" t="inlineStr"/>
      <c r="DE762" t="inlineStr"/>
      <c r="DF762" t="inlineStr"/>
      <c r="DG762" t="inlineStr"/>
    </row>
    <row r="763">
      <c r="A763" t="inlineStr">
        <is>
          <t>III</t>
        </is>
      </c>
      <c r="B763" t="b">
        <v>1</v>
      </c>
      <c r="C763" t="inlineStr"/>
      <c r="D763" t="inlineStr"/>
      <c r="E763" t="n">
        <v>856</v>
      </c>
      <c r="F763">
        <f>HYPERLINK("https://portal.dnb.de/opac.htm?method=simpleSearch&amp;cqlMode=true&amp;query=idn%3D1066786534", "Portal")</f>
        <v/>
      </c>
      <c r="G763" t="inlineStr">
        <is>
          <t>Aaf</t>
        </is>
      </c>
      <c r="H763" t="inlineStr">
        <is>
          <t>L-1538-315208074</t>
        </is>
      </c>
      <c r="I763" t="inlineStr">
        <is>
          <t>1066786534</t>
        </is>
      </c>
      <c r="J763" t="inlineStr">
        <is>
          <t>III 90, 2</t>
        </is>
      </c>
      <c r="K763" t="inlineStr">
        <is>
          <t>III 90, 2</t>
        </is>
      </c>
      <c r="L763" t="inlineStr">
        <is>
          <t>III 90, 2</t>
        </is>
      </c>
      <c r="M763" t="inlineStr"/>
      <c r="N763" t="inlineStr">
        <is>
          <t xml:space="preserve">Psalterivm Vniversvm Itervm ab Avtore magna diligentia recognitum atque emendatum cum praefationibus ac testemoniis doctissimorum hominum... Adiectis </t>
        </is>
      </c>
      <c r="O763" t="inlineStr">
        <is>
          <t xml:space="preserve"> : </t>
        </is>
      </c>
      <c r="P763" t="inlineStr"/>
      <c r="Q763" t="inlineStr"/>
      <c r="R763" t="inlineStr"/>
      <c r="S763" t="inlineStr">
        <is>
          <t>bis 25 cm</t>
        </is>
      </c>
      <c r="T763" t="inlineStr"/>
      <c r="U763" t="inlineStr"/>
      <c r="V763" t="inlineStr"/>
      <c r="W763" t="inlineStr"/>
      <c r="X763" t="inlineStr"/>
      <c r="Y763" t="inlineStr"/>
      <c r="Z763" t="inlineStr"/>
      <c r="AA763" t="inlineStr"/>
      <c r="AB763" t="inlineStr"/>
      <c r="AC763" t="inlineStr"/>
      <c r="AD763" t="inlineStr"/>
      <c r="AE763" t="inlineStr"/>
      <c r="AF763" t="inlineStr"/>
      <c r="AG763" t="inlineStr"/>
      <c r="AH763" t="inlineStr"/>
      <c r="AI763" t="inlineStr">
        <is>
          <t>HD</t>
        </is>
      </c>
      <c r="AJ763" t="inlineStr"/>
      <c r="AK763" t="inlineStr"/>
      <c r="AL763" t="inlineStr"/>
      <c r="AM763" t="inlineStr">
        <is>
          <t>f</t>
        </is>
      </c>
      <c r="AN763" t="inlineStr"/>
      <c r="AO763" t="inlineStr"/>
      <c r="AP763" t="inlineStr"/>
      <c r="AQ763" t="inlineStr"/>
      <c r="AR763" t="inlineStr"/>
      <c r="AS763" t="inlineStr">
        <is>
          <t>Pa</t>
        </is>
      </c>
      <c r="AT763" t="inlineStr"/>
      <c r="AU763" t="inlineStr"/>
      <c r="AV763" t="inlineStr"/>
      <c r="AW763" t="inlineStr"/>
      <c r="AX763" t="inlineStr"/>
      <c r="AY763" t="inlineStr"/>
      <c r="AZ763" t="inlineStr"/>
      <c r="BA763" t="inlineStr"/>
      <c r="BB763" t="inlineStr"/>
      <c r="BC763" t="inlineStr"/>
      <c r="BD763" t="inlineStr"/>
      <c r="BE763" t="inlineStr"/>
      <c r="BF763" t="inlineStr"/>
      <c r="BG763" t="n">
        <v>45</v>
      </c>
      <c r="BH763" t="inlineStr"/>
      <c r="BI763" t="inlineStr"/>
      <c r="BJ763" t="inlineStr"/>
      <c r="BK763" t="inlineStr"/>
      <c r="BL763" t="inlineStr"/>
      <c r="BM763" t="inlineStr">
        <is>
          <t>n</t>
        </is>
      </c>
      <c r="BN763" t="n">
        <v>0</v>
      </c>
      <c r="BO763" t="inlineStr"/>
      <c r="BP763" t="inlineStr"/>
      <c r="BQ763" t="inlineStr"/>
      <c r="BR763" t="inlineStr">
        <is>
          <t>x</t>
        </is>
      </c>
      <c r="BS763" t="inlineStr"/>
      <c r="BT763" t="inlineStr"/>
      <c r="BU763" t="inlineStr"/>
      <c r="BV763" t="inlineStr"/>
      <c r="BW763" t="inlineStr"/>
      <c r="BX763" t="inlineStr"/>
      <c r="BY763" t="inlineStr"/>
      <c r="BZ763" t="inlineStr"/>
      <c r="CA763" t="inlineStr"/>
      <c r="CB763" t="inlineStr"/>
      <c r="CC763" t="inlineStr"/>
      <c r="CD763" t="inlineStr"/>
      <c r="CE763" t="inlineStr"/>
      <c r="CF763" t="inlineStr"/>
      <c r="CG763" t="inlineStr"/>
      <c r="CH763" t="inlineStr"/>
      <c r="CI763" t="inlineStr"/>
      <c r="CJ763" t="inlineStr"/>
      <c r="CK763" t="inlineStr"/>
      <c r="CL763" t="inlineStr"/>
      <c r="CM763" t="inlineStr"/>
      <c r="CN763" t="inlineStr"/>
      <c r="CO763" t="inlineStr"/>
      <c r="CP763" t="inlineStr"/>
      <c r="CQ763" t="inlineStr"/>
      <c r="CR763" t="inlineStr"/>
      <c r="CS763" t="inlineStr"/>
      <c r="CT763" t="inlineStr"/>
      <c r="CU763" t="inlineStr"/>
      <c r="CV763" t="inlineStr"/>
      <c r="CW763" t="inlineStr"/>
      <c r="CX763" t="inlineStr"/>
      <c r="CY763" t="inlineStr"/>
      <c r="CZ763" t="inlineStr"/>
      <c r="DA763" t="inlineStr"/>
      <c r="DB763" t="inlineStr"/>
      <c r="DC763" t="inlineStr"/>
      <c r="DD763" t="inlineStr"/>
      <c r="DE763" t="inlineStr"/>
      <c r="DF763" t="inlineStr"/>
      <c r="DG763" t="inlineStr"/>
    </row>
    <row r="764">
      <c r="A764" t="inlineStr">
        <is>
          <t>III</t>
        </is>
      </c>
      <c r="B764" t="b">
        <v>0</v>
      </c>
      <c r="C764" t="inlineStr"/>
      <c r="D764" t="inlineStr"/>
      <c r="E764" t="n">
        <v>857</v>
      </c>
      <c r="F764">
        <f>HYPERLINK("https://portal.dnb.de/opac.htm?method=simpleSearch&amp;cqlMode=true&amp;query=idn%3D99391909X", "Portal")</f>
        <v/>
      </c>
      <c r="G764" t="inlineStr"/>
      <c r="H764" t="inlineStr">
        <is>
          <t>L-1516-154007579</t>
        </is>
      </c>
      <c r="I764" t="inlineStr">
        <is>
          <t>99391909X</t>
        </is>
      </c>
      <c r="J764" t="inlineStr"/>
      <c r="K764" t="inlineStr"/>
      <c r="L764" t="inlineStr">
        <is>
          <t>III 91, 1</t>
        </is>
      </c>
      <c r="M764" t="inlineStr"/>
      <c r="N764" t="inlineStr"/>
      <c r="O764" t="inlineStr"/>
      <c r="P764" t="inlineStr"/>
      <c r="Q764" t="inlineStr"/>
      <c r="R764" t="inlineStr"/>
      <c r="S764" t="inlineStr">
        <is>
          <t>bis 25 cm</t>
        </is>
      </c>
      <c r="T764" t="inlineStr"/>
      <c r="U764" t="inlineStr"/>
      <c r="V764" t="inlineStr"/>
      <c r="W764" t="inlineStr"/>
      <c r="X764" t="inlineStr"/>
      <c r="Y764" t="inlineStr"/>
      <c r="Z764" t="inlineStr"/>
      <c r="AA764" t="inlineStr"/>
      <c r="AB764" t="inlineStr"/>
      <c r="AC764" t="inlineStr"/>
      <c r="AD764" t="inlineStr"/>
      <c r="AE764" t="inlineStr"/>
      <c r="AF764" t="inlineStr"/>
      <c r="AG764" t="inlineStr"/>
      <c r="AH764" t="inlineStr"/>
      <c r="AI764" t="inlineStr">
        <is>
          <t>L</t>
        </is>
      </c>
      <c r="AJ764" t="inlineStr"/>
      <c r="AK764" t="inlineStr"/>
      <c r="AL764" t="inlineStr">
        <is>
          <t>x</t>
        </is>
      </c>
      <c r="AM764" t="inlineStr">
        <is>
          <t>f</t>
        </is>
      </c>
      <c r="AN764" t="inlineStr"/>
      <c r="AO764" t="inlineStr"/>
      <c r="AP764" t="inlineStr"/>
      <c r="AQ764" t="inlineStr"/>
      <c r="AR764" t="inlineStr"/>
      <c r="AS764" t="inlineStr">
        <is>
          <t>Pa</t>
        </is>
      </c>
      <c r="AT764" t="inlineStr"/>
      <c r="AU764" t="inlineStr"/>
      <c r="AV764" t="inlineStr"/>
      <c r="AW764" t="inlineStr"/>
      <c r="AX764" t="inlineStr"/>
      <c r="AY764" t="inlineStr"/>
      <c r="AZ764" t="inlineStr"/>
      <c r="BA764" t="inlineStr"/>
      <c r="BB764" t="inlineStr"/>
      <c r="BC764" t="inlineStr"/>
      <c r="BD764" t="inlineStr"/>
      <c r="BE764" t="n">
        <v>2</v>
      </c>
      <c r="BF764" t="inlineStr"/>
      <c r="BG764" t="n">
        <v>110</v>
      </c>
      <c r="BH764" t="inlineStr"/>
      <c r="BI764" t="inlineStr"/>
      <c r="BJ764" t="inlineStr"/>
      <c r="BK764" t="inlineStr"/>
      <c r="BL764" t="inlineStr"/>
      <c r="BM764" t="inlineStr">
        <is>
          <t>n</t>
        </is>
      </c>
      <c r="BN764" t="n">
        <v>0</v>
      </c>
      <c r="BO764" t="inlineStr"/>
      <c r="BP764" t="inlineStr">
        <is>
          <t>Gewebe</t>
        </is>
      </c>
      <c r="BQ764" t="inlineStr"/>
      <c r="BR764" t="inlineStr"/>
      <c r="BS764" t="inlineStr"/>
      <c r="BT764" t="inlineStr"/>
      <c r="BU764" t="inlineStr"/>
      <c r="BV764" t="inlineStr"/>
      <c r="BW764" t="inlineStr"/>
      <c r="BX764" t="inlineStr"/>
      <c r="BY764" t="inlineStr"/>
      <c r="BZ764" t="inlineStr"/>
      <c r="CA764" t="inlineStr"/>
      <c r="CB764" t="inlineStr"/>
      <c r="CC764" t="inlineStr"/>
      <c r="CD764" t="inlineStr"/>
      <c r="CE764" t="inlineStr"/>
      <c r="CF764" t="inlineStr"/>
      <c r="CG764" t="inlineStr"/>
      <c r="CH764" t="inlineStr"/>
      <c r="CI764" t="inlineStr"/>
      <c r="CJ764" t="inlineStr"/>
      <c r="CK764" t="inlineStr"/>
      <c r="CL764" t="inlineStr"/>
      <c r="CM764" t="inlineStr"/>
      <c r="CN764" t="inlineStr"/>
      <c r="CO764" t="inlineStr"/>
      <c r="CP764" t="inlineStr"/>
      <c r="CQ764" t="inlineStr"/>
      <c r="CR764" t="inlineStr"/>
      <c r="CS764" t="inlineStr"/>
      <c r="CT764" t="inlineStr"/>
      <c r="CU764" t="inlineStr"/>
      <c r="CV764" t="inlineStr"/>
      <c r="CW764" t="inlineStr"/>
      <c r="CX764" t="inlineStr"/>
      <c r="CY764" t="inlineStr"/>
      <c r="CZ764" t="inlineStr"/>
      <c r="DA764" t="inlineStr"/>
      <c r="DB764" t="inlineStr"/>
      <c r="DC764" t="inlineStr"/>
      <c r="DD764" t="inlineStr"/>
      <c r="DE764" t="inlineStr"/>
      <c r="DF764" t="inlineStr"/>
      <c r="DG764" t="inlineStr"/>
    </row>
    <row r="765">
      <c r="A765" t="inlineStr">
        <is>
          <t>III</t>
        </is>
      </c>
      <c r="B765" t="b">
        <v>0</v>
      </c>
      <c r="C765" t="inlineStr"/>
      <c r="D765" t="inlineStr"/>
      <c r="E765" t="n">
        <v>858</v>
      </c>
      <c r="F765">
        <f>HYPERLINK("https://portal.dnb.de/opac.htm?method=simpleSearch&amp;cqlMode=true&amp;query=idn%3D993918549", "Portal")</f>
        <v/>
      </c>
      <c r="G765" t="inlineStr"/>
      <c r="H765" t="inlineStr">
        <is>
          <t>L-1516-154006947</t>
        </is>
      </c>
      <c r="I765" t="inlineStr">
        <is>
          <t>993918549</t>
        </is>
      </c>
      <c r="J765" t="inlineStr"/>
      <c r="K765" t="inlineStr"/>
      <c r="L765" t="inlineStr">
        <is>
          <t>III 91, 1</t>
        </is>
      </c>
      <c r="M765" t="inlineStr"/>
      <c r="N765" t="inlineStr"/>
      <c r="O765" t="inlineStr"/>
      <c r="P765" t="inlineStr"/>
      <c r="Q765" t="inlineStr"/>
      <c r="R765" t="inlineStr"/>
      <c r="S765" t="inlineStr"/>
      <c r="T765" t="inlineStr"/>
      <c r="U765" t="inlineStr"/>
      <c r="V765" t="inlineStr"/>
      <c r="W765" t="inlineStr"/>
      <c r="X765" t="inlineStr"/>
      <c r="Y765" t="inlineStr"/>
      <c r="Z765" t="inlineStr"/>
      <c r="AA765" t="inlineStr"/>
      <c r="AB765" t="inlineStr"/>
      <c r="AC765" t="inlineStr"/>
      <c r="AD765" t="inlineStr"/>
      <c r="AE765" t="inlineStr"/>
      <c r="AF765" t="inlineStr"/>
      <c r="AG765" t="inlineStr"/>
      <c r="AH765" t="inlineStr"/>
      <c r="AI765" t="inlineStr"/>
      <c r="AJ765" t="inlineStr"/>
      <c r="AK765" t="inlineStr"/>
      <c r="AL765" t="inlineStr"/>
      <c r="AM765" t="inlineStr"/>
      <c r="AN765" t="inlineStr"/>
      <c r="AO765" t="inlineStr"/>
      <c r="AP765" t="inlineStr"/>
      <c r="AQ765" t="inlineStr"/>
      <c r="AR765" t="inlineStr"/>
      <c r="AS765" t="inlineStr"/>
      <c r="AT765" t="inlineStr"/>
      <c r="AU765" t="inlineStr"/>
      <c r="AV765" t="inlineStr"/>
      <c r="AW765" t="inlineStr"/>
      <c r="AX765" t="inlineStr"/>
      <c r="AY765" t="inlineStr"/>
      <c r="AZ765" t="inlineStr"/>
      <c r="BA765" t="inlineStr"/>
      <c r="BB765" t="inlineStr"/>
      <c r="BC765" t="inlineStr"/>
      <c r="BD765" t="inlineStr"/>
      <c r="BE765" t="inlineStr"/>
      <c r="BF765" t="inlineStr"/>
      <c r="BG765" t="inlineStr"/>
      <c r="BH765" t="inlineStr"/>
      <c r="BI765" t="inlineStr"/>
      <c r="BJ765" t="inlineStr"/>
      <c r="BK765" t="inlineStr"/>
      <c r="BL765" t="inlineStr"/>
      <c r="BM765" t="inlineStr"/>
      <c r="BN765" t="n">
        <v>0</v>
      </c>
      <c r="BO765" t="inlineStr"/>
      <c r="BP765" t="inlineStr"/>
      <c r="BQ765" t="inlineStr"/>
      <c r="BR765" t="inlineStr"/>
      <c r="BS765" t="inlineStr"/>
      <c r="BT765" t="inlineStr"/>
      <c r="BU765" t="inlineStr"/>
      <c r="BV765" t="inlineStr"/>
      <c r="BW765" t="inlineStr"/>
      <c r="BX765" t="inlineStr"/>
      <c r="BY765" t="inlineStr"/>
      <c r="BZ765" t="inlineStr"/>
      <c r="CA765" t="inlineStr"/>
      <c r="CB765" t="inlineStr"/>
      <c r="CC765" t="inlineStr"/>
      <c r="CD765" t="inlineStr"/>
      <c r="CE765" t="inlineStr"/>
      <c r="CF765" t="inlineStr"/>
      <c r="CG765" t="inlineStr"/>
      <c r="CH765" t="inlineStr"/>
      <c r="CI765" t="inlineStr"/>
      <c r="CJ765" t="inlineStr"/>
      <c r="CK765" t="inlineStr"/>
      <c r="CL765" t="inlineStr"/>
      <c r="CM765" t="inlineStr"/>
      <c r="CN765" t="inlineStr"/>
      <c r="CO765" t="inlineStr"/>
      <c r="CP765" t="inlineStr"/>
      <c r="CQ765" t="inlineStr"/>
      <c r="CR765" t="inlineStr"/>
      <c r="CS765" t="inlineStr"/>
      <c r="CT765" t="inlineStr"/>
      <c r="CU765" t="inlineStr"/>
      <c r="CV765" t="inlineStr"/>
      <c r="CW765" t="inlineStr"/>
      <c r="CX765" t="inlineStr"/>
      <c r="CY765" t="inlineStr"/>
      <c r="CZ765" t="inlineStr"/>
      <c r="DA765" t="inlineStr"/>
      <c r="DB765" t="inlineStr"/>
      <c r="DC765" t="inlineStr"/>
      <c r="DD765" t="inlineStr"/>
      <c r="DE765" t="inlineStr"/>
      <c r="DF765" t="inlineStr"/>
      <c r="DG765" t="inlineStr"/>
    </row>
    <row r="766">
      <c r="A766" t="inlineStr">
        <is>
          <t>III</t>
        </is>
      </c>
      <c r="B766" t="b">
        <v>1</v>
      </c>
      <c r="C766" t="inlineStr"/>
      <c r="D766" t="inlineStr"/>
      <c r="E766" t="inlineStr"/>
      <c r="F766">
        <f>HYPERLINK("https://portal.dnb.de/opac.htm?method=simpleSearch&amp;cqlMode=true&amp;query=idn%3D1263056237", "Portal")</f>
        <v/>
      </c>
      <c r="G766" t="inlineStr">
        <is>
          <t>Qd</t>
        </is>
      </c>
      <c r="H766" t="inlineStr">
        <is>
          <t>L-1516-78518192X</t>
        </is>
      </c>
      <c r="I766" t="inlineStr">
        <is>
          <t>1263056237</t>
        </is>
      </c>
      <c r="J766" t="inlineStr">
        <is>
          <t>III 91, 1</t>
        </is>
      </c>
      <c r="K766" t="inlineStr">
        <is>
          <t>III 91, 1</t>
        </is>
      </c>
      <c r="L766" t="inlineStr">
        <is>
          <t>III 91, 1</t>
        </is>
      </c>
      <c r="M766" t="inlineStr"/>
      <c r="N766" t="inlineStr">
        <is>
          <t xml:space="preserve">Sammelband mit zwei Wörterbüchern von Elio Antonio Nebrija : </t>
        </is>
      </c>
      <c r="O766" t="inlineStr">
        <is>
          <t xml:space="preserve"> : </t>
        </is>
      </c>
      <c r="P766" t="inlineStr"/>
      <c r="Q766" t="inlineStr"/>
      <c r="R766" t="inlineStr"/>
      <c r="S766" t="inlineStr"/>
      <c r="T766" t="inlineStr"/>
      <c r="U766" t="inlineStr"/>
      <c r="V766" t="inlineStr"/>
      <c r="W766" t="inlineStr"/>
      <c r="X766" t="inlineStr"/>
      <c r="Y766" t="inlineStr"/>
      <c r="Z766" t="inlineStr"/>
      <c r="AA766" t="inlineStr"/>
      <c r="AB766" t="inlineStr"/>
      <c r="AC766" t="inlineStr"/>
      <c r="AD766" t="inlineStr"/>
      <c r="AE766" t="inlineStr"/>
      <c r="AF766" t="inlineStr"/>
      <c r="AG766" t="inlineStr"/>
      <c r="AH766" t="inlineStr"/>
      <c r="AI766" t="inlineStr"/>
      <c r="AJ766" t="inlineStr"/>
      <c r="AK766" t="inlineStr"/>
      <c r="AL766" t="inlineStr"/>
      <c r="AM766" t="inlineStr"/>
      <c r="AN766" t="inlineStr"/>
      <c r="AO766" t="inlineStr"/>
      <c r="AP766" t="inlineStr"/>
      <c r="AQ766" t="inlineStr"/>
      <c r="AR766" t="inlineStr"/>
      <c r="AS766" t="inlineStr"/>
      <c r="AT766" t="inlineStr"/>
      <c r="AU766" t="inlineStr"/>
      <c r="AV766" t="inlineStr"/>
      <c r="AW766" t="inlineStr"/>
      <c r="AX766" t="inlineStr"/>
      <c r="AY766" t="inlineStr"/>
      <c r="AZ766" t="inlineStr"/>
      <c r="BA766" t="inlineStr"/>
      <c r="BB766" t="inlineStr"/>
      <c r="BC766" t="inlineStr"/>
      <c r="BD766" t="inlineStr"/>
      <c r="BE766" t="inlineStr"/>
      <c r="BF766" t="inlineStr"/>
      <c r="BG766" t="inlineStr"/>
      <c r="BH766" t="inlineStr"/>
      <c r="BI766" t="inlineStr"/>
      <c r="BJ766" t="inlineStr"/>
      <c r="BK766" t="inlineStr"/>
      <c r="BL766" t="inlineStr"/>
      <c r="BM766" t="inlineStr"/>
      <c r="BN766" t="inlineStr"/>
      <c r="BO766" t="inlineStr"/>
      <c r="BP766" t="inlineStr"/>
      <c r="BQ766" t="inlineStr"/>
      <c r="BR766" t="inlineStr"/>
      <c r="BS766" t="inlineStr"/>
      <c r="BT766" t="inlineStr"/>
      <c r="BU766" t="inlineStr"/>
      <c r="BV766" t="inlineStr"/>
      <c r="BW766" t="inlineStr"/>
      <c r="BX766" t="inlineStr"/>
      <c r="BY766" t="inlineStr"/>
      <c r="BZ766" t="inlineStr"/>
      <c r="CA766" t="inlineStr"/>
      <c r="CB766" t="inlineStr"/>
      <c r="CC766" t="inlineStr"/>
      <c r="CD766" t="inlineStr"/>
      <c r="CE766" t="inlineStr"/>
      <c r="CF766" t="inlineStr"/>
      <c r="CG766" t="inlineStr"/>
      <c r="CH766" t="inlineStr"/>
      <c r="CI766" t="inlineStr"/>
      <c r="CJ766" t="inlineStr"/>
      <c r="CK766" t="inlineStr"/>
      <c r="CL766" t="inlineStr"/>
      <c r="CM766" t="inlineStr"/>
      <c r="CN766" t="inlineStr"/>
      <c r="CO766" t="inlineStr"/>
      <c r="CP766" t="inlineStr"/>
      <c r="CQ766" t="inlineStr"/>
      <c r="CR766" t="inlineStr"/>
      <c r="CS766" t="inlineStr"/>
      <c r="CT766" t="inlineStr"/>
      <c r="CU766" t="inlineStr"/>
      <c r="CV766" t="inlineStr"/>
      <c r="CW766" t="inlineStr"/>
      <c r="CX766" t="inlineStr"/>
      <c r="CY766" t="inlineStr"/>
      <c r="CZ766" t="inlineStr"/>
      <c r="DA766" t="inlineStr"/>
      <c r="DB766" t="inlineStr"/>
      <c r="DC766" t="inlineStr"/>
      <c r="DD766" t="inlineStr"/>
      <c r="DE766" t="inlineStr"/>
      <c r="DF766" t="inlineStr"/>
      <c r="DG766" t="inlineStr"/>
    </row>
    <row r="767">
      <c r="A767" t="inlineStr">
        <is>
          <t>III</t>
        </is>
      </c>
      <c r="B767" t="b">
        <v>1</v>
      </c>
      <c r="C767" t="inlineStr"/>
      <c r="D767" t="inlineStr"/>
      <c r="E767" t="n">
        <v>859</v>
      </c>
      <c r="F767">
        <f>HYPERLINK("https://portal.dnb.de/opac.htm?method=simpleSearch&amp;cqlMode=true&amp;query=idn%3D1066961980", "Portal")</f>
        <v/>
      </c>
      <c r="G767" t="inlineStr">
        <is>
          <t>Aal</t>
        </is>
      </c>
      <c r="H767" t="inlineStr">
        <is>
          <t>L-1530-315492384</t>
        </is>
      </c>
      <c r="I767" t="inlineStr">
        <is>
          <t>1066961980</t>
        </is>
      </c>
      <c r="J767" t="inlineStr">
        <is>
          <t>III 92, 1</t>
        </is>
      </c>
      <c r="K767" t="inlineStr">
        <is>
          <t>III 92, 1</t>
        </is>
      </c>
      <c r="L767" t="inlineStr">
        <is>
          <t>III 92, 1</t>
        </is>
      </c>
      <c r="M767" t="inlineStr"/>
      <c r="N767" t="inlineStr">
        <is>
          <t xml:space="preserve">ANfang: vrsprung:|| vnnd herko~men des|| Thurnirs in Teutscher nation.|| Wieuil Thurnier bisz vff den let=||sten zu Worms ...|| gehalten/ vnd|| durch </t>
        </is>
      </c>
      <c r="O767" t="inlineStr">
        <is>
          <t xml:space="preserve"> : </t>
        </is>
      </c>
      <c r="P767" t="inlineStr"/>
      <c r="Q767" t="inlineStr"/>
      <c r="R767" t="inlineStr"/>
      <c r="S767" t="inlineStr">
        <is>
          <t>bis 35 cm</t>
        </is>
      </c>
      <c r="T767" t="inlineStr"/>
      <c r="U767" t="inlineStr"/>
      <c r="V767" t="inlineStr"/>
      <c r="W767" t="inlineStr"/>
      <c r="X767" t="inlineStr"/>
      <c r="Y767" t="inlineStr"/>
      <c r="Z767" t="inlineStr"/>
      <c r="AA767" t="inlineStr"/>
      <c r="AB767" t="inlineStr"/>
      <c r="AC767" t="inlineStr"/>
      <c r="AD767" t="inlineStr"/>
      <c r="AE767" t="inlineStr"/>
      <c r="AF767" t="inlineStr"/>
      <c r="AG767" t="inlineStr"/>
      <c r="AH767" t="inlineStr"/>
      <c r="AI767" t="inlineStr">
        <is>
          <t>HD</t>
        </is>
      </c>
      <c r="AJ767" t="inlineStr"/>
      <c r="AK767" t="inlineStr">
        <is>
          <t>x</t>
        </is>
      </c>
      <c r="AL767" t="inlineStr"/>
      <c r="AM767" t="inlineStr">
        <is>
          <t>h/E</t>
        </is>
      </c>
      <c r="AN767" t="inlineStr"/>
      <c r="AO767" t="inlineStr"/>
      <c r="AP767" t="inlineStr"/>
      <c r="AQ767" t="inlineStr"/>
      <c r="AR767" t="inlineStr"/>
      <c r="AS767" t="inlineStr">
        <is>
          <t>Pa</t>
        </is>
      </c>
      <c r="AT767" t="inlineStr"/>
      <c r="AU767" t="inlineStr"/>
      <c r="AV767" t="inlineStr"/>
      <c r="AW767" t="inlineStr"/>
      <c r="AX767" t="inlineStr"/>
      <c r="AY767" t="inlineStr"/>
      <c r="AZ767" t="inlineStr"/>
      <c r="BA767" t="inlineStr"/>
      <c r="BB767" t="inlineStr"/>
      <c r="BC767" t="inlineStr"/>
      <c r="BD767" t="inlineStr"/>
      <c r="BE767" t="inlineStr"/>
      <c r="BF767" t="inlineStr"/>
      <c r="BG767" t="n">
        <v>60</v>
      </c>
      <c r="BH767" t="inlineStr"/>
      <c r="BI767" t="inlineStr"/>
      <c r="BJ767" t="inlineStr"/>
      <c r="BK767" t="inlineStr"/>
      <c r="BL767" t="inlineStr"/>
      <c r="BM767" t="inlineStr">
        <is>
          <t>n</t>
        </is>
      </c>
      <c r="BN767" t="n">
        <v>0</v>
      </c>
      <c r="BO767" t="inlineStr"/>
      <c r="BP767" t="inlineStr"/>
      <c r="BQ767" t="inlineStr"/>
      <c r="BR767" t="inlineStr">
        <is>
          <t>x</t>
        </is>
      </c>
      <c r="BS767" t="inlineStr"/>
      <c r="BT767" t="inlineStr"/>
      <c r="BU767" t="inlineStr"/>
      <c r="BV767" t="inlineStr"/>
      <c r="BW767" t="inlineStr"/>
      <c r="BX767" t="inlineStr"/>
      <c r="BY767" t="inlineStr"/>
      <c r="BZ767" t="inlineStr"/>
      <c r="CA767" t="inlineStr"/>
      <c r="CB767" t="inlineStr"/>
      <c r="CC767" t="inlineStr"/>
      <c r="CD767" t="inlineStr"/>
      <c r="CE767" t="inlineStr"/>
      <c r="CF767" t="inlineStr"/>
      <c r="CG767" t="inlineStr"/>
      <c r="CH767" t="inlineStr"/>
      <c r="CI767" t="inlineStr"/>
      <c r="CJ767" t="inlineStr"/>
      <c r="CK767" t="inlineStr"/>
      <c r="CL767" t="inlineStr"/>
      <c r="CM767" t="inlineStr"/>
      <c r="CN767" t="inlineStr"/>
      <c r="CO767" t="inlineStr"/>
      <c r="CP767" t="inlineStr"/>
      <c r="CQ767" t="inlineStr"/>
      <c r="CR767" t="inlineStr"/>
      <c r="CS767" t="inlineStr"/>
      <c r="CT767" t="inlineStr"/>
      <c r="CU767" t="inlineStr"/>
      <c r="CV767" t="inlineStr"/>
      <c r="CW767" t="inlineStr"/>
      <c r="CX767" t="inlineStr"/>
      <c r="CY767" t="inlineStr"/>
      <c r="CZ767" t="inlineStr"/>
      <c r="DA767" t="inlineStr"/>
      <c r="DB767" t="inlineStr"/>
      <c r="DC767" t="inlineStr"/>
      <c r="DD767" t="inlineStr"/>
      <c r="DE767" t="inlineStr"/>
      <c r="DF767" t="inlineStr"/>
      <c r="DG767" t="inlineStr"/>
    </row>
    <row r="768">
      <c r="A768" t="inlineStr">
        <is>
          <t>III</t>
        </is>
      </c>
      <c r="B768" t="b">
        <v>1</v>
      </c>
      <c r="C768" t="inlineStr">
        <is>
          <t>x</t>
        </is>
      </c>
      <c r="D768" t="inlineStr"/>
      <c r="E768" t="n">
        <v>860</v>
      </c>
      <c r="F768">
        <f>HYPERLINK("https://portal.dnb.de/opac.htm?method=simpleSearch&amp;cqlMode=true&amp;query=idn%3D1066957894", "Portal")</f>
        <v/>
      </c>
      <c r="G768" t="inlineStr">
        <is>
          <t>Aaf</t>
        </is>
      </c>
      <c r="H768" t="inlineStr">
        <is>
          <t>L-1532-315488522</t>
        </is>
      </c>
      <c r="I768" t="inlineStr">
        <is>
          <t>1066957894</t>
        </is>
      </c>
      <c r="J768" t="inlineStr">
        <is>
          <t>III 92, 2</t>
        </is>
      </c>
      <c r="K768" t="inlineStr">
        <is>
          <t>III 92, 2</t>
        </is>
      </c>
      <c r="L768" t="inlineStr">
        <is>
          <t>III 92, 2</t>
        </is>
      </c>
      <c r="M768" t="inlineStr"/>
      <c r="N768" t="inlineStr">
        <is>
          <t>ANfang/ vrsprug|| vnd herkomen|| des Thurniers inn Teut=||scher nation. Wieuil Thurnier|| biß vff den letstenn zu Wormbs:|| ... gehalten/ vñ durch was</t>
        </is>
      </c>
      <c r="O768" t="inlineStr">
        <is>
          <t xml:space="preserve"> : </t>
        </is>
      </c>
      <c r="P768" t="inlineStr"/>
      <c r="Q768" t="inlineStr"/>
      <c r="R768" t="inlineStr"/>
      <c r="S768" t="inlineStr">
        <is>
          <t>bis 35 cm</t>
        </is>
      </c>
      <c r="T768" t="inlineStr"/>
      <c r="U768" t="inlineStr"/>
      <c r="V768" t="inlineStr"/>
      <c r="W768" t="inlineStr"/>
      <c r="X768" t="inlineStr"/>
      <c r="Y768" t="inlineStr"/>
      <c r="Z768" t="inlineStr"/>
      <c r="AA768" t="inlineStr"/>
      <c r="AB768" t="inlineStr"/>
      <c r="AC768" t="inlineStr"/>
      <c r="AD768" t="inlineStr"/>
      <c r="AE768" t="inlineStr"/>
      <c r="AF768" t="inlineStr"/>
      <c r="AG768" t="inlineStr"/>
      <c r="AH768" t="inlineStr"/>
      <c r="AI768" t="inlineStr">
        <is>
          <t>HD</t>
        </is>
      </c>
      <c r="AJ768" t="inlineStr"/>
      <c r="AK768" t="inlineStr">
        <is>
          <t>x</t>
        </is>
      </c>
      <c r="AL768" t="inlineStr"/>
      <c r="AM768" t="inlineStr">
        <is>
          <t>f/V</t>
        </is>
      </c>
      <c r="AN768" t="inlineStr"/>
      <c r="AO768" t="inlineStr"/>
      <c r="AP768" t="inlineStr"/>
      <c r="AQ768" t="inlineStr"/>
      <c r="AR768" t="inlineStr"/>
      <c r="AS768" t="inlineStr">
        <is>
          <t>Pa</t>
        </is>
      </c>
      <c r="AT768" t="inlineStr"/>
      <c r="AU768" t="inlineStr"/>
      <c r="AV768" t="inlineStr"/>
      <c r="AW768" t="inlineStr"/>
      <c r="AX768" t="inlineStr"/>
      <c r="AY768" t="inlineStr"/>
      <c r="AZ768" t="inlineStr"/>
      <c r="BA768" t="inlineStr"/>
      <c r="BB768" t="inlineStr"/>
      <c r="BC768" t="inlineStr">
        <is>
          <t>K</t>
        </is>
      </c>
      <c r="BD768" t="inlineStr">
        <is>
          <t>x</t>
        </is>
      </c>
      <c r="BE768" t="n">
        <v>0</v>
      </c>
      <c r="BF768" t="inlineStr">
        <is>
          <t>x</t>
        </is>
      </c>
      <c r="BG768" t="n">
        <v>110</v>
      </c>
      <c r="BH768" t="inlineStr"/>
      <c r="BI768" t="inlineStr"/>
      <c r="BJ768" t="inlineStr"/>
      <c r="BK768" t="inlineStr"/>
      <c r="BL768" t="inlineStr"/>
      <c r="BM768" t="inlineStr">
        <is>
          <t>ja vor</t>
        </is>
      </c>
      <c r="BN768" t="n">
        <v>3.5</v>
      </c>
      <c r="BO768" t="inlineStr"/>
      <c r="BP768" t="inlineStr"/>
      <c r="BQ768" t="inlineStr"/>
      <c r="BR768" t="inlineStr">
        <is>
          <t>x</t>
        </is>
      </c>
      <c r="BS768" t="inlineStr"/>
      <c r="BT768" t="inlineStr"/>
      <c r="BU768" t="inlineStr"/>
      <c r="BV768" t="inlineStr"/>
      <c r="BW768" t="inlineStr"/>
      <c r="BX768" t="inlineStr"/>
      <c r="BY768" t="inlineStr"/>
      <c r="BZ768" t="inlineStr"/>
      <c r="CA768" t="inlineStr">
        <is>
          <t>x</t>
        </is>
      </c>
      <c r="CB768" t="inlineStr">
        <is>
          <t>x</t>
        </is>
      </c>
      <c r="CC768" t="inlineStr"/>
      <c r="CD768" t="inlineStr">
        <is>
          <t>v/h</t>
        </is>
      </c>
      <c r="CE768" t="inlineStr"/>
      <c r="CF768" t="inlineStr"/>
      <c r="CG768" t="inlineStr"/>
      <c r="CH768" t="inlineStr"/>
      <c r="CI768" t="inlineStr"/>
      <c r="CJ768" t="inlineStr"/>
      <c r="CK768" t="inlineStr"/>
      <c r="CL768" t="inlineStr"/>
      <c r="CM768" t="n">
        <v>3.5</v>
      </c>
      <c r="CN768" t="inlineStr">
        <is>
          <t>JP+Gewebe unterlegen</t>
        </is>
      </c>
      <c r="CO768" t="inlineStr"/>
      <c r="CP768" t="inlineStr"/>
      <c r="CQ768" t="inlineStr"/>
      <c r="CR768" t="inlineStr"/>
      <c r="CS768" t="inlineStr"/>
      <c r="CT768" t="inlineStr"/>
      <c r="CU768" t="inlineStr"/>
      <c r="CV768" t="inlineStr"/>
      <c r="CW768" t="inlineStr"/>
      <c r="CX768" t="inlineStr"/>
      <c r="CY768" t="inlineStr"/>
      <c r="CZ768" t="inlineStr"/>
      <c r="DA768" t="inlineStr"/>
      <c r="DB768" t="inlineStr"/>
      <c r="DC768" t="inlineStr"/>
      <c r="DD768" t="inlineStr"/>
      <c r="DE768" t="inlineStr"/>
      <c r="DF768" t="inlineStr"/>
      <c r="DG768" t="inlineStr"/>
    </row>
    <row r="769">
      <c r="A769" t="inlineStr">
        <is>
          <t>III</t>
        </is>
      </c>
      <c r="B769" t="b">
        <v>1</v>
      </c>
      <c r="C769" t="inlineStr"/>
      <c r="D769" t="inlineStr"/>
      <c r="E769" t="n">
        <v>861</v>
      </c>
      <c r="F769">
        <f>HYPERLINK("https://portal.dnb.de/opac.htm?method=simpleSearch&amp;cqlMode=true&amp;query=idn%3D1066957894", "Portal")</f>
        <v/>
      </c>
      <c r="G769" t="inlineStr">
        <is>
          <t>Aaf</t>
        </is>
      </c>
      <c r="H769" t="inlineStr">
        <is>
          <t>L-1532-315488530</t>
        </is>
      </c>
      <c r="I769" t="inlineStr">
        <is>
          <t>1066957894</t>
        </is>
      </c>
      <c r="J769" t="inlineStr">
        <is>
          <t>III 92, 3</t>
        </is>
      </c>
      <c r="K769" t="inlineStr">
        <is>
          <t>III 92, 3</t>
        </is>
      </c>
      <c r="L769" t="inlineStr">
        <is>
          <t>III 92, 3</t>
        </is>
      </c>
      <c r="M769" t="inlineStr"/>
      <c r="N769" t="inlineStr">
        <is>
          <t>ANfang/ vrsprug|| vnd herkomen|| des Thurniers inn Teut=||scher nation. Wieuil Thurnier|| biß vff den letstenn zu Wormbs:|| ... gehalten/ vñ durch was</t>
        </is>
      </c>
      <c r="O769" t="inlineStr">
        <is>
          <t xml:space="preserve"> : </t>
        </is>
      </c>
      <c r="P769" t="inlineStr"/>
      <c r="Q769" t="inlineStr"/>
      <c r="R769" t="inlineStr"/>
      <c r="S769" t="inlineStr">
        <is>
          <t>bis 35 cm</t>
        </is>
      </c>
      <c r="T769" t="inlineStr"/>
      <c r="U769" t="inlineStr"/>
      <c r="V769" t="inlineStr"/>
      <c r="W769" t="inlineStr"/>
      <c r="X769" t="inlineStr"/>
      <c r="Y769" t="inlineStr"/>
      <c r="Z769" t="inlineStr"/>
      <c r="AA769" t="inlineStr"/>
      <c r="AB769" t="inlineStr"/>
      <c r="AC769" t="inlineStr"/>
      <c r="AD769" t="inlineStr"/>
      <c r="AE769" t="inlineStr"/>
      <c r="AF769" t="inlineStr"/>
      <c r="AG769" t="inlineStr"/>
      <c r="AH769" t="inlineStr"/>
      <c r="AI769" t="inlineStr">
        <is>
          <t>HG</t>
        </is>
      </c>
      <c r="AJ769" t="inlineStr"/>
      <c r="AK769" t="inlineStr"/>
      <c r="AL769" t="inlineStr"/>
      <c r="AM769" t="inlineStr">
        <is>
          <t>h/E</t>
        </is>
      </c>
      <c r="AN769" t="inlineStr"/>
      <c r="AO769" t="inlineStr"/>
      <c r="AP769" t="inlineStr"/>
      <c r="AQ769" t="inlineStr"/>
      <c r="AR769" t="inlineStr"/>
      <c r="AS769" t="inlineStr">
        <is>
          <t>Pa</t>
        </is>
      </c>
      <c r="AT769" t="inlineStr"/>
      <c r="AU769" t="inlineStr"/>
      <c r="AV769" t="inlineStr"/>
      <c r="AW769" t="inlineStr"/>
      <c r="AX769" t="inlineStr"/>
      <c r="AY769" t="inlineStr"/>
      <c r="AZ769" t="inlineStr"/>
      <c r="BA769" t="inlineStr"/>
      <c r="BB769" t="inlineStr"/>
      <c r="BC769" t="inlineStr"/>
      <c r="BD769" t="inlineStr"/>
      <c r="BE769" t="inlineStr"/>
      <c r="BF769" t="inlineStr"/>
      <c r="BG769" t="n">
        <v>110</v>
      </c>
      <c r="BH769" t="inlineStr"/>
      <c r="BI769" t="inlineStr"/>
      <c r="BJ769" t="inlineStr"/>
      <c r="BK769" t="inlineStr"/>
      <c r="BL769" t="inlineStr"/>
      <c r="BM769" t="inlineStr">
        <is>
          <t>n</t>
        </is>
      </c>
      <c r="BN769" t="n">
        <v>0</v>
      </c>
      <c r="BO769" t="inlineStr"/>
      <c r="BP769" t="inlineStr"/>
      <c r="BQ769" t="inlineStr"/>
      <c r="BR769" t="inlineStr"/>
      <c r="BS769" t="inlineStr"/>
      <c r="BT769" t="inlineStr"/>
      <c r="BU769" t="inlineStr"/>
      <c r="BV769" t="inlineStr"/>
      <c r="BW769" t="inlineStr"/>
      <c r="BX769" t="inlineStr"/>
      <c r="BY769" t="inlineStr"/>
      <c r="BZ769" t="inlineStr"/>
      <c r="CA769" t="inlineStr"/>
      <c r="CB769" t="inlineStr"/>
      <c r="CC769" t="inlineStr"/>
      <c r="CD769" t="inlineStr"/>
      <c r="CE769" t="inlineStr"/>
      <c r="CF769" t="inlineStr"/>
      <c r="CG769" t="inlineStr"/>
      <c r="CH769" t="inlineStr"/>
      <c r="CI769" t="inlineStr"/>
      <c r="CJ769" t="inlineStr"/>
      <c r="CK769" t="inlineStr"/>
      <c r="CL769" t="inlineStr"/>
      <c r="CM769" t="inlineStr"/>
      <c r="CN769" t="inlineStr"/>
      <c r="CO769" t="inlineStr"/>
      <c r="CP769" t="inlineStr"/>
      <c r="CQ769" t="inlineStr"/>
      <c r="CR769" t="inlineStr"/>
      <c r="CS769" t="inlineStr"/>
      <c r="CT769" t="inlineStr"/>
      <c r="CU769" t="inlineStr"/>
      <c r="CV769" t="inlineStr"/>
      <c r="CW769" t="inlineStr"/>
      <c r="CX769" t="inlineStr"/>
      <c r="CY769" t="inlineStr"/>
      <c r="CZ769" t="inlineStr"/>
      <c r="DA769" t="inlineStr"/>
      <c r="DB769" t="inlineStr"/>
      <c r="DC769" t="inlineStr"/>
      <c r="DD769" t="inlineStr"/>
      <c r="DE769" t="inlineStr"/>
      <c r="DF769" t="inlineStr"/>
      <c r="DG769" t="inlineStr"/>
    </row>
    <row r="770">
      <c r="A770" t="inlineStr">
        <is>
          <t>III</t>
        </is>
      </c>
      <c r="B770" t="b">
        <v>1</v>
      </c>
      <c r="C770" t="inlineStr"/>
      <c r="D770" t="inlineStr"/>
      <c r="E770" t="n">
        <v>862</v>
      </c>
      <c r="F770">
        <f>HYPERLINK("https://portal.dnb.de/opac.htm?method=simpleSearch&amp;cqlMode=true&amp;query=idn%3D1066960496", "Portal")</f>
        <v/>
      </c>
      <c r="G770" t="inlineStr">
        <is>
          <t>Aaf</t>
        </is>
      </c>
      <c r="H770" t="inlineStr">
        <is>
          <t>L-1538-315490985</t>
        </is>
      </c>
      <c r="I770" t="inlineStr">
        <is>
          <t>1066960496</t>
        </is>
      </c>
      <c r="J770" t="inlineStr">
        <is>
          <t>III 93, 1</t>
        </is>
      </c>
      <c r="K770" t="inlineStr">
        <is>
          <t>III 93, 1</t>
        </is>
      </c>
      <c r="L770" t="inlineStr">
        <is>
          <t>III 93, 1</t>
        </is>
      </c>
      <c r="M770" t="inlineStr"/>
      <c r="N770" t="inlineStr">
        <is>
          <t xml:space="preserve">AENEAE|| SILVII SENENSIS DE BO-||hemorum origine, ac gestis historia, uariaru rerum nar-||rationem complectens. Cui copiosus acceßit in-||dex ...|| : </t>
        </is>
      </c>
      <c r="O770" t="inlineStr">
        <is>
          <t xml:space="preserve"> : </t>
        </is>
      </c>
      <c r="P770" t="inlineStr"/>
      <c r="Q770" t="inlineStr"/>
      <c r="R770" t="inlineStr"/>
      <c r="S770" t="inlineStr">
        <is>
          <t>bis 25 cm</t>
        </is>
      </c>
      <c r="T770" t="inlineStr"/>
      <c r="U770" t="inlineStr"/>
      <c r="V770" t="inlineStr"/>
      <c r="W770" t="inlineStr"/>
      <c r="X770" t="inlineStr"/>
      <c r="Y770" t="inlineStr"/>
      <c r="Z770" t="inlineStr"/>
      <c r="AA770" t="inlineStr"/>
      <c r="AB770" t="inlineStr"/>
      <c r="AC770" t="inlineStr"/>
      <c r="AD770" t="inlineStr"/>
      <c r="AE770" t="inlineStr"/>
      <c r="AF770" t="inlineStr"/>
      <c r="AG770" t="inlineStr"/>
      <c r="AH770" t="inlineStr"/>
      <c r="AI770" t="inlineStr">
        <is>
          <t>Pa</t>
        </is>
      </c>
      <c r="AJ770" t="inlineStr"/>
      <c r="AK770" t="inlineStr"/>
      <c r="AL770" t="inlineStr"/>
      <c r="AM770" t="inlineStr">
        <is>
          <t>h/E</t>
        </is>
      </c>
      <c r="AN770" t="inlineStr"/>
      <c r="AO770" t="inlineStr"/>
      <c r="AP770" t="inlineStr"/>
      <c r="AQ770" t="inlineStr"/>
      <c r="AR770" t="inlineStr"/>
      <c r="AS770" t="inlineStr">
        <is>
          <t>Pa</t>
        </is>
      </c>
      <c r="AT770" t="inlineStr"/>
      <c r="AU770" t="inlineStr"/>
      <c r="AV770" t="inlineStr"/>
      <c r="AW770" t="inlineStr"/>
      <c r="AX770" t="inlineStr"/>
      <c r="AY770" t="inlineStr"/>
      <c r="AZ770" t="inlineStr"/>
      <c r="BA770" t="inlineStr"/>
      <c r="BB770" t="inlineStr"/>
      <c r="BC770" t="inlineStr"/>
      <c r="BD770" t="inlineStr"/>
      <c r="BE770" t="inlineStr"/>
      <c r="BF770" t="inlineStr"/>
      <c r="BG770" t="n">
        <v>110</v>
      </c>
      <c r="BH770" t="inlineStr"/>
      <c r="BI770" t="inlineStr"/>
      <c r="BJ770" t="inlineStr"/>
      <c r="BK770" t="inlineStr"/>
      <c r="BL770" t="inlineStr"/>
      <c r="BM770" t="inlineStr">
        <is>
          <t>n</t>
        </is>
      </c>
      <c r="BN770" t="n">
        <v>0</v>
      </c>
      <c r="BO770" t="inlineStr"/>
      <c r="BP770" t="inlineStr"/>
      <c r="BQ770" t="inlineStr"/>
      <c r="BR770" t="inlineStr">
        <is>
          <t>x</t>
        </is>
      </c>
      <c r="BS770" t="inlineStr"/>
      <c r="BT770" t="inlineStr"/>
      <c r="BU770" t="inlineStr"/>
      <c r="BV770" t="inlineStr"/>
      <c r="BW770" t="inlineStr"/>
      <c r="BX770" t="inlineStr"/>
      <c r="BY770" t="inlineStr"/>
      <c r="BZ770" t="inlineStr"/>
      <c r="CA770" t="inlineStr"/>
      <c r="CB770" t="inlineStr"/>
      <c r="CC770" t="inlineStr"/>
      <c r="CD770" t="inlineStr"/>
      <c r="CE770" t="inlineStr"/>
      <c r="CF770" t="inlineStr"/>
      <c r="CG770" t="inlineStr"/>
      <c r="CH770" t="inlineStr"/>
      <c r="CI770" t="inlineStr"/>
      <c r="CJ770" t="inlineStr"/>
      <c r="CK770" t="inlineStr"/>
      <c r="CL770" t="inlineStr"/>
      <c r="CM770" t="inlineStr"/>
      <c r="CN770" t="inlineStr"/>
      <c r="CO770" t="inlineStr"/>
      <c r="CP770" t="inlineStr"/>
      <c r="CQ770" t="inlineStr"/>
      <c r="CR770" t="inlineStr"/>
      <c r="CS770" t="inlineStr"/>
      <c r="CT770" t="inlineStr"/>
      <c r="CU770" t="inlineStr"/>
      <c r="CV770" t="inlineStr"/>
      <c r="CW770" t="inlineStr"/>
      <c r="CX770" t="inlineStr"/>
      <c r="CY770" t="inlineStr"/>
      <c r="CZ770" t="inlineStr"/>
      <c r="DA770" t="inlineStr"/>
      <c r="DB770" t="inlineStr"/>
      <c r="DC770" t="inlineStr"/>
      <c r="DD770" t="inlineStr"/>
      <c r="DE770" t="inlineStr"/>
      <c r="DF770" t="inlineStr"/>
      <c r="DG770" t="inlineStr"/>
    </row>
    <row r="771">
      <c r="A771" t="inlineStr">
        <is>
          <t>III</t>
        </is>
      </c>
      <c r="B771" t="b">
        <v>1</v>
      </c>
      <c r="C771" t="inlineStr"/>
      <c r="D771" t="inlineStr"/>
      <c r="E771" t="n">
        <v>863</v>
      </c>
      <c r="F771">
        <f>HYPERLINK("https://portal.dnb.de/opac.htm?method=simpleSearch&amp;cqlMode=true&amp;query=idn%3D106693858X", "Portal")</f>
        <v/>
      </c>
      <c r="G771" t="inlineStr">
        <is>
          <t>Aaf</t>
        </is>
      </c>
      <c r="H771" t="inlineStr">
        <is>
          <t>L-1539-315466340</t>
        </is>
      </c>
      <c r="I771" t="inlineStr">
        <is>
          <t>106693858X</t>
        </is>
      </c>
      <c r="J771" t="inlineStr">
        <is>
          <t>III 93, 2</t>
        </is>
      </c>
      <c r="K771" t="inlineStr">
        <is>
          <t>III 93, 2</t>
        </is>
      </c>
      <c r="L771" t="inlineStr">
        <is>
          <t>III 93, 2</t>
        </is>
      </c>
      <c r="M771" t="inlineStr"/>
      <c r="N771" t="inlineStr">
        <is>
          <t>POLYANTHEA|| OPVS SVAVISSIMIS FLORIBVS EXORNATVM,|| authore Dominico Nano Mirabellio.Ciue Albense,artium´q;|| doctore,ad communem Reipublicae literari</t>
        </is>
      </c>
      <c r="O771" t="inlineStr">
        <is>
          <t xml:space="preserve"> : </t>
        </is>
      </c>
      <c r="P771" t="inlineStr"/>
      <c r="Q771" t="inlineStr"/>
      <c r="R771" t="inlineStr"/>
      <c r="S771" t="inlineStr">
        <is>
          <t>bis 35 cm</t>
        </is>
      </c>
      <c r="T771" t="inlineStr"/>
      <c r="U771" t="inlineStr"/>
      <c r="V771" t="inlineStr"/>
      <c r="W771" t="inlineStr"/>
      <c r="X771" t="inlineStr"/>
      <c r="Y771" t="inlineStr"/>
      <c r="Z771" t="inlineStr"/>
      <c r="AA771" t="inlineStr"/>
      <c r="AB771" t="inlineStr"/>
      <c r="AC771" t="inlineStr"/>
      <c r="AD771" t="inlineStr"/>
      <c r="AE771" t="inlineStr"/>
      <c r="AF771" t="inlineStr"/>
      <c r="AG771" t="inlineStr"/>
      <c r="AH771" t="inlineStr"/>
      <c r="AI771" t="inlineStr">
        <is>
          <t>HL</t>
        </is>
      </c>
      <c r="AJ771" t="inlineStr"/>
      <c r="AK771" t="inlineStr">
        <is>
          <t>x</t>
        </is>
      </c>
      <c r="AL771" t="inlineStr"/>
      <c r="AM771" t="inlineStr">
        <is>
          <t>h/E</t>
        </is>
      </c>
      <c r="AN771" t="inlineStr"/>
      <c r="AO771" t="inlineStr"/>
      <c r="AP771" t="inlineStr"/>
      <c r="AQ771" t="inlineStr"/>
      <c r="AR771" t="inlineStr"/>
      <c r="AS771" t="inlineStr">
        <is>
          <t>Pa</t>
        </is>
      </c>
      <c r="AT771" t="inlineStr"/>
      <c r="AU771" t="inlineStr"/>
      <c r="AV771" t="inlineStr"/>
      <c r="AW771" t="inlineStr"/>
      <c r="AX771" t="inlineStr"/>
      <c r="AY771" t="inlineStr"/>
      <c r="AZ771" t="inlineStr"/>
      <c r="BA771" t="inlineStr"/>
      <c r="BB771" t="inlineStr"/>
      <c r="BC771" t="inlineStr"/>
      <c r="BD771" t="inlineStr"/>
      <c r="BE771" t="inlineStr"/>
      <c r="BF771" t="inlineStr"/>
      <c r="BG771" t="n">
        <v>60</v>
      </c>
      <c r="BH771" t="inlineStr"/>
      <c r="BI771" t="inlineStr"/>
      <c r="BJ771" t="inlineStr"/>
      <c r="BK771" t="inlineStr"/>
      <c r="BL771" t="inlineStr"/>
      <c r="BM771" t="inlineStr">
        <is>
          <t>n</t>
        </is>
      </c>
      <c r="BN771" t="n">
        <v>0</v>
      </c>
      <c r="BO771" t="inlineStr"/>
      <c r="BP771" t="inlineStr"/>
      <c r="BQ771" t="inlineStr"/>
      <c r="BR771" t="inlineStr"/>
      <c r="BS771" t="inlineStr"/>
      <c r="BT771" t="inlineStr"/>
      <c r="BU771" t="inlineStr"/>
      <c r="BV771" t="inlineStr"/>
      <c r="BW771" t="inlineStr"/>
      <c r="BX771" t="inlineStr"/>
      <c r="BY771" t="inlineStr"/>
      <c r="BZ771" t="inlineStr"/>
      <c r="CA771" t="inlineStr"/>
      <c r="CB771" t="inlineStr"/>
      <c r="CC771" t="inlineStr"/>
      <c r="CD771" t="inlineStr"/>
      <c r="CE771" t="inlineStr"/>
      <c r="CF771" t="inlineStr"/>
      <c r="CG771" t="inlineStr"/>
      <c r="CH771" t="inlineStr"/>
      <c r="CI771" t="inlineStr"/>
      <c r="CJ771" t="inlineStr"/>
      <c r="CK771" t="inlineStr"/>
      <c r="CL771" t="inlineStr"/>
      <c r="CM771" t="inlineStr"/>
      <c r="CN771" t="inlineStr"/>
      <c r="CO771" t="inlineStr"/>
      <c r="CP771" t="inlineStr"/>
      <c r="CQ771" t="inlineStr"/>
      <c r="CR771" t="inlineStr"/>
      <c r="CS771" t="inlineStr"/>
      <c r="CT771" t="inlineStr"/>
      <c r="CU771" t="inlineStr"/>
      <c r="CV771" t="inlineStr"/>
      <c r="CW771" t="inlineStr"/>
      <c r="CX771" t="inlineStr"/>
      <c r="CY771" t="inlineStr"/>
      <c r="CZ771" t="inlineStr"/>
      <c r="DA771" t="inlineStr"/>
      <c r="DB771" t="inlineStr"/>
      <c r="DC771" t="inlineStr"/>
      <c r="DD771" t="inlineStr"/>
      <c r="DE771" t="inlineStr"/>
      <c r="DF771" t="inlineStr"/>
      <c r="DG771" t="inlineStr"/>
    </row>
    <row r="772">
      <c r="A772" t="inlineStr">
        <is>
          <t>III</t>
        </is>
      </c>
      <c r="B772" t="b">
        <v>1</v>
      </c>
      <c r="C772" t="inlineStr"/>
      <c r="D772" t="inlineStr"/>
      <c r="E772" t="n">
        <v>864</v>
      </c>
      <c r="F772">
        <f>HYPERLINK("https://portal.dnb.de/opac.htm?method=simpleSearch&amp;cqlMode=true&amp;query=idn%3D1066942420", "Portal")</f>
        <v/>
      </c>
      <c r="G772" t="inlineStr">
        <is>
          <t>Aaf</t>
        </is>
      </c>
      <c r="H772" t="inlineStr">
        <is>
          <t>L-1540-315470054</t>
        </is>
      </c>
      <c r="I772" t="inlineStr">
        <is>
          <t>1066942420</t>
        </is>
      </c>
      <c r="J772" t="inlineStr">
        <is>
          <t>III 93, 3</t>
        </is>
      </c>
      <c r="K772" t="inlineStr">
        <is>
          <t>III 93, 3</t>
        </is>
      </c>
      <c r="L772" t="inlineStr">
        <is>
          <t>III 93, 3</t>
        </is>
      </c>
      <c r="M772" t="inlineStr"/>
      <c r="N772" t="inlineStr">
        <is>
          <t xml:space="preserve">HOMERI|| ILIAS AD VERBVM|| translata, Andrea Diuo|| Iustinopolitano|| interprete.|| : </t>
        </is>
      </c>
      <c r="O772" t="inlineStr">
        <is>
          <t xml:space="preserve"> : </t>
        </is>
      </c>
      <c r="P772" t="inlineStr"/>
      <c r="Q772" t="inlineStr"/>
      <c r="R772" t="inlineStr"/>
      <c r="S772" t="inlineStr">
        <is>
          <t>bis 25 cm</t>
        </is>
      </c>
      <c r="T772" t="inlineStr"/>
      <c r="U772" t="inlineStr"/>
      <c r="V772" t="inlineStr"/>
      <c r="W772" t="inlineStr"/>
      <c r="X772" t="inlineStr"/>
      <c r="Y772" t="inlineStr"/>
      <c r="Z772" t="inlineStr"/>
      <c r="AA772" t="inlineStr"/>
      <c r="AB772" t="inlineStr"/>
      <c r="AC772" t="inlineStr"/>
      <c r="AD772" t="inlineStr"/>
      <c r="AE772" t="inlineStr"/>
      <c r="AF772" t="inlineStr"/>
      <c r="AG772" t="inlineStr"/>
      <c r="AH772" t="inlineStr">
        <is>
          <t>x</t>
        </is>
      </c>
      <c r="AI772" t="inlineStr">
        <is>
          <t>G</t>
        </is>
      </c>
      <c r="AJ772" t="inlineStr"/>
      <c r="AK772" t="inlineStr">
        <is>
          <t>x</t>
        </is>
      </c>
      <c r="AL772" t="inlineStr"/>
      <c r="AM772" t="inlineStr">
        <is>
          <t>h/E</t>
        </is>
      </c>
      <c r="AN772" t="inlineStr"/>
      <c r="AO772" t="inlineStr"/>
      <c r="AP772" t="inlineStr"/>
      <c r="AQ772" t="inlineStr"/>
      <c r="AR772" t="inlineStr"/>
      <c r="AS772" t="inlineStr">
        <is>
          <t>Pa</t>
        </is>
      </c>
      <c r="AT772" t="inlineStr"/>
      <c r="AU772" t="inlineStr"/>
      <c r="AV772" t="inlineStr"/>
      <c r="AW772" t="inlineStr"/>
      <c r="AX772" t="inlineStr"/>
      <c r="AY772" t="inlineStr"/>
      <c r="AZ772" t="inlineStr"/>
      <c r="BA772" t="inlineStr"/>
      <c r="BB772" t="inlineStr"/>
      <c r="BC772" t="inlineStr"/>
      <c r="BD772" t="inlineStr"/>
      <c r="BE772" t="inlineStr"/>
      <c r="BF772" t="inlineStr"/>
      <c r="BG772" t="n">
        <v>110</v>
      </c>
      <c r="BH772" t="inlineStr"/>
      <c r="BI772" t="inlineStr"/>
      <c r="BJ772" t="inlineStr"/>
      <c r="BK772" t="inlineStr"/>
      <c r="BL772" t="inlineStr"/>
      <c r="BM772" t="inlineStr">
        <is>
          <t>n</t>
        </is>
      </c>
      <c r="BN772" t="n">
        <v>0</v>
      </c>
      <c r="BO772" t="inlineStr"/>
      <c r="BP772" t="inlineStr"/>
      <c r="BQ772" t="inlineStr"/>
      <c r="BR772" t="inlineStr"/>
      <c r="BS772" t="inlineStr"/>
      <c r="BT772" t="inlineStr"/>
      <c r="BU772" t="inlineStr"/>
      <c r="BV772" t="inlineStr"/>
      <c r="BW772" t="inlineStr"/>
      <c r="BX772" t="inlineStr"/>
      <c r="BY772" t="inlineStr"/>
      <c r="BZ772" t="inlineStr"/>
      <c r="CA772" t="inlineStr"/>
      <c r="CB772" t="inlineStr"/>
      <c r="CC772" t="inlineStr"/>
      <c r="CD772" t="inlineStr"/>
      <c r="CE772" t="inlineStr"/>
      <c r="CF772" t="inlineStr"/>
      <c r="CG772" t="inlineStr"/>
      <c r="CH772" t="inlineStr"/>
      <c r="CI772" t="inlineStr"/>
      <c r="CJ772" t="inlineStr"/>
      <c r="CK772" t="inlineStr"/>
      <c r="CL772" t="inlineStr"/>
      <c r="CM772" t="inlineStr"/>
      <c r="CN772" t="inlineStr"/>
      <c r="CO772" t="inlineStr"/>
      <c r="CP772" t="inlineStr"/>
      <c r="CQ772" t="inlineStr"/>
      <c r="CR772" t="inlineStr"/>
      <c r="CS772" t="inlineStr"/>
      <c r="CT772" t="inlineStr"/>
      <c r="CU772" t="inlineStr"/>
      <c r="CV772" t="inlineStr"/>
      <c r="CW772" t="inlineStr"/>
      <c r="CX772" t="inlineStr"/>
      <c r="CY772" t="inlineStr"/>
      <c r="CZ772" t="inlineStr"/>
      <c r="DA772" t="inlineStr"/>
      <c r="DB772" t="inlineStr"/>
      <c r="DC772" t="inlineStr"/>
      <c r="DD772" t="inlineStr"/>
      <c r="DE772" t="inlineStr"/>
      <c r="DF772" t="inlineStr"/>
      <c r="DG772" t="inlineStr"/>
    </row>
    <row r="773">
      <c r="A773" t="inlineStr">
        <is>
          <t>III</t>
        </is>
      </c>
      <c r="B773" t="b">
        <v>1</v>
      </c>
      <c r="C773" t="inlineStr"/>
      <c r="D773" t="inlineStr"/>
      <c r="E773" t="inlineStr"/>
      <c r="F773">
        <f>HYPERLINK("https://portal.dnb.de/opac.htm?method=simpleSearch&amp;cqlMode=true&amp;query=idn%3D113824290X", "Portal")</f>
        <v/>
      </c>
      <c r="G773" t="inlineStr">
        <is>
          <t>Qd</t>
        </is>
      </c>
      <c r="H773" t="inlineStr">
        <is>
          <t>L-9999-414747461</t>
        </is>
      </c>
      <c r="I773" t="inlineStr">
        <is>
          <t>113824290X</t>
        </is>
      </c>
      <c r="J773" t="inlineStr">
        <is>
          <t>III 94, 1</t>
        </is>
      </c>
      <c r="K773" t="inlineStr">
        <is>
          <t>III 94, 1</t>
        </is>
      </c>
      <c r="L773" t="inlineStr">
        <is>
          <t>III 94, 1</t>
        </is>
      </c>
      <c r="M773" t="inlineStr"/>
      <c r="N773" t="inlineStr">
        <is>
          <t xml:space="preserve">Sammelband : </t>
        </is>
      </c>
      <c r="O773" t="inlineStr">
        <is>
          <t xml:space="preserve"> : </t>
        </is>
      </c>
      <c r="P773" t="inlineStr"/>
      <c r="Q773" t="inlineStr"/>
      <c r="R773" t="inlineStr"/>
      <c r="S773" t="inlineStr">
        <is>
          <t>bis 35 cm</t>
        </is>
      </c>
      <c r="T773" t="inlineStr"/>
      <c r="U773" t="inlineStr"/>
      <c r="V773" t="inlineStr"/>
      <c r="W773" t="inlineStr"/>
      <c r="X773" t="inlineStr"/>
      <c r="Y773" t="inlineStr"/>
      <c r="Z773" t="inlineStr"/>
      <c r="AA773" t="inlineStr"/>
      <c r="AB773" t="inlineStr"/>
      <c r="AC773" t="inlineStr"/>
      <c r="AD773" t="inlineStr"/>
      <c r="AE773" t="inlineStr"/>
      <c r="AF773" t="inlineStr"/>
      <c r="AG773" t="inlineStr"/>
      <c r="AH773" t="inlineStr"/>
      <c r="AI773" t="inlineStr">
        <is>
          <t>Pg</t>
        </is>
      </c>
      <c r="AJ773" t="inlineStr"/>
      <c r="AK773" t="inlineStr"/>
      <c r="AL773" t="inlineStr">
        <is>
          <t>x</t>
        </is>
      </c>
      <c r="AM773" t="inlineStr">
        <is>
          <t>h/E</t>
        </is>
      </c>
      <c r="AN773" t="inlineStr">
        <is>
          <t>x</t>
        </is>
      </c>
      <c r="AO773" t="inlineStr"/>
      <c r="AP773" t="inlineStr"/>
      <c r="AQ773" t="inlineStr"/>
      <c r="AR773" t="inlineStr"/>
      <c r="AS773" t="inlineStr">
        <is>
          <t>Pa</t>
        </is>
      </c>
      <c r="AT773" t="inlineStr"/>
      <c r="AU773" t="inlineStr"/>
      <c r="AV773" t="inlineStr"/>
      <c r="AW773" t="inlineStr"/>
      <c r="AX773" t="inlineStr"/>
      <c r="AY773" t="inlineStr"/>
      <c r="AZ773" t="inlineStr"/>
      <c r="BA773" t="inlineStr"/>
      <c r="BB773" t="inlineStr"/>
      <c r="BC773" t="inlineStr"/>
      <c r="BD773" t="inlineStr"/>
      <c r="BE773" t="inlineStr"/>
      <c r="BF773" t="inlineStr"/>
      <c r="BG773" t="n">
        <v>110</v>
      </c>
      <c r="BH773" t="inlineStr"/>
      <c r="BI773" t="inlineStr"/>
      <c r="BJ773" t="inlineStr"/>
      <c r="BK773" t="inlineStr"/>
      <c r="BL773" t="inlineStr"/>
      <c r="BM773" t="inlineStr">
        <is>
          <t>n</t>
        </is>
      </c>
      <c r="BN773" t="n">
        <v>0</v>
      </c>
      <c r="BO773" t="inlineStr"/>
      <c r="BP773" t="inlineStr">
        <is>
          <t>Gewebe</t>
        </is>
      </c>
      <c r="BQ773" t="inlineStr"/>
      <c r="BR773" t="inlineStr"/>
      <c r="BS773" t="inlineStr"/>
      <c r="BT773" t="inlineStr"/>
      <c r="BU773" t="inlineStr"/>
      <c r="BV773" t="inlineStr"/>
      <c r="BW773" t="inlineStr">
        <is>
          <t>x 110</t>
        </is>
      </c>
      <c r="BX773" t="inlineStr"/>
      <c r="BY773" t="inlineStr"/>
      <c r="BZ773" t="inlineStr"/>
      <c r="CA773" t="inlineStr"/>
      <c r="CB773" t="inlineStr"/>
      <c r="CC773" t="inlineStr"/>
      <c r="CD773" t="inlineStr"/>
      <c r="CE773" t="inlineStr"/>
      <c r="CF773" t="inlineStr"/>
      <c r="CG773" t="inlineStr"/>
      <c r="CH773" t="inlineStr"/>
      <c r="CI773" t="inlineStr"/>
      <c r="CJ773" t="inlineStr"/>
      <c r="CK773" t="inlineStr"/>
      <c r="CL773" t="inlineStr"/>
      <c r="CM773" t="inlineStr"/>
      <c r="CN773" t="inlineStr"/>
      <c r="CO773" t="inlineStr"/>
      <c r="CP773" t="inlineStr"/>
      <c r="CQ773" t="inlineStr"/>
      <c r="CR773" t="inlineStr"/>
      <c r="CS773" t="inlineStr"/>
      <c r="CT773" t="inlineStr"/>
      <c r="CU773" t="inlineStr"/>
      <c r="CV773" t="inlineStr"/>
      <c r="CW773" t="inlineStr"/>
      <c r="CX773" t="inlineStr"/>
      <c r="CY773" t="inlineStr"/>
      <c r="CZ773" t="inlineStr"/>
      <c r="DA773" t="inlineStr"/>
      <c r="DB773" t="inlineStr"/>
      <c r="DC773" t="inlineStr"/>
      <c r="DD773" t="inlineStr"/>
      <c r="DE773" t="inlineStr"/>
      <c r="DF773" t="inlineStr"/>
      <c r="DG773" t="inlineStr"/>
    </row>
    <row r="774">
      <c r="A774" t="inlineStr">
        <is>
          <t>III</t>
        </is>
      </c>
      <c r="B774" t="b">
        <v>1</v>
      </c>
      <c r="C774" t="inlineStr">
        <is>
          <t>x</t>
        </is>
      </c>
      <c r="D774" t="inlineStr"/>
      <c r="E774" t="n">
        <v>867</v>
      </c>
      <c r="F774">
        <f>HYPERLINK("https://portal.dnb.de/opac.htm?method=simpleSearch&amp;cqlMode=true&amp;query=idn%3D1066961832", "Portal")</f>
        <v/>
      </c>
      <c r="G774" t="inlineStr">
        <is>
          <t>Aaf</t>
        </is>
      </c>
      <c r="H774" t="inlineStr">
        <is>
          <t>L-1501-315492236</t>
        </is>
      </c>
      <c r="I774" t="inlineStr">
        <is>
          <t>1066961832</t>
        </is>
      </c>
      <c r="J774" t="inlineStr">
        <is>
          <t>III 95, 1</t>
        </is>
      </c>
      <c r="K774" t="inlineStr">
        <is>
          <t>III 95, 1</t>
        </is>
      </c>
      <c r="L774" t="inlineStr">
        <is>
          <t>III 95, 1</t>
        </is>
      </c>
      <c r="M774" t="inlineStr"/>
      <c r="N774" t="inlineStr">
        <is>
          <t>Theologia naturalis siue li||ber creaturarum specialiter|| de homine et de natura eius in quantum homo: et de his que|| sunt ei necessaria ad cognosce</t>
        </is>
      </c>
      <c r="O774" t="inlineStr">
        <is>
          <t xml:space="preserve"> : </t>
        </is>
      </c>
      <c r="P774" t="inlineStr"/>
      <c r="Q774" t="inlineStr"/>
      <c r="R774" t="inlineStr"/>
      <c r="S774" t="inlineStr">
        <is>
          <t>bis 35 cm</t>
        </is>
      </c>
      <c r="T774" t="inlineStr"/>
      <c r="U774" t="inlineStr"/>
      <c r="V774" t="inlineStr"/>
      <c r="W774" t="inlineStr"/>
      <c r="X774" t="inlineStr"/>
      <c r="Y774" t="inlineStr"/>
      <c r="Z774" t="inlineStr"/>
      <c r="AA774" t="inlineStr"/>
      <c r="AB774" t="inlineStr"/>
      <c r="AC774" t="inlineStr"/>
      <c r="AD774" t="inlineStr"/>
      <c r="AE774" t="inlineStr"/>
      <c r="AF774" t="inlineStr"/>
      <c r="AG774" t="inlineStr"/>
      <c r="AH774" t="inlineStr"/>
      <c r="AI774" t="inlineStr">
        <is>
          <t>HD</t>
        </is>
      </c>
      <c r="AJ774" t="inlineStr"/>
      <c r="AK774" t="inlineStr">
        <is>
          <t>x</t>
        </is>
      </c>
      <c r="AL774" t="inlineStr"/>
      <c r="AM774" t="inlineStr">
        <is>
          <t>f/V</t>
        </is>
      </c>
      <c r="AN774" t="inlineStr"/>
      <c r="AO774" t="inlineStr"/>
      <c r="AP774" t="inlineStr"/>
      <c r="AQ774" t="inlineStr"/>
      <c r="AR774" t="inlineStr"/>
      <c r="AS774" t="inlineStr">
        <is>
          <t>Pa</t>
        </is>
      </c>
      <c r="AT774" t="inlineStr"/>
      <c r="AU774" t="inlineStr"/>
      <c r="AV774" t="inlineStr"/>
      <c r="AW774" t="inlineStr"/>
      <c r="AX774" t="inlineStr"/>
      <c r="AY774" t="inlineStr"/>
      <c r="AZ774" t="inlineStr"/>
      <c r="BA774" t="inlineStr"/>
      <c r="BB774" t="inlineStr"/>
      <c r="BC774" t="inlineStr"/>
      <c r="BD774" t="inlineStr"/>
      <c r="BE774" t="inlineStr"/>
      <c r="BF774" t="inlineStr"/>
      <c r="BG774" t="n">
        <v>60</v>
      </c>
      <c r="BH774" t="inlineStr"/>
      <c r="BI774" t="inlineStr"/>
      <c r="BJ774" t="inlineStr"/>
      <c r="BK774" t="inlineStr"/>
      <c r="BL774" t="inlineStr"/>
      <c r="BM774" t="inlineStr">
        <is>
          <t>ja vor</t>
        </is>
      </c>
      <c r="BN774" t="n">
        <v>0.5</v>
      </c>
      <c r="BO774" t="inlineStr"/>
      <c r="BP774" t="inlineStr"/>
      <c r="BQ774" t="inlineStr"/>
      <c r="BR774" t="inlineStr">
        <is>
          <t>x</t>
        </is>
      </c>
      <c r="BS774" t="inlineStr"/>
      <c r="BT774" t="inlineStr"/>
      <c r="BU774" t="inlineStr"/>
      <c r="BV774" t="inlineStr"/>
      <c r="BW774" t="inlineStr"/>
      <c r="BX774" t="inlineStr"/>
      <c r="BY774" t="inlineStr"/>
      <c r="BZ774" t="inlineStr"/>
      <c r="CA774" t="inlineStr">
        <is>
          <t>x</t>
        </is>
      </c>
      <c r="CB774" t="inlineStr">
        <is>
          <t>x</t>
        </is>
      </c>
      <c r="CC774" t="inlineStr"/>
      <c r="CD774" t="inlineStr"/>
      <c r="CE774" t="inlineStr"/>
      <c r="CF774" t="inlineStr"/>
      <c r="CG774" t="inlineStr"/>
      <c r="CH774" t="inlineStr"/>
      <c r="CI774" t="inlineStr"/>
      <c r="CJ774" t="inlineStr"/>
      <c r="CK774" t="inlineStr"/>
      <c r="CL774" t="inlineStr"/>
      <c r="CM774" t="n">
        <v>0.5</v>
      </c>
      <c r="CN774" t="inlineStr"/>
      <c r="CO774" t="inlineStr"/>
      <c r="CP774" t="inlineStr"/>
      <c r="CQ774" t="inlineStr"/>
      <c r="CR774" t="inlineStr"/>
      <c r="CS774" t="inlineStr"/>
      <c r="CT774" t="inlineStr"/>
      <c r="CU774" t="inlineStr"/>
      <c r="CV774" t="inlineStr"/>
      <c r="CW774" t="inlineStr"/>
      <c r="CX774" t="inlineStr"/>
      <c r="CY774" t="inlineStr"/>
      <c r="CZ774" t="inlineStr"/>
      <c r="DA774" t="inlineStr"/>
      <c r="DB774" t="inlineStr"/>
      <c r="DC774" t="inlineStr"/>
      <c r="DD774" t="inlineStr"/>
      <c r="DE774" t="inlineStr"/>
      <c r="DF774" t="inlineStr"/>
      <c r="DG774" t="inlineStr"/>
    </row>
    <row r="775">
      <c r="A775" t="inlineStr">
        <is>
          <t>III</t>
        </is>
      </c>
      <c r="B775" t="b">
        <v>1</v>
      </c>
      <c r="C775" t="inlineStr"/>
      <c r="D775" t="inlineStr"/>
      <c r="E775" t="n">
        <v>868</v>
      </c>
      <c r="F775">
        <f>HYPERLINK("https://portal.dnb.de/opac.htm?method=simpleSearch&amp;cqlMode=true&amp;query=idn%3D1066941297", "Portal")</f>
        <v/>
      </c>
      <c r="G775" t="inlineStr">
        <is>
          <t>Aaf</t>
        </is>
      </c>
      <c r="H775" t="inlineStr">
        <is>
          <t>L-1502-315469005</t>
        </is>
      </c>
      <c r="I775" t="inlineStr">
        <is>
          <t>1066941297</t>
        </is>
      </c>
      <c r="J775" t="inlineStr">
        <is>
          <t>III 95, 2</t>
        </is>
      </c>
      <c r="K775" t="inlineStr">
        <is>
          <t>III 95, 2</t>
        </is>
      </c>
      <c r="L775" t="inlineStr">
        <is>
          <t>III 95, 2</t>
        </is>
      </c>
      <c r="M775" t="inlineStr"/>
      <c r="N775" t="inlineStr">
        <is>
          <t xml:space="preserve">FOrmulare. vnd|| Tútsch rethorica.|| : </t>
        </is>
      </c>
      <c r="O775" t="inlineStr">
        <is>
          <t xml:space="preserve"> : </t>
        </is>
      </c>
      <c r="P775" t="inlineStr"/>
      <c r="Q775" t="inlineStr"/>
      <c r="R775" t="inlineStr"/>
      <c r="S775" t="inlineStr">
        <is>
          <t>bis 35 cm</t>
        </is>
      </c>
      <c r="T775" t="inlineStr"/>
      <c r="U775" t="inlineStr"/>
      <c r="V775" t="inlineStr"/>
      <c r="W775" t="inlineStr"/>
      <c r="X775" t="inlineStr"/>
      <c r="Y775" t="inlineStr"/>
      <c r="Z775" t="inlineStr"/>
      <c r="AA775" t="inlineStr"/>
      <c r="AB775" t="inlineStr"/>
      <c r="AC775" t="inlineStr"/>
      <c r="AD775" t="inlineStr"/>
      <c r="AE775" t="inlineStr"/>
      <c r="AF775" t="inlineStr"/>
      <c r="AG775" t="inlineStr"/>
      <c r="AH775" t="inlineStr"/>
      <c r="AI775" t="inlineStr">
        <is>
          <t>G</t>
        </is>
      </c>
      <c r="AJ775" t="inlineStr"/>
      <c r="AK775" t="inlineStr">
        <is>
          <t>x</t>
        </is>
      </c>
      <c r="AL775" t="inlineStr"/>
      <c r="AM775" t="inlineStr">
        <is>
          <t>h/E</t>
        </is>
      </c>
      <c r="AN775" t="inlineStr"/>
      <c r="AO775" t="inlineStr"/>
      <c r="AP775" t="inlineStr"/>
      <c r="AQ775" t="inlineStr"/>
      <c r="AR775" t="inlineStr"/>
      <c r="AS775" t="inlineStr">
        <is>
          <t>Pa</t>
        </is>
      </c>
      <c r="AT775" t="inlineStr"/>
      <c r="AU775" t="inlineStr"/>
      <c r="AV775" t="inlineStr"/>
      <c r="AW775" t="inlineStr"/>
      <c r="AX775" t="inlineStr"/>
      <c r="AY775" t="inlineStr"/>
      <c r="AZ775" t="inlineStr"/>
      <c r="BA775" t="inlineStr"/>
      <c r="BB775" t="inlineStr"/>
      <c r="BC775" t="inlineStr"/>
      <c r="BD775" t="inlineStr"/>
      <c r="BE775" t="inlineStr"/>
      <c r="BF775" t="inlineStr"/>
      <c r="BG775" t="n">
        <v>110</v>
      </c>
      <c r="BH775" t="inlineStr"/>
      <c r="BI775" t="inlineStr"/>
      <c r="BJ775" t="inlineStr"/>
      <c r="BK775" t="inlineStr"/>
      <c r="BL775" t="inlineStr"/>
      <c r="BM775" t="inlineStr">
        <is>
          <t>n</t>
        </is>
      </c>
      <c r="BN775" t="n">
        <v>0</v>
      </c>
      <c r="BO775" t="inlineStr"/>
      <c r="BP775" t="inlineStr"/>
      <c r="BQ775" t="inlineStr"/>
      <c r="BR775" t="inlineStr">
        <is>
          <t>x</t>
        </is>
      </c>
      <c r="BS775" t="inlineStr"/>
      <c r="BT775" t="inlineStr"/>
      <c r="BU775" t="inlineStr"/>
      <c r="BV775" t="inlineStr">
        <is>
          <t>Schaden ist stabil</t>
        </is>
      </c>
      <c r="BW775" t="inlineStr"/>
      <c r="BX775" t="inlineStr"/>
      <c r="BY775" t="inlineStr"/>
      <c r="BZ775" t="inlineStr"/>
      <c r="CA775" t="inlineStr"/>
      <c r="CB775" t="inlineStr"/>
      <c r="CC775" t="inlineStr"/>
      <c r="CD775" t="inlineStr"/>
      <c r="CE775" t="inlineStr"/>
      <c r="CF775" t="inlineStr"/>
      <c r="CG775" t="inlineStr"/>
      <c r="CH775" t="inlineStr"/>
      <c r="CI775" t="inlineStr"/>
      <c r="CJ775" t="inlineStr"/>
      <c r="CK775" t="inlineStr"/>
      <c r="CL775" t="inlineStr"/>
      <c r="CM775" t="inlineStr"/>
      <c r="CN775" t="inlineStr"/>
      <c r="CO775" t="inlineStr"/>
      <c r="CP775" t="inlineStr"/>
      <c r="CQ775" t="inlineStr"/>
      <c r="CR775" t="inlineStr"/>
      <c r="CS775" t="inlineStr"/>
      <c r="CT775" t="inlineStr"/>
      <c r="CU775" t="inlineStr"/>
      <c r="CV775" t="inlineStr"/>
      <c r="CW775" t="inlineStr"/>
      <c r="CX775" t="inlineStr"/>
      <c r="CY775" t="inlineStr"/>
      <c r="CZ775" t="inlineStr"/>
      <c r="DA775" t="inlineStr"/>
      <c r="DB775" t="inlineStr"/>
      <c r="DC775" t="inlineStr"/>
      <c r="DD775" t="inlineStr"/>
      <c r="DE775" t="inlineStr"/>
      <c r="DF775" t="inlineStr"/>
      <c r="DG775" t="inlineStr"/>
    </row>
    <row r="776">
      <c r="A776" t="inlineStr">
        <is>
          <t>III</t>
        </is>
      </c>
      <c r="B776" t="b">
        <v>1</v>
      </c>
      <c r="C776" t="inlineStr"/>
      <c r="D776" t="inlineStr"/>
      <c r="E776" t="n">
        <v>869</v>
      </c>
      <c r="F776">
        <f>HYPERLINK("https://portal.dnb.de/opac.htm?method=simpleSearch&amp;cqlMode=true&amp;query=idn%3D1066873445", "Portal")</f>
        <v/>
      </c>
      <c r="G776" t="inlineStr">
        <is>
          <t>Aaf</t>
        </is>
      </c>
      <c r="H776" t="inlineStr">
        <is>
          <t>L-1503-315331259</t>
        </is>
      </c>
      <c r="I776" t="inlineStr">
        <is>
          <t>1066873445</t>
        </is>
      </c>
      <c r="J776" t="inlineStr">
        <is>
          <t>III 95, 3</t>
        </is>
      </c>
      <c r="K776" t="inlineStr">
        <is>
          <t>III 95, 3</t>
        </is>
      </c>
      <c r="L776" t="inlineStr">
        <is>
          <t>III 95, 3</t>
        </is>
      </c>
      <c r="M776" t="inlineStr"/>
      <c r="N776" t="inlineStr">
        <is>
          <t xml:space="preserve">Margarita poetica.|| ...|| : </t>
        </is>
      </c>
      <c r="O776" t="inlineStr">
        <is>
          <t xml:space="preserve"> : </t>
        </is>
      </c>
      <c r="P776" t="inlineStr"/>
      <c r="Q776" t="inlineStr"/>
      <c r="R776" t="inlineStr"/>
      <c r="S776" t="inlineStr">
        <is>
          <t>bis 25 cm</t>
        </is>
      </c>
      <c r="T776" t="inlineStr"/>
      <c r="U776" t="inlineStr"/>
      <c r="V776" t="inlineStr"/>
      <c r="W776" t="inlineStr"/>
      <c r="X776" t="inlineStr"/>
      <c r="Y776" t="inlineStr"/>
      <c r="Z776" t="inlineStr"/>
      <c r="AA776" t="inlineStr"/>
      <c r="AB776" t="inlineStr"/>
      <c r="AC776" t="inlineStr"/>
      <c r="AD776" t="inlineStr"/>
      <c r="AE776" t="inlineStr"/>
      <c r="AF776" t="inlineStr"/>
      <c r="AG776" t="inlineStr"/>
      <c r="AH776" t="inlineStr"/>
      <c r="AI776" t="inlineStr">
        <is>
          <t>HD</t>
        </is>
      </c>
      <c r="AJ776" t="inlineStr"/>
      <c r="AK776" t="inlineStr"/>
      <c r="AL776" t="inlineStr">
        <is>
          <t>x</t>
        </is>
      </c>
      <c r="AM776" t="inlineStr">
        <is>
          <t>f</t>
        </is>
      </c>
      <c r="AN776" t="inlineStr"/>
      <c r="AO776" t="inlineStr"/>
      <c r="AP776" t="inlineStr"/>
      <c r="AQ776" t="inlineStr"/>
      <c r="AR776" t="inlineStr"/>
      <c r="AS776" t="inlineStr">
        <is>
          <t>Pa</t>
        </is>
      </c>
      <c r="AT776" t="inlineStr"/>
      <c r="AU776" t="inlineStr"/>
      <c r="AV776" t="inlineStr"/>
      <c r="AW776" t="inlineStr"/>
      <c r="AX776" t="inlineStr">
        <is>
          <t>x</t>
        </is>
      </c>
      <c r="AY776" t="inlineStr"/>
      <c r="AZ776" t="inlineStr"/>
      <c r="BA776" t="inlineStr"/>
      <c r="BB776" t="inlineStr"/>
      <c r="BC776" t="inlineStr"/>
      <c r="BD776" t="inlineStr"/>
      <c r="BE776" t="inlineStr"/>
      <c r="BF776" t="inlineStr"/>
      <c r="BG776" t="n">
        <v>110</v>
      </c>
      <c r="BH776" t="inlineStr"/>
      <c r="BI776" t="inlineStr"/>
      <c r="BJ776" t="inlineStr"/>
      <c r="BK776" t="inlineStr"/>
      <c r="BL776" t="inlineStr"/>
      <c r="BM776" t="inlineStr">
        <is>
          <t>n</t>
        </is>
      </c>
      <c r="BN776" t="n">
        <v>0</v>
      </c>
      <c r="BO776" t="inlineStr"/>
      <c r="BP776" t="inlineStr">
        <is>
          <t>Gewebe</t>
        </is>
      </c>
      <c r="BQ776" t="inlineStr"/>
      <c r="BR776" t="inlineStr"/>
      <c r="BS776" t="inlineStr"/>
      <c r="BT776" t="inlineStr"/>
      <c r="BU776" t="inlineStr"/>
      <c r="BV776" t="inlineStr"/>
      <c r="BW776" t="inlineStr"/>
      <c r="BX776" t="inlineStr"/>
      <c r="BY776" t="inlineStr"/>
      <c r="BZ776" t="inlineStr"/>
      <c r="CA776" t="inlineStr"/>
      <c r="CB776" t="inlineStr"/>
      <c r="CC776" t="inlineStr"/>
      <c r="CD776" t="inlineStr"/>
      <c r="CE776" t="inlineStr"/>
      <c r="CF776" t="inlineStr"/>
      <c r="CG776" t="inlineStr"/>
      <c r="CH776" t="inlineStr"/>
      <c r="CI776" t="inlineStr"/>
      <c r="CJ776" t="inlineStr"/>
      <c r="CK776" t="inlineStr"/>
      <c r="CL776" t="inlineStr"/>
      <c r="CM776" t="inlineStr"/>
      <c r="CN776" t="inlineStr"/>
      <c r="CO776" t="inlineStr"/>
      <c r="CP776" t="inlineStr"/>
      <c r="CQ776" t="inlineStr"/>
      <c r="CR776" t="inlineStr"/>
      <c r="CS776" t="inlineStr"/>
      <c r="CT776" t="inlineStr"/>
      <c r="CU776" t="inlineStr"/>
      <c r="CV776" t="inlineStr"/>
      <c r="CW776" t="inlineStr"/>
      <c r="CX776" t="inlineStr"/>
      <c r="CY776" t="inlineStr"/>
      <c r="CZ776" t="inlineStr"/>
      <c r="DA776" t="inlineStr"/>
      <c r="DB776" t="inlineStr"/>
      <c r="DC776" t="inlineStr"/>
      <c r="DD776" t="inlineStr"/>
      <c r="DE776" t="inlineStr"/>
      <c r="DF776" t="inlineStr"/>
      <c r="DG776" t="inlineStr"/>
    </row>
    <row r="777">
      <c r="A777" t="inlineStr">
        <is>
          <t>III</t>
        </is>
      </c>
      <c r="B777" t="b">
        <v>1</v>
      </c>
      <c r="C777" t="inlineStr"/>
      <c r="D777" t="inlineStr"/>
      <c r="E777" t="n">
        <v>934</v>
      </c>
      <c r="F777">
        <f>HYPERLINK("https://portal.dnb.de/opac.htm?method=simpleSearch&amp;cqlMode=true&amp;query=idn%3D1002498287", "Portal")</f>
        <v/>
      </c>
      <c r="G777" t="inlineStr">
        <is>
          <t>Aal</t>
        </is>
      </c>
      <c r="H777" t="inlineStr">
        <is>
          <t>L-1503-177481706</t>
        </is>
      </c>
      <c r="I777" t="inlineStr">
        <is>
          <t>1002498287</t>
        </is>
      </c>
      <c r="J777" t="inlineStr">
        <is>
          <t>III 95, 3a</t>
        </is>
      </c>
      <c r="K777" t="inlineStr">
        <is>
          <t>III 95, 3a</t>
        </is>
      </c>
      <c r="L777" t="inlineStr">
        <is>
          <t>III 95, 3 a</t>
        </is>
      </c>
      <c r="M777" t="inlineStr"/>
      <c r="N777" t="inlineStr">
        <is>
          <t>Concordia curatorum:|| #[et] fratrum mendicantiũ|| Carmen elegiacum deplangens discordiam &amp; dis/||ssensionem christianorum cuiuscun#[que] status dig||</t>
        </is>
      </c>
      <c r="O777" t="inlineStr">
        <is>
          <t xml:space="preserve"> : </t>
        </is>
      </c>
      <c r="P777" t="inlineStr"/>
      <c r="Q777" t="inlineStr"/>
      <c r="R777" t="inlineStr"/>
      <c r="S777" t="inlineStr">
        <is>
          <t>bis 25 cm</t>
        </is>
      </c>
      <c r="T777" t="inlineStr"/>
      <c r="U777" t="inlineStr"/>
      <c r="V777" t="inlineStr"/>
      <c r="W777" t="inlineStr"/>
      <c r="X777" t="inlineStr"/>
      <c r="Y777" t="inlineStr"/>
      <c r="Z777" t="inlineStr"/>
      <c r="AA777" t="inlineStr"/>
      <c r="AB777" t="inlineStr"/>
      <c r="AC777" t="inlineStr"/>
      <c r="AD777" t="inlineStr"/>
      <c r="AE777" t="inlineStr"/>
      <c r="AF777" t="inlineStr"/>
      <c r="AG777" t="inlineStr"/>
      <c r="AH777" t="inlineStr"/>
      <c r="AI777" t="inlineStr">
        <is>
          <t>HPg</t>
        </is>
      </c>
      <c r="AJ777" t="inlineStr"/>
      <c r="AK777" t="inlineStr"/>
      <c r="AL777" t="inlineStr"/>
      <c r="AM777" t="inlineStr">
        <is>
          <t>h/E</t>
        </is>
      </c>
      <c r="AN777" t="inlineStr"/>
      <c r="AO777" t="inlineStr"/>
      <c r="AP777" t="inlineStr"/>
      <c r="AQ777" t="inlineStr"/>
      <c r="AR777" t="inlineStr"/>
      <c r="AS777" t="inlineStr">
        <is>
          <t>Pa</t>
        </is>
      </c>
      <c r="AT777" t="inlineStr"/>
      <c r="AU777" t="inlineStr"/>
      <c r="AV777" t="inlineStr"/>
      <c r="AW777" t="inlineStr"/>
      <c r="AX777" t="inlineStr"/>
      <c r="AY777" t="inlineStr"/>
      <c r="AZ777" t="inlineStr"/>
      <c r="BA777" t="inlineStr"/>
      <c r="BB777" t="inlineStr"/>
      <c r="BC777" t="inlineStr"/>
      <c r="BD777" t="inlineStr"/>
      <c r="BE777" t="inlineStr"/>
      <c r="BF777" t="inlineStr"/>
      <c r="BG777" t="n">
        <v>110</v>
      </c>
      <c r="BH777" t="inlineStr"/>
      <c r="BI777" t="inlineStr"/>
      <c r="BJ777" t="inlineStr"/>
      <c r="BK777" t="inlineStr"/>
      <c r="BL777" t="inlineStr"/>
      <c r="BM777" t="inlineStr">
        <is>
          <t>n</t>
        </is>
      </c>
      <c r="BN777" t="n">
        <v>0</v>
      </c>
      <c r="BO777" t="inlineStr"/>
      <c r="BP777" t="inlineStr"/>
      <c r="BQ777" t="inlineStr"/>
      <c r="BR777" t="inlineStr"/>
      <c r="BS777" t="inlineStr"/>
      <c r="BT777" t="inlineStr"/>
      <c r="BU777" t="inlineStr"/>
      <c r="BV777" t="inlineStr"/>
      <c r="BW777" t="inlineStr"/>
      <c r="BX777" t="inlineStr"/>
      <c r="BY777" t="inlineStr"/>
      <c r="BZ777" t="inlineStr"/>
      <c r="CA777" t="inlineStr"/>
      <c r="CB777" t="inlineStr"/>
      <c r="CC777" t="inlineStr"/>
      <c r="CD777" t="inlineStr"/>
      <c r="CE777" t="inlineStr"/>
      <c r="CF777" t="inlineStr"/>
      <c r="CG777" t="inlineStr"/>
      <c r="CH777" t="inlineStr"/>
      <c r="CI777" t="inlineStr"/>
      <c r="CJ777" t="inlineStr"/>
      <c r="CK777" t="inlineStr"/>
      <c r="CL777" t="inlineStr"/>
      <c r="CM777" t="inlineStr"/>
      <c r="CN777" t="inlineStr"/>
      <c r="CO777" t="inlineStr"/>
      <c r="CP777" t="inlineStr"/>
      <c r="CQ777" t="inlineStr"/>
      <c r="CR777" t="inlineStr"/>
      <c r="CS777" t="inlineStr"/>
      <c r="CT777" t="inlineStr"/>
      <c r="CU777" t="inlineStr"/>
      <c r="CV777" t="inlineStr"/>
      <c r="CW777" t="inlineStr"/>
      <c r="CX777" t="inlineStr"/>
      <c r="CY777" t="inlineStr"/>
      <c r="CZ777" t="inlineStr"/>
      <c r="DA777" t="inlineStr"/>
      <c r="DB777" t="inlineStr"/>
      <c r="DC777" t="inlineStr"/>
      <c r="DD777" t="inlineStr"/>
      <c r="DE777" t="inlineStr"/>
      <c r="DF777" t="inlineStr"/>
      <c r="DG777" t="inlineStr"/>
    </row>
    <row r="778">
      <c r="A778" t="inlineStr">
        <is>
          <t>III</t>
        </is>
      </c>
      <c r="B778" t="b">
        <v>1</v>
      </c>
      <c r="C778" t="inlineStr"/>
      <c r="D778" t="inlineStr"/>
      <c r="E778" t="n">
        <v>870</v>
      </c>
      <c r="F778">
        <f>HYPERLINK("https://portal.dnb.de/opac.htm?method=simpleSearch&amp;cqlMode=true&amp;query=idn%3D1066962324", "Portal")</f>
        <v/>
      </c>
      <c r="G778" t="inlineStr">
        <is>
          <t>Aaf</t>
        </is>
      </c>
      <c r="H778" t="inlineStr">
        <is>
          <t>L-1507-315492724</t>
        </is>
      </c>
      <c r="I778" t="inlineStr">
        <is>
          <t>1066962324</t>
        </is>
      </c>
      <c r="J778" t="inlineStr">
        <is>
          <t>III 95, 4</t>
        </is>
      </c>
      <c r="K778" t="inlineStr">
        <is>
          <t>III 95, 4</t>
        </is>
      </c>
      <c r="L778" t="inlineStr">
        <is>
          <t>III 95, 4</t>
        </is>
      </c>
      <c r="M778" t="inlineStr"/>
      <c r="N778" t="inlineStr">
        <is>
          <t>Baptiste Mantuani|| Bucolica seu adolescentia in decem aeglogas|| diuisa: Ab Iodoco Badio Ascensio fami||liariter exposita: cum indice dictionu.|| Car</t>
        </is>
      </c>
      <c r="O778" t="inlineStr">
        <is>
          <t xml:space="preserve"> : </t>
        </is>
      </c>
      <c r="P778" t="inlineStr"/>
      <c r="Q778" t="inlineStr"/>
      <c r="R778" t="inlineStr"/>
      <c r="S778" t="inlineStr">
        <is>
          <t>bis 25 cm</t>
        </is>
      </c>
      <c r="T778" t="inlineStr"/>
      <c r="U778" t="inlineStr"/>
      <c r="V778" t="inlineStr"/>
      <c r="W778" t="inlineStr"/>
      <c r="X778" t="inlineStr"/>
      <c r="Y778" t="inlineStr"/>
      <c r="Z778" t="inlineStr"/>
      <c r="AA778" t="inlineStr"/>
      <c r="AB778" t="inlineStr"/>
      <c r="AC778" t="inlineStr"/>
      <c r="AD778" t="inlineStr"/>
      <c r="AE778" t="inlineStr"/>
      <c r="AF778" t="inlineStr"/>
      <c r="AG778" t="inlineStr"/>
      <c r="AH778" t="inlineStr"/>
      <c r="AI778" t="inlineStr">
        <is>
          <t>L</t>
        </is>
      </c>
      <c r="AJ778" t="inlineStr"/>
      <c r="AK778" t="inlineStr"/>
      <c r="AL778" t="inlineStr">
        <is>
          <t>x</t>
        </is>
      </c>
      <c r="AM778" t="inlineStr">
        <is>
          <t>f</t>
        </is>
      </c>
      <c r="AN778" t="inlineStr"/>
      <c r="AO778" t="inlineStr"/>
      <c r="AP778" t="inlineStr"/>
      <c r="AQ778" t="inlineStr"/>
      <c r="AR778" t="inlineStr"/>
      <c r="AS778" t="inlineStr">
        <is>
          <t>Pa</t>
        </is>
      </c>
      <c r="AT778" t="inlineStr"/>
      <c r="AU778" t="inlineStr"/>
      <c r="AV778" t="inlineStr"/>
      <c r="AW778" t="inlineStr"/>
      <c r="AX778" t="inlineStr"/>
      <c r="AY778" t="inlineStr"/>
      <c r="AZ778" t="inlineStr"/>
      <c r="BA778" t="inlineStr"/>
      <c r="BB778" t="inlineStr"/>
      <c r="BC778" t="inlineStr"/>
      <c r="BD778" t="inlineStr"/>
      <c r="BE778" t="inlineStr"/>
      <c r="BF778" t="inlineStr"/>
      <c r="BG778" t="n">
        <v>110</v>
      </c>
      <c r="BH778" t="inlineStr"/>
      <c r="BI778" t="inlineStr"/>
      <c r="BJ778" t="inlineStr"/>
      <c r="BK778" t="inlineStr"/>
      <c r="BL778" t="inlineStr"/>
      <c r="BM778" t="inlineStr">
        <is>
          <t>n</t>
        </is>
      </c>
      <c r="BN778" t="n">
        <v>0</v>
      </c>
      <c r="BO778" t="inlineStr"/>
      <c r="BP778" t="inlineStr">
        <is>
          <t>Gewebe</t>
        </is>
      </c>
      <c r="BQ778" t="inlineStr"/>
      <c r="BR778" t="inlineStr"/>
      <c r="BS778" t="inlineStr"/>
      <c r="BT778" t="inlineStr"/>
      <c r="BU778" t="inlineStr"/>
      <c r="BV778" t="inlineStr"/>
      <c r="BW778" t="inlineStr"/>
      <c r="BX778" t="inlineStr"/>
      <c r="BY778" t="inlineStr"/>
      <c r="BZ778" t="inlineStr"/>
      <c r="CA778" t="inlineStr"/>
      <c r="CB778" t="inlineStr"/>
      <c r="CC778" t="inlineStr"/>
      <c r="CD778" t="inlineStr"/>
      <c r="CE778" t="inlineStr"/>
      <c r="CF778" t="inlineStr"/>
      <c r="CG778" t="inlineStr"/>
      <c r="CH778" t="inlineStr"/>
      <c r="CI778" t="inlineStr"/>
      <c r="CJ778" t="inlineStr"/>
      <c r="CK778" t="inlineStr"/>
      <c r="CL778" t="inlineStr"/>
      <c r="CM778" t="inlineStr"/>
      <c r="CN778" t="inlineStr"/>
      <c r="CO778" t="inlineStr"/>
      <c r="CP778" t="inlineStr"/>
      <c r="CQ778" t="inlineStr"/>
      <c r="CR778" t="inlineStr"/>
      <c r="CS778" t="inlineStr"/>
      <c r="CT778" t="inlineStr"/>
      <c r="CU778" t="inlineStr"/>
      <c r="CV778" t="inlineStr"/>
      <c r="CW778" t="inlineStr"/>
      <c r="CX778" t="inlineStr"/>
      <c r="CY778" t="inlineStr"/>
      <c r="CZ778" t="inlineStr"/>
      <c r="DA778" t="inlineStr"/>
      <c r="DB778" t="inlineStr"/>
      <c r="DC778" t="inlineStr"/>
      <c r="DD778" t="inlineStr"/>
      <c r="DE778" t="inlineStr"/>
      <c r="DF778" t="inlineStr"/>
      <c r="DG778" t="inlineStr"/>
    </row>
    <row r="779">
      <c r="A779" t="inlineStr">
        <is>
          <t>III</t>
        </is>
      </c>
      <c r="B779" t="b">
        <v>1</v>
      </c>
      <c r="C779" t="inlineStr"/>
      <c r="D779" t="inlineStr"/>
      <c r="E779" t="n">
        <v>871</v>
      </c>
      <c r="F779">
        <f>HYPERLINK("https://portal.dnb.de/opac.htm?method=simpleSearch&amp;cqlMode=true&amp;query=idn%3D1066963231", "Portal")</f>
        <v/>
      </c>
      <c r="G779" t="inlineStr">
        <is>
          <t>Aaf</t>
        </is>
      </c>
      <c r="H779" t="inlineStr">
        <is>
          <t>L-1510-31549350X</t>
        </is>
      </c>
      <c r="I779" t="inlineStr">
        <is>
          <t>1066963231</t>
        </is>
      </c>
      <c r="J779" t="inlineStr">
        <is>
          <t>III 95, 5</t>
        </is>
      </c>
      <c r="K779" t="inlineStr">
        <is>
          <t>III 95, 5</t>
        </is>
      </c>
      <c r="L779" t="inlineStr">
        <is>
          <t>III 95, 5</t>
        </is>
      </c>
      <c r="M779" t="inlineStr"/>
      <c r="N779" t="inlineStr">
        <is>
          <t>Tranßlatzion|| oder tütschung? des hochgeachten Nico||lai von wyle: den zyten Statschriber der|| Stat Esselingen: etlicher bücher Enee sil||uij: Pogij</t>
        </is>
      </c>
      <c r="O779" t="inlineStr">
        <is>
          <t xml:space="preserve"> : </t>
        </is>
      </c>
      <c r="P779" t="inlineStr"/>
      <c r="Q779" t="inlineStr"/>
      <c r="R779" t="inlineStr"/>
      <c r="S779" t="inlineStr">
        <is>
          <t>bis 35 cm</t>
        </is>
      </c>
      <c r="T779" t="inlineStr"/>
      <c r="U779" t="inlineStr"/>
      <c r="V779" t="inlineStr"/>
      <c r="W779" t="inlineStr"/>
      <c r="X779" t="inlineStr"/>
      <c r="Y779" t="inlineStr"/>
      <c r="Z779" t="inlineStr"/>
      <c r="AA779" t="inlineStr"/>
      <c r="AB779" t="inlineStr"/>
      <c r="AC779" t="inlineStr"/>
      <c r="AD779" t="inlineStr"/>
      <c r="AE779" t="inlineStr"/>
      <c r="AF779" t="inlineStr"/>
      <c r="AG779" t="inlineStr"/>
      <c r="AH779" t="inlineStr"/>
      <c r="AI779" t="inlineStr">
        <is>
          <t>HL</t>
        </is>
      </c>
      <c r="AJ779" t="inlineStr"/>
      <c r="AK779" t="inlineStr">
        <is>
          <t>x</t>
        </is>
      </c>
      <c r="AL779" t="inlineStr">
        <is>
          <t>x</t>
        </is>
      </c>
      <c r="AM779" t="inlineStr">
        <is>
          <t>f</t>
        </is>
      </c>
      <c r="AN779" t="inlineStr"/>
      <c r="AO779" t="inlineStr"/>
      <c r="AP779" t="inlineStr"/>
      <c r="AQ779" t="inlineStr"/>
      <c r="AR779" t="inlineStr"/>
      <c r="AS779" t="inlineStr">
        <is>
          <t>Pa</t>
        </is>
      </c>
      <c r="AT779" t="inlineStr"/>
      <c r="AU779" t="inlineStr"/>
      <c r="AV779" t="inlineStr"/>
      <c r="AW779" t="inlineStr"/>
      <c r="AX779" t="inlineStr"/>
      <c r="AY779" t="inlineStr"/>
      <c r="AZ779" t="inlineStr"/>
      <c r="BA779" t="inlineStr"/>
      <c r="BB779" t="inlineStr"/>
      <c r="BC779" t="inlineStr"/>
      <c r="BD779" t="inlineStr"/>
      <c r="BE779" t="inlineStr"/>
      <c r="BF779" t="inlineStr"/>
      <c r="BG779" t="n">
        <v>80</v>
      </c>
      <c r="BH779" t="inlineStr"/>
      <c r="BI779" t="inlineStr"/>
      <c r="BJ779" t="inlineStr"/>
      <c r="BK779" t="inlineStr"/>
      <c r="BL779" t="inlineStr"/>
      <c r="BM779" t="inlineStr">
        <is>
          <t>n</t>
        </is>
      </c>
      <c r="BN779" t="n">
        <v>0</v>
      </c>
      <c r="BO779" t="inlineStr"/>
      <c r="BP779" t="inlineStr"/>
      <c r="BQ779" t="inlineStr"/>
      <c r="BR779" t="inlineStr">
        <is>
          <t>x</t>
        </is>
      </c>
      <c r="BS779" t="inlineStr"/>
      <c r="BT779" t="inlineStr"/>
      <c r="BU779" t="inlineStr"/>
      <c r="BV779" t="inlineStr"/>
      <c r="BW779" t="inlineStr"/>
      <c r="BX779" t="inlineStr"/>
      <c r="BY779" t="inlineStr"/>
      <c r="BZ779" t="inlineStr"/>
      <c r="CA779" t="inlineStr"/>
      <c r="CB779" t="inlineStr"/>
      <c r="CC779" t="inlineStr"/>
      <c r="CD779" t="inlineStr"/>
      <c r="CE779" t="inlineStr"/>
      <c r="CF779" t="inlineStr"/>
      <c r="CG779" t="inlineStr"/>
      <c r="CH779" t="inlineStr"/>
      <c r="CI779" t="inlineStr"/>
      <c r="CJ779" t="inlineStr"/>
      <c r="CK779" t="inlineStr"/>
      <c r="CL779" t="inlineStr"/>
      <c r="CM779" t="inlineStr"/>
      <c r="CN779" t="inlineStr"/>
      <c r="CO779" t="inlineStr"/>
      <c r="CP779" t="inlineStr"/>
      <c r="CQ779" t="inlineStr"/>
      <c r="CR779" t="inlineStr"/>
      <c r="CS779" t="inlineStr"/>
      <c r="CT779" t="inlineStr"/>
      <c r="CU779" t="inlineStr"/>
      <c r="CV779" t="inlineStr"/>
      <c r="CW779" t="inlineStr"/>
      <c r="CX779" t="inlineStr"/>
      <c r="CY779" t="inlineStr"/>
      <c r="CZ779" t="inlineStr"/>
      <c r="DA779" t="inlineStr"/>
      <c r="DB779" t="inlineStr"/>
      <c r="DC779" t="inlineStr"/>
      <c r="DD779" t="inlineStr"/>
      <c r="DE779" t="inlineStr"/>
      <c r="DF779" t="inlineStr"/>
      <c r="DG779" t="inlineStr"/>
    </row>
    <row r="780">
      <c r="A780" t="inlineStr">
        <is>
          <t>III</t>
        </is>
      </c>
      <c r="B780" t="b">
        <v>1</v>
      </c>
      <c r="C780" t="inlineStr"/>
      <c r="D780" t="inlineStr"/>
      <c r="E780" t="n">
        <v>872</v>
      </c>
      <c r="F780">
        <f>HYPERLINK("https://portal.dnb.de/opac.htm?method=simpleSearch&amp;cqlMode=true&amp;query=idn%3D1066964157", "Portal")</f>
        <v/>
      </c>
      <c r="G780" t="inlineStr">
        <is>
          <t>Aaf</t>
        </is>
      </c>
      <c r="H780" t="inlineStr">
        <is>
          <t>L-1512-315494379</t>
        </is>
      </c>
      <c r="I780" t="inlineStr">
        <is>
          <t>1066964157</t>
        </is>
      </c>
      <c r="J780" t="inlineStr">
        <is>
          <t>III 95, 6</t>
        </is>
      </c>
      <c r="K780" t="inlineStr">
        <is>
          <t>III 95, 6</t>
        </is>
      </c>
      <c r="L780" t="inlineStr">
        <is>
          <t>III 95, 6</t>
        </is>
      </c>
      <c r="M780" t="inlineStr"/>
      <c r="N780" t="inlineStr">
        <is>
          <t xml:space="preserve">Vocabularius|| gemma gemmaru|| nouiter impressus:|| additione#[que] multa||rum dictionum ex|| ornatus:|| : </t>
        </is>
      </c>
      <c r="O780" t="inlineStr">
        <is>
          <t xml:space="preserve"> : </t>
        </is>
      </c>
      <c r="P780" t="inlineStr"/>
      <c r="Q780" t="inlineStr"/>
      <c r="R780" t="inlineStr"/>
      <c r="S780" t="inlineStr">
        <is>
          <t>bis 25 cm</t>
        </is>
      </c>
      <c r="T780" t="inlineStr"/>
      <c r="U780" t="inlineStr"/>
      <c r="V780" t="inlineStr"/>
      <c r="W780" t="inlineStr"/>
      <c r="X780" t="inlineStr"/>
      <c r="Y780" t="inlineStr"/>
      <c r="Z780" t="inlineStr"/>
      <c r="AA780" t="inlineStr"/>
      <c r="AB780" t="inlineStr"/>
      <c r="AC780" t="inlineStr"/>
      <c r="AD780" t="inlineStr"/>
      <c r="AE780" t="inlineStr"/>
      <c r="AF780" t="inlineStr"/>
      <c r="AG780" t="inlineStr"/>
      <c r="AH780" t="inlineStr"/>
      <c r="AI780" t="inlineStr">
        <is>
          <t>G</t>
        </is>
      </c>
      <c r="AJ780" t="inlineStr"/>
      <c r="AK780" t="inlineStr">
        <is>
          <t>x</t>
        </is>
      </c>
      <c r="AL780" t="inlineStr"/>
      <c r="AM780" t="inlineStr">
        <is>
          <t>h/E</t>
        </is>
      </c>
      <c r="AN780" t="inlineStr"/>
      <c r="AO780" t="inlineStr"/>
      <c r="AP780" t="inlineStr"/>
      <c r="AQ780" t="inlineStr"/>
      <c r="AR780" t="inlineStr"/>
      <c r="AS780" t="inlineStr">
        <is>
          <t>Pa</t>
        </is>
      </c>
      <c r="AT780" t="inlineStr"/>
      <c r="AU780" t="inlineStr"/>
      <c r="AV780" t="inlineStr"/>
      <c r="AW780" t="inlineStr"/>
      <c r="AX780" t="inlineStr"/>
      <c r="AY780" t="inlineStr"/>
      <c r="AZ780" t="inlineStr"/>
      <c r="BA780" t="inlineStr"/>
      <c r="BB780" t="inlineStr"/>
      <c r="BC780" t="inlineStr"/>
      <c r="BD780" t="inlineStr"/>
      <c r="BE780" t="inlineStr"/>
      <c r="BF780" t="inlineStr"/>
      <c r="BG780" t="n">
        <v>110</v>
      </c>
      <c r="BH780" t="inlineStr"/>
      <c r="BI780" t="inlineStr"/>
      <c r="BJ780" t="inlineStr"/>
      <c r="BK780" t="inlineStr"/>
      <c r="BL780" t="inlineStr"/>
      <c r="BM780" t="inlineStr">
        <is>
          <t>n</t>
        </is>
      </c>
      <c r="BN780" t="n">
        <v>0</v>
      </c>
      <c r="BO780" t="inlineStr"/>
      <c r="BP780" t="inlineStr"/>
      <c r="BQ780" t="inlineStr"/>
      <c r="BR780" t="inlineStr">
        <is>
          <t>x</t>
        </is>
      </c>
      <c r="BS780" t="inlineStr"/>
      <c r="BT780" t="inlineStr"/>
      <c r="BU780" t="inlineStr"/>
      <c r="BV780" t="inlineStr"/>
      <c r="BW780" t="inlineStr"/>
      <c r="BX780" t="inlineStr"/>
      <c r="BY780" t="inlineStr"/>
      <c r="BZ780" t="inlineStr"/>
      <c r="CA780" t="inlineStr"/>
      <c r="CB780" t="inlineStr"/>
      <c r="CC780" t="inlineStr"/>
      <c r="CD780" t="inlineStr"/>
      <c r="CE780" t="inlineStr"/>
      <c r="CF780" t="inlineStr"/>
      <c r="CG780" t="inlineStr"/>
      <c r="CH780" t="inlineStr"/>
      <c r="CI780" t="inlineStr"/>
      <c r="CJ780" t="inlineStr"/>
      <c r="CK780" t="inlineStr"/>
      <c r="CL780" t="inlineStr"/>
      <c r="CM780" t="inlineStr"/>
      <c r="CN780" t="inlineStr"/>
      <c r="CO780" t="inlineStr"/>
      <c r="CP780" t="inlineStr"/>
      <c r="CQ780" t="inlineStr"/>
      <c r="CR780" t="inlineStr"/>
      <c r="CS780" t="inlineStr"/>
      <c r="CT780" t="inlineStr"/>
      <c r="CU780" t="inlineStr"/>
      <c r="CV780" t="inlineStr"/>
      <c r="CW780" t="inlineStr"/>
      <c r="CX780" t="inlineStr"/>
      <c r="CY780" t="inlineStr"/>
      <c r="CZ780" t="inlineStr"/>
      <c r="DA780" t="inlineStr"/>
      <c r="DB780" t="inlineStr"/>
      <c r="DC780" t="inlineStr"/>
      <c r="DD780" t="inlineStr"/>
      <c r="DE780" t="inlineStr"/>
      <c r="DF780" t="inlineStr"/>
      <c r="DG780" t="inlineStr"/>
    </row>
    <row r="781">
      <c r="A781" t="inlineStr">
        <is>
          <t>III</t>
        </is>
      </c>
      <c r="B781" t="b">
        <v>1</v>
      </c>
      <c r="C781" t="inlineStr"/>
      <c r="D781" t="inlineStr"/>
      <c r="E781" t="n">
        <v>873</v>
      </c>
      <c r="F781">
        <f>HYPERLINK("https://portal.dnb.de/opac.htm?method=simpleSearch&amp;cqlMode=true&amp;query=idn%3D1066962804", "Portal")</f>
        <v/>
      </c>
      <c r="G781" t="inlineStr">
        <is>
          <t>Aaf</t>
        </is>
      </c>
      <c r="H781" t="inlineStr">
        <is>
          <t>L-1502-315493100</t>
        </is>
      </c>
      <c r="I781" t="inlineStr">
        <is>
          <t>1066962804</t>
        </is>
      </c>
      <c r="J781" t="inlineStr">
        <is>
          <t>III 95, 7</t>
        </is>
      </c>
      <c r="K781" t="inlineStr">
        <is>
          <t>III 95, 7</t>
        </is>
      </c>
      <c r="L781" t="inlineStr">
        <is>
          <t>III 95, 7</t>
        </is>
      </c>
      <c r="M781" t="inlineStr"/>
      <c r="N781" t="inlineStr">
        <is>
          <t>Publij Virgilij marõis opera.||(cu cõm?tariis Seruii Mauri honorati grãmatici: Aelii Donati: Christofori Lan=||dini: Antonii Mancinelli &amp; Domicii Cald</t>
        </is>
      </c>
      <c r="O781" t="inlineStr">
        <is>
          <t xml:space="preserve"> : </t>
        </is>
      </c>
      <c r="P781" t="inlineStr"/>
      <c r="Q781" t="inlineStr"/>
      <c r="R781" t="inlineStr"/>
      <c r="S781" t="inlineStr">
        <is>
          <t>bis 35 cm</t>
        </is>
      </c>
      <c r="T781" t="inlineStr"/>
      <c r="U781" t="inlineStr"/>
      <c r="V781" t="inlineStr"/>
      <c r="W781" t="inlineStr"/>
      <c r="X781" t="inlineStr"/>
      <c r="Y781" t="inlineStr"/>
      <c r="Z781" t="inlineStr"/>
      <c r="AA781" t="inlineStr"/>
      <c r="AB781" t="inlineStr"/>
      <c r="AC781" t="inlineStr"/>
      <c r="AD781" t="inlineStr"/>
      <c r="AE781" t="inlineStr"/>
      <c r="AF781" t="inlineStr"/>
      <c r="AG781" t="inlineStr"/>
      <c r="AH781" t="inlineStr"/>
      <c r="AI781" t="inlineStr">
        <is>
          <t>HD</t>
        </is>
      </c>
      <c r="AJ781" t="inlineStr"/>
      <c r="AK781" t="inlineStr"/>
      <c r="AL781" t="inlineStr">
        <is>
          <t>x</t>
        </is>
      </c>
      <c r="AM781" t="inlineStr">
        <is>
          <t>f</t>
        </is>
      </c>
      <c r="AN781" t="inlineStr"/>
      <c r="AO781" t="inlineStr"/>
      <c r="AP781" t="inlineStr"/>
      <c r="AQ781" t="inlineStr"/>
      <c r="AR781" t="inlineStr"/>
      <c r="AS781" t="inlineStr">
        <is>
          <t>Pa</t>
        </is>
      </c>
      <c r="AT781" t="inlineStr"/>
      <c r="AU781" t="inlineStr"/>
      <c r="AV781" t="inlineStr"/>
      <c r="AW781" t="inlineStr"/>
      <c r="AX781" t="inlineStr"/>
      <c r="AY781" t="inlineStr"/>
      <c r="AZ781" t="inlineStr"/>
      <c r="BA781" t="inlineStr"/>
      <c r="BB781" t="inlineStr"/>
      <c r="BC781" t="inlineStr"/>
      <c r="BD781" t="inlineStr"/>
      <c r="BE781" t="inlineStr"/>
      <c r="BF781" t="inlineStr"/>
      <c r="BG781" t="n">
        <v>110</v>
      </c>
      <c r="BH781" t="inlineStr"/>
      <c r="BI781" t="inlineStr"/>
      <c r="BJ781" t="inlineStr"/>
      <c r="BK781" t="inlineStr"/>
      <c r="BL781" t="inlineStr"/>
      <c r="BM781" t="inlineStr">
        <is>
          <t>n</t>
        </is>
      </c>
      <c r="BN781" t="n">
        <v>0</v>
      </c>
      <c r="BO781" t="inlineStr"/>
      <c r="BP781" t="inlineStr">
        <is>
          <t>Gewebe</t>
        </is>
      </c>
      <c r="BQ781" t="inlineStr"/>
      <c r="BR781" t="inlineStr"/>
      <c r="BS781" t="inlineStr"/>
      <c r="BT781" t="inlineStr"/>
      <c r="BU781" t="inlineStr"/>
      <c r="BV781" t="inlineStr"/>
      <c r="BW781" t="inlineStr"/>
      <c r="BX781" t="inlineStr"/>
      <c r="BY781" t="inlineStr"/>
      <c r="BZ781" t="inlineStr"/>
      <c r="CA781" t="inlineStr"/>
      <c r="CB781" t="inlineStr"/>
      <c r="CC781" t="inlineStr"/>
      <c r="CD781" t="inlineStr"/>
      <c r="CE781" t="inlineStr"/>
      <c r="CF781" t="inlineStr"/>
      <c r="CG781" t="inlineStr"/>
      <c r="CH781" t="inlineStr"/>
      <c r="CI781" t="inlineStr"/>
      <c r="CJ781" t="inlineStr"/>
      <c r="CK781" t="inlineStr"/>
      <c r="CL781" t="inlineStr"/>
      <c r="CM781" t="inlineStr"/>
      <c r="CN781" t="inlineStr"/>
      <c r="CO781" t="inlineStr"/>
      <c r="CP781" t="inlineStr"/>
      <c r="CQ781" t="inlineStr"/>
      <c r="CR781" t="inlineStr"/>
      <c r="CS781" t="inlineStr"/>
      <c r="CT781" t="inlineStr"/>
      <c r="CU781" t="inlineStr"/>
      <c r="CV781" t="inlineStr"/>
      <c r="CW781" t="inlineStr"/>
      <c r="CX781" t="inlineStr"/>
      <c r="CY781" t="inlineStr"/>
      <c r="CZ781" t="inlineStr"/>
      <c r="DA781" t="inlineStr"/>
      <c r="DB781" t="inlineStr"/>
      <c r="DC781" t="inlineStr"/>
      <c r="DD781" t="inlineStr"/>
      <c r="DE781" t="inlineStr"/>
      <c r="DF781" t="inlineStr"/>
      <c r="DG781" t="inlineStr"/>
    </row>
    <row r="782">
      <c r="A782" t="inlineStr">
        <is>
          <t>III</t>
        </is>
      </c>
      <c r="B782" t="b">
        <v>1</v>
      </c>
      <c r="C782" t="inlineStr"/>
      <c r="D782" t="inlineStr"/>
      <c r="E782" t="n">
        <v>876</v>
      </c>
      <c r="F782">
        <f>HYPERLINK("https://portal.dnb.de/opac.htm?method=simpleSearch&amp;cqlMode=true&amp;query=idn%3D1132647207", "Portal")</f>
        <v/>
      </c>
      <c r="G782" t="inlineStr">
        <is>
          <t>Af</t>
        </is>
      </c>
      <c r="H782" t="inlineStr">
        <is>
          <t>L-1503-406964815</t>
        </is>
      </c>
      <c r="I782" t="inlineStr">
        <is>
          <t>1132647207</t>
        </is>
      </c>
      <c r="J782" t="inlineStr">
        <is>
          <t>III 95, 8</t>
        </is>
      </c>
      <c r="K782" t="inlineStr">
        <is>
          <t>III 95, 8</t>
        </is>
      </c>
      <c r="L782" t="inlineStr">
        <is>
          <t>III 95, 8</t>
        </is>
      </c>
      <c r="M782" t="inlineStr"/>
      <c r="N782" t="inlineStr">
        <is>
          <t>Opera</t>
        </is>
      </c>
      <c r="O782" t="inlineStr">
        <is>
          <t xml:space="preserve">[1]. : </t>
        </is>
      </c>
      <c r="P782" t="inlineStr"/>
      <c r="Q782" t="inlineStr"/>
      <c r="R782" t="inlineStr"/>
      <c r="S782" t="inlineStr">
        <is>
          <t>bis 35 cm</t>
        </is>
      </c>
      <c r="T782" t="inlineStr"/>
      <c r="U782" t="inlineStr"/>
      <c r="V782" t="inlineStr"/>
      <c r="W782" t="inlineStr"/>
      <c r="X782" t="inlineStr"/>
      <c r="Y782" t="inlineStr"/>
      <c r="Z782" t="inlineStr"/>
      <c r="AA782" t="inlineStr"/>
      <c r="AB782" t="inlineStr"/>
      <c r="AC782" t="inlineStr"/>
      <c r="AD782" t="inlineStr"/>
      <c r="AE782" t="inlineStr"/>
      <c r="AF782" t="inlineStr"/>
      <c r="AG782" t="inlineStr"/>
      <c r="AH782" t="inlineStr"/>
      <c r="AI782" t="inlineStr">
        <is>
          <t>L</t>
        </is>
      </c>
      <c r="AJ782" t="inlineStr"/>
      <c r="AK782" t="inlineStr">
        <is>
          <t>x</t>
        </is>
      </c>
      <c r="AL782" t="inlineStr"/>
      <c r="AM782" t="inlineStr">
        <is>
          <t>h/E</t>
        </is>
      </c>
      <c r="AN782" t="inlineStr"/>
      <c r="AO782" t="inlineStr"/>
      <c r="AP782" t="inlineStr"/>
      <c r="AQ782" t="inlineStr"/>
      <c r="AR782" t="inlineStr"/>
      <c r="AS782" t="inlineStr">
        <is>
          <t>Pa</t>
        </is>
      </c>
      <c r="AT782" t="inlineStr"/>
      <c r="AU782" t="inlineStr"/>
      <c r="AV782" t="inlineStr"/>
      <c r="AW782" t="inlineStr"/>
      <c r="AX782" t="inlineStr"/>
      <c r="AY782" t="inlineStr"/>
      <c r="AZ782" t="inlineStr"/>
      <c r="BA782" t="inlineStr"/>
      <c r="BB782" t="inlineStr"/>
      <c r="BC782" t="inlineStr">
        <is>
          <t>I/R</t>
        </is>
      </c>
      <c r="BD782" t="inlineStr">
        <is>
          <t>x</t>
        </is>
      </c>
      <c r="BE782" t="inlineStr"/>
      <c r="BF782" t="inlineStr"/>
      <c r="BG782" t="n">
        <v>45</v>
      </c>
      <c r="BH782" t="inlineStr"/>
      <c r="BI782" t="inlineStr"/>
      <c r="BJ782" t="inlineStr"/>
      <c r="BK782" t="inlineStr"/>
      <c r="BL782" t="inlineStr"/>
      <c r="BM782" t="inlineStr">
        <is>
          <t>n</t>
        </is>
      </c>
      <c r="BN782" t="n">
        <v>0</v>
      </c>
      <c r="BO782" t="inlineStr"/>
      <c r="BP782" t="inlineStr"/>
      <c r="BQ782" t="inlineStr"/>
      <c r="BR782" t="inlineStr">
        <is>
          <t>x</t>
        </is>
      </c>
      <c r="BS782" t="inlineStr"/>
      <c r="BT782" t="inlineStr"/>
      <c r="BU782" t="inlineStr"/>
      <c r="BV782" t="inlineStr"/>
      <c r="BW782" t="inlineStr"/>
      <c r="BX782" t="inlineStr"/>
      <c r="BY782" t="inlineStr"/>
      <c r="BZ782" t="inlineStr"/>
      <c r="CA782" t="inlineStr"/>
      <c r="CB782" t="inlineStr"/>
      <c r="CC782" t="inlineStr"/>
      <c r="CD782" t="inlineStr"/>
      <c r="CE782" t="inlineStr"/>
      <c r="CF782" t="inlineStr"/>
      <c r="CG782" t="inlineStr"/>
      <c r="CH782" t="inlineStr"/>
      <c r="CI782" t="inlineStr"/>
      <c r="CJ782" t="inlineStr"/>
      <c r="CK782" t="inlineStr"/>
      <c r="CL782" t="inlineStr"/>
      <c r="CM782" t="inlineStr"/>
      <c r="CN782" t="inlineStr"/>
      <c r="CO782" t="inlineStr"/>
      <c r="CP782" t="inlineStr"/>
      <c r="CQ782" t="inlineStr"/>
      <c r="CR782" t="inlineStr"/>
      <c r="CS782" t="inlineStr"/>
      <c r="CT782" t="inlineStr"/>
      <c r="CU782" t="inlineStr"/>
      <c r="CV782" t="inlineStr"/>
      <c r="CW782" t="inlineStr"/>
      <c r="CX782" t="inlineStr"/>
      <c r="CY782" t="inlineStr"/>
      <c r="CZ782" t="inlineStr"/>
      <c r="DA782" t="inlineStr"/>
      <c r="DB782" t="inlineStr"/>
      <c r="DC782" t="inlineStr"/>
      <c r="DD782" t="inlineStr"/>
      <c r="DE782" t="inlineStr"/>
      <c r="DF782" t="inlineStr"/>
      <c r="DG782" t="inlineStr"/>
    </row>
    <row r="783">
      <c r="A783" t="inlineStr">
        <is>
          <t>III</t>
        </is>
      </c>
      <c r="B783" t="b">
        <v>1</v>
      </c>
      <c r="C783" t="inlineStr"/>
      <c r="D783" t="inlineStr"/>
      <c r="E783" t="n">
        <v>874</v>
      </c>
      <c r="F783">
        <f>HYPERLINK("https://portal.dnb.de/opac.htm?method=simpleSearch&amp;cqlMode=true&amp;query=idn%3D1132647223", "Portal")</f>
        <v/>
      </c>
      <c r="G783" t="inlineStr">
        <is>
          <t>Af</t>
        </is>
      </c>
      <c r="H783" t="inlineStr">
        <is>
          <t>L-1502-406964831</t>
        </is>
      </c>
      <c r="I783" t="inlineStr">
        <is>
          <t>1132647223</t>
        </is>
      </c>
      <c r="J783" t="inlineStr">
        <is>
          <t>III 95, 8</t>
        </is>
      </c>
      <c r="K783" t="inlineStr">
        <is>
          <t>III 95, 8</t>
        </is>
      </c>
      <c r="L783" t="inlineStr">
        <is>
          <t>III 95, 8 (angebunden)</t>
        </is>
      </c>
      <c r="M783" t="inlineStr"/>
      <c r="N783" t="inlineStr">
        <is>
          <t>Opera</t>
        </is>
      </c>
      <c r="O783" t="inlineStr">
        <is>
          <t xml:space="preserve">[3]. : </t>
        </is>
      </c>
      <c r="P783" t="inlineStr"/>
      <c r="Q783" t="inlineStr"/>
      <c r="R783" t="inlineStr"/>
      <c r="S783" t="inlineStr"/>
      <c r="T783" t="inlineStr"/>
      <c r="U783" t="inlineStr"/>
      <c r="V783" t="inlineStr"/>
      <c r="W783" t="inlineStr"/>
      <c r="X783" t="inlineStr"/>
      <c r="Y783" t="inlineStr"/>
      <c r="Z783" t="inlineStr"/>
      <c r="AA783" t="inlineStr"/>
      <c r="AB783" t="inlineStr"/>
      <c r="AC783" t="inlineStr"/>
      <c r="AD783" t="inlineStr"/>
      <c r="AE783" t="inlineStr"/>
      <c r="AF783" t="inlineStr"/>
      <c r="AG783" t="inlineStr"/>
      <c r="AH783" t="inlineStr"/>
      <c r="AI783" t="inlineStr"/>
      <c r="AJ783" t="inlineStr"/>
      <c r="AK783" t="inlineStr"/>
      <c r="AL783" t="inlineStr"/>
      <c r="AM783" t="inlineStr"/>
      <c r="AN783" t="inlineStr"/>
      <c r="AO783" t="inlineStr"/>
      <c r="AP783" t="inlineStr"/>
      <c r="AQ783" t="inlineStr"/>
      <c r="AR783" t="inlineStr"/>
      <c r="AS783" t="inlineStr"/>
      <c r="AT783" t="inlineStr"/>
      <c r="AU783" t="inlineStr"/>
      <c r="AV783" t="inlineStr"/>
      <c r="AW783" t="inlineStr"/>
      <c r="AX783" t="inlineStr"/>
      <c r="AY783" t="inlineStr"/>
      <c r="AZ783" t="inlineStr"/>
      <c r="BA783" t="inlineStr"/>
      <c r="BB783" t="inlineStr"/>
      <c r="BC783" t="inlineStr"/>
      <c r="BD783" t="inlineStr"/>
      <c r="BE783" t="inlineStr"/>
      <c r="BF783" t="inlineStr"/>
      <c r="BG783" t="inlineStr"/>
      <c r="BH783" t="inlineStr"/>
      <c r="BI783" t="inlineStr"/>
      <c r="BJ783" t="inlineStr"/>
      <c r="BK783" t="inlineStr"/>
      <c r="BL783" t="inlineStr"/>
      <c r="BM783" t="inlineStr"/>
      <c r="BN783" t="n">
        <v>0</v>
      </c>
      <c r="BO783" t="inlineStr"/>
      <c r="BP783" t="inlineStr"/>
      <c r="BQ783" t="inlineStr"/>
      <c r="BR783" t="inlineStr"/>
      <c r="BS783" t="inlineStr"/>
      <c r="BT783" t="inlineStr"/>
      <c r="BU783" t="inlineStr"/>
      <c r="BV783" t="inlineStr"/>
      <c r="BW783" t="inlineStr"/>
      <c r="BX783" t="inlineStr"/>
      <c r="BY783" t="inlineStr"/>
      <c r="BZ783" t="inlineStr"/>
      <c r="CA783" t="inlineStr"/>
      <c r="CB783" t="inlineStr"/>
      <c r="CC783" t="inlineStr"/>
      <c r="CD783" t="inlineStr"/>
      <c r="CE783" t="inlineStr"/>
      <c r="CF783" t="inlineStr"/>
      <c r="CG783" t="inlineStr"/>
      <c r="CH783" t="inlineStr"/>
      <c r="CI783" t="inlineStr"/>
      <c r="CJ783" t="inlineStr"/>
      <c r="CK783" t="inlineStr"/>
      <c r="CL783" t="inlineStr"/>
      <c r="CM783" t="inlineStr"/>
      <c r="CN783" t="inlineStr"/>
      <c r="CO783" t="inlineStr"/>
      <c r="CP783" t="inlineStr"/>
      <c r="CQ783" t="inlineStr"/>
      <c r="CR783" t="inlineStr"/>
      <c r="CS783" t="inlineStr"/>
      <c r="CT783" t="inlineStr"/>
      <c r="CU783" t="inlineStr"/>
      <c r="CV783" t="inlineStr"/>
      <c r="CW783" t="inlineStr"/>
      <c r="CX783" t="inlineStr"/>
      <c r="CY783" t="inlineStr"/>
      <c r="CZ783" t="inlineStr"/>
      <c r="DA783" t="inlineStr"/>
      <c r="DB783" t="inlineStr"/>
      <c r="DC783" t="inlineStr"/>
      <c r="DD783" t="inlineStr"/>
      <c r="DE783" t="inlineStr"/>
      <c r="DF783" t="inlineStr"/>
      <c r="DG783" t="inlineStr"/>
    </row>
    <row r="784">
      <c r="A784" t="inlineStr">
        <is>
          <t>III</t>
        </is>
      </c>
      <c r="B784" t="b">
        <v>1</v>
      </c>
      <c r="C784" t="inlineStr"/>
      <c r="D784" t="inlineStr"/>
      <c r="E784" t="n">
        <v>875</v>
      </c>
      <c r="F784">
        <f>HYPERLINK("https://portal.dnb.de/opac.htm?method=simpleSearch&amp;cqlMode=true&amp;query=idn%3D1132647215", "Portal")</f>
        <v/>
      </c>
      <c r="G784" t="inlineStr">
        <is>
          <t>Afl</t>
        </is>
      </c>
      <c r="H784" t="inlineStr">
        <is>
          <t>L-1502-406964823</t>
        </is>
      </c>
      <c r="I784" t="inlineStr">
        <is>
          <t>1132647215</t>
        </is>
      </c>
      <c r="J784" t="inlineStr">
        <is>
          <t>III 95, 8</t>
        </is>
      </c>
      <c r="K784" t="inlineStr">
        <is>
          <t>III 95, 8</t>
        </is>
      </c>
      <c r="L784" t="inlineStr">
        <is>
          <t>III 95, 8 (angebunden)</t>
        </is>
      </c>
      <c r="M784" t="inlineStr"/>
      <c r="N784" t="inlineStr">
        <is>
          <t>Opera</t>
        </is>
      </c>
      <c r="O784" t="inlineStr">
        <is>
          <t>[2]. : [Polycarpi martyris Smyr=||neorum episcopi...|| Ad Philippen=||ses. Epistola.||]</t>
        </is>
      </c>
      <c r="P784" t="inlineStr"/>
      <c r="Q784" t="inlineStr"/>
      <c r="R784" t="inlineStr"/>
      <c r="S784" t="inlineStr"/>
      <c r="T784" t="inlineStr"/>
      <c r="U784" t="inlineStr"/>
      <c r="V784" t="inlineStr"/>
      <c r="W784" t="inlineStr"/>
      <c r="X784" t="inlineStr"/>
      <c r="Y784" t="inlineStr"/>
      <c r="Z784" t="inlineStr"/>
      <c r="AA784" t="inlineStr"/>
      <c r="AB784" t="inlineStr"/>
      <c r="AC784" t="inlineStr"/>
      <c r="AD784" t="inlineStr"/>
      <c r="AE784" t="inlineStr"/>
      <c r="AF784" t="inlineStr"/>
      <c r="AG784" t="inlineStr"/>
      <c r="AH784" t="inlineStr"/>
      <c r="AI784" t="inlineStr"/>
      <c r="AJ784" t="inlineStr"/>
      <c r="AK784" t="inlineStr"/>
      <c r="AL784" t="inlineStr"/>
      <c r="AM784" t="inlineStr"/>
      <c r="AN784" t="inlineStr"/>
      <c r="AO784" t="inlineStr"/>
      <c r="AP784" t="inlineStr"/>
      <c r="AQ784" t="inlineStr"/>
      <c r="AR784" t="inlineStr"/>
      <c r="AS784" t="inlineStr"/>
      <c r="AT784" t="inlineStr"/>
      <c r="AU784" t="inlineStr"/>
      <c r="AV784" t="inlineStr"/>
      <c r="AW784" t="inlineStr"/>
      <c r="AX784" t="inlineStr"/>
      <c r="AY784" t="inlineStr"/>
      <c r="AZ784" t="inlineStr"/>
      <c r="BA784" t="inlineStr"/>
      <c r="BB784" t="inlineStr"/>
      <c r="BC784" t="inlineStr"/>
      <c r="BD784" t="inlineStr"/>
      <c r="BE784" t="inlineStr"/>
      <c r="BF784" t="inlineStr"/>
      <c r="BG784" t="inlineStr"/>
      <c r="BH784" t="inlineStr"/>
      <c r="BI784" t="inlineStr"/>
      <c r="BJ784" t="inlineStr"/>
      <c r="BK784" t="inlineStr"/>
      <c r="BL784" t="inlineStr"/>
      <c r="BM784" t="inlineStr"/>
      <c r="BN784" t="n">
        <v>0</v>
      </c>
      <c r="BO784" t="inlineStr"/>
      <c r="BP784" t="inlineStr"/>
      <c r="BQ784" t="inlineStr"/>
      <c r="BR784" t="inlineStr"/>
      <c r="BS784" t="inlineStr"/>
      <c r="BT784" t="inlineStr"/>
      <c r="BU784" t="inlineStr"/>
      <c r="BV784" t="inlineStr"/>
      <c r="BW784" t="inlineStr"/>
      <c r="BX784" t="inlineStr"/>
      <c r="BY784" t="inlineStr"/>
      <c r="BZ784" t="inlineStr"/>
      <c r="CA784" t="inlineStr"/>
      <c r="CB784" t="inlineStr"/>
      <c r="CC784" t="inlineStr"/>
      <c r="CD784" t="inlineStr"/>
      <c r="CE784" t="inlineStr"/>
      <c r="CF784" t="inlineStr"/>
      <c r="CG784" t="inlineStr"/>
      <c r="CH784" t="inlineStr"/>
      <c r="CI784" t="inlineStr"/>
      <c r="CJ784" t="inlineStr"/>
      <c r="CK784" t="inlineStr"/>
      <c r="CL784" t="inlineStr"/>
      <c r="CM784" t="inlineStr"/>
      <c r="CN784" t="inlineStr"/>
      <c r="CO784" t="inlineStr"/>
      <c r="CP784" t="inlineStr"/>
      <c r="CQ784" t="inlineStr"/>
      <c r="CR784" t="inlineStr"/>
      <c r="CS784" t="inlineStr"/>
      <c r="CT784" t="inlineStr"/>
      <c r="CU784" t="inlineStr"/>
      <c r="CV784" t="inlineStr"/>
      <c r="CW784" t="inlineStr"/>
      <c r="CX784" t="inlineStr"/>
      <c r="CY784" t="inlineStr"/>
      <c r="CZ784" t="inlineStr"/>
      <c r="DA784" t="inlineStr"/>
      <c r="DB784" t="inlineStr"/>
      <c r="DC784" t="inlineStr"/>
      <c r="DD784" t="inlineStr"/>
      <c r="DE784" t="inlineStr"/>
      <c r="DF784" t="inlineStr"/>
      <c r="DG784" t="inlineStr"/>
    </row>
    <row r="785">
      <c r="A785" t="inlineStr">
        <is>
          <t>III</t>
        </is>
      </c>
      <c r="B785" t="b">
        <v>1</v>
      </c>
      <c r="C785" t="inlineStr"/>
      <c r="D785" t="inlineStr"/>
      <c r="E785" t="n">
        <v>877</v>
      </c>
      <c r="F785">
        <f>HYPERLINK("https://portal.dnb.de/opac.htm?method=simpleSearch&amp;cqlMode=true&amp;query=idn%3D1066957916", "Portal")</f>
        <v/>
      </c>
      <c r="G785" t="inlineStr">
        <is>
          <t>Aaf</t>
        </is>
      </c>
      <c r="H785" t="inlineStr">
        <is>
          <t>L-1516-315488557</t>
        </is>
      </c>
      <c r="I785" t="inlineStr">
        <is>
          <t>1066957916</t>
        </is>
      </c>
      <c r="J785" t="inlineStr">
        <is>
          <t>III 95, 9</t>
        </is>
      </c>
      <c r="K785" t="inlineStr">
        <is>
          <t>III 95, 9</t>
        </is>
      </c>
      <c r="L785" t="inlineStr">
        <is>
          <t>III 95, 9</t>
        </is>
      </c>
      <c r="M785" t="inlineStr"/>
      <c r="N785" t="inlineStr">
        <is>
          <t>Die @zehẽ ge||bot in disem|| büch erclert vnd vßge||legt durch etlich hoch||berümbte lerer/ Vnd fragt der iũng||er den meister/ der lert wie man die||</t>
        </is>
      </c>
      <c r="O785" t="inlineStr">
        <is>
          <t xml:space="preserve"> : </t>
        </is>
      </c>
      <c r="P785" t="inlineStr"/>
      <c r="Q785" t="inlineStr"/>
      <c r="R785" t="inlineStr"/>
      <c r="S785" t="inlineStr">
        <is>
          <t>bis 35 cm</t>
        </is>
      </c>
      <c r="T785" t="inlineStr"/>
      <c r="U785" t="inlineStr"/>
      <c r="V785" t="inlineStr"/>
      <c r="W785" t="inlineStr"/>
      <c r="X785" t="inlineStr"/>
      <c r="Y785" t="inlineStr"/>
      <c r="Z785" t="inlineStr"/>
      <c r="AA785" t="inlineStr"/>
      <c r="AB785" t="inlineStr"/>
      <c r="AC785" t="inlineStr"/>
      <c r="AD785" t="inlineStr"/>
      <c r="AE785" t="inlineStr"/>
      <c r="AF785" t="inlineStr"/>
      <c r="AG785" t="inlineStr"/>
      <c r="AH785" t="inlineStr"/>
      <c r="AI785" t="inlineStr">
        <is>
          <t>HD</t>
        </is>
      </c>
      <c r="AJ785" t="inlineStr"/>
      <c r="AK785" t="inlineStr"/>
      <c r="AL785" t="inlineStr">
        <is>
          <t>x</t>
        </is>
      </c>
      <c r="AM785" t="inlineStr">
        <is>
          <t>f</t>
        </is>
      </c>
      <c r="AN785" t="inlineStr"/>
      <c r="AO785" t="inlineStr"/>
      <c r="AP785" t="inlineStr"/>
      <c r="AQ785" t="inlineStr"/>
      <c r="AR785" t="inlineStr"/>
      <c r="AS785" t="inlineStr">
        <is>
          <t>Pa</t>
        </is>
      </c>
      <c r="AT785" t="inlineStr"/>
      <c r="AU785" t="inlineStr"/>
      <c r="AV785" t="inlineStr"/>
      <c r="AW785" t="inlineStr"/>
      <c r="AX785" t="inlineStr"/>
      <c r="AY785" t="inlineStr"/>
      <c r="AZ785" t="inlineStr"/>
      <c r="BA785" t="inlineStr"/>
      <c r="BB785" t="inlineStr"/>
      <c r="BC785" t="inlineStr"/>
      <c r="BD785" t="inlineStr"/>
      <c r="BE785" t="inlineStr"/>
      <c r="BF785" t="inlineStr"/>
      <c r="BG785" t="n">
        <v>110</v>
      </c>
      <c r="BH785" t="inlineStr"/>
      <c r="BI785" t="inlineStr"/>
      <c r="BJ785" t="inlineStr"/>
      <c r="BK785" t="inlineStr"/>
      <c r="BL785" t="inlineStr"/>
      <c r="BM785" t="inlineStr">
        <is>
          <t>n</t>
        </is>
      </c>
      <c r="BN785" t="n">
        <v>0</v>
      </c>
      <c r="BO785" t="inlineStr"/>
      <c r="BP785" t="inlineStr">
        <is>
          <t>Gewebe</t>
        </is>
      </c>
      <c r="BQ785" t="inlineStr"/>
      <c r="BR785" t="inlineStr"/>
      <c r="BS785" t="inlineStr"/>
      <c r="BT785" t="inlineStr"/>
      <c r="BU785" t="inlineStr"/>
      <c r="BV785" t="inlineStr"/>
      <c r="BW785" t="inlineStr"/>
      <c r="BX785" t="inlineStr"/>
      <c r="BY785" t="inlineStr"/>
      <c r="BZ785" t="inlineStr"/>
      <c r="CA785" t="inlineStr"/>
      <c r="CB785" t="inlineStr"/>
      <c r="CC785" t="inlineStr"/>
      <c r="CD785" t="inlineStr"/>
      <c r="CE785" t="inlineStr"/>
      <c r="CF785" t="inlineStr"/>
      <c r="CG785" t="inlineStr"/>
      <c r="CH785" t="inlineStr"/>
      <c r="CI785" t="inlineStr"/>
      <c r="CJ785" t="inlineStr"/>
      <c r="CK785" t="inlineStr"/>
      <c r="CL785" t="inlineStr"/>
      <c r="CM785" t="inlineStr"/>
      <c r="CN785" t="inlineStr"/>
      <c r="CO785" t="inlineStr"/>
      <c r="CP785" t="inlineStr"/>
      <c r="CQ785" t="inlineStr"/>
      <c r="CR785" t="inlineStr"/>
      <c r="CS785" t="inlineStr"/>
      <c r="CT785" t="inlineStr"/>
      <c r="CU785" t="inlineStr"/>
      <c r="CV785" t="inlineStr"/>
      <c r="CW785" t="inlineStr"/>
      <c r="CX785" t="inlineStr"/>
      <c r="CY785" t="inlineStr"/>
      <c r="CZ785" t="inlineStr"/>
      <c r="DA785" t="inlineStr"/>
      <c r="DB785" t="inlineStr"/>
      <c r="DC785" t="inlineStr"/>
      <c r="DD785" t="inlineStr"/>
      <c r="DE785" t="inlineStr"/>
      <c r="DF785" t="inlineStr"/>
      <c r="DG785" t="inlineStr"/>
    </row>
    <row r="786">
      <c r="A786" t="inlineStr">
        <is>
          <t>III</t>
        </is>
      </c>
      <c r="B786" t="b">
        <v>1</v>
      </c>
      <c r="C786" t="inlineStr"/>
      <c r="D786" t="inlineStr"/>
      <c r="E786" t="n">
        <v>878</v>
      </c>
      <c r="F786">
        <f>HYPERLINK("https://portal.dnb.de/opac.htm?method=simpleSearch&amp;cqlMode=true&amp;query=idn%3D1066957908", "Portal")</f>
        <v/>
      </c>
      <c r="G786" t="inlineStr">
        <is>
          <t>Aaf</t>
        </is>
      </c>
      <c r="H786" t="inlineStr">
        <is>
          <t>L-1518-315488549</t>
        </is>
      </c>
      <c r="I786" t="inlineStr">
        <is>
          <t>1066957908</t>
        </is>
      </c>
      <c r="J786" t="inlineStr">
        <is>
          <t>III 95, 10</t>
        </is>
      </c>
      <c r="K786" t="inlineStr">
        <is>
          <t>III 95, 10</t>
        </is>
      </c>
      <c r="L786" t="inlineStr">
        <is>
          <t>III 95, 10</t>
        </is>
      </c>
      <c r="M786" t="inlineStr"/>
      <c r="N786" t="inlineStr">
        <is>
          <t>Spiegel der|| Artzny des|| geleichen vormals nie|| võ kein? doctor in tüt||sch vßgang? ist nützlich vñ gut all?|| denen so der artzet radt beger?t/ au</t>
        </is>
      </c>
      <c r="O786" t="inlineStr">
        <is>
          <t xml:space="preserve"> : </t>
        </is>
      </c>
      <c r="P786" t="inlineStr"/>
      <c r="Q786" t="inlineStr"/>
      <c r="R786" t="inlineStr"/>
      <c r="S786" t="inlineStr">
        <is>
          <t>bis 35 cm</t>
        </is>
      </c>
      <c r="T786" t="inlineStr"/>
      <c r="U786" t="inlineStr"/>
      <c r="V786" t="inlineStr"/>
      <c r="W786" t="inlineStr"/>
      <c r="X786" t="inlineStr"/>
      <c r="Y786" t="inlineStr"/>
      <c r="Z786" t="inlineStr"/>
      <c r="AA786" t="inlineStr"/>
      <c r="AB786" t="inlineStr"/>
      <c r="AC786" t="inlineStr"/>
      <c r="AD786" t="inlineStr"/>
      <c r="AE786" t="inlineStr"/>
      <c r="AF786" t="inlineStr"/>
      <c r="AG786" t="inlineStr"/>
      <c r="AH786" t="inlineStr"/>
      <c r="AI786" t="inlineStr">
        <is>
          <t>HL</t>
        </is>
      </c>
      <c r="AJ786" t="inlineStr"/>
      <c r="AK786" t="inlineStr">
        <is>
          <t>x</t>
        </is>
      </c>
      <c r="AL786" t="inlineStr"/>
      <c r="AM786" t="inlineStr">
        <is>
          <t>h/E</t>
        </is>
      </c>
      <c r="AN786" t="inlineStr"/>
      <c r="AO786" t="inlineStr"/>
      <c r="AP786" t="inlineStr"/>
      <c r="AQ786" t="inlineStr"/>
      <c r="AR786" t="inlineStr"/>
      <c r="AS786" t="inlineStr">
        <is>
          <t>Pa</t>
        </is>
      </c>
      <c r="AT786" t="inlineStr"/>
      <c r="AU786" t="inlineStr"/>
      <c r="AV786" t="inlineStr"/>
      <c r="AW786" t="inlineStr"/>
      <c r="AX786" t="inlineStr"/>
      <c r="AY786" t="inlineStr"/>
      <c r="AZ786" t="inlineStr"/>
      <c r="BA786" t="inlineStr"/>
      <c r="BB786" t="inlineStr"/>
      <c r="BC786" t="inlineStr"/>
      <c r="BD786" t="inlineStr"/>
      <c r="BE786" t="inlineStr"/>
      <c r="BF786" t="inlineStr"/>
      <c r="BG786" t="n">
        <v>110</v>
      </c>
      <c r="BH786" t="inlineStr"/>
      <c r="BI786" t="inlineStr"/>
      <c r="BJ786" t="inlineStr"/>
      <c r="BK786" t="inlineStr"/>
      <c r="BL786" t="inlineStr"/>
      <c r="BM786" t="inlineStr">
        <is>
          <t>n</t>
        </is>
      </c>
      <c r="BN786" t="n">
        <v>0</v>
      </c>
      <c r="BO786" t="inlineStr"/>
      <c r="BP786" t="inlineStr"/>
      <c r="BQ786" t="inlineStr"/>
      <c r="BR786" t="inlineStr">
        <is>
          <t>x</t>
        </is>
      </c>
      <c r="BS786" t="inlineStr"/>
      <c r="BT786" t="inlineStr"/>
      <c r="BU786" t="inlineStr"/>
      <c r="BV786" t="inlineStr"/>
      <c r="BW786" t="inlineStr"/>
      <c r="BX786" t="inlineStr"/>
      <c r="BY786" t="inlineStr"/>
      <c r="BZ786" t="inlineStr"/>
      <c r="CA786" t="inlineStr"/>
      <c r="CB786" t="inlineStr"/>
      <c r="CC786" t="inlineStr"/>
      <c r="CD786" t="inlineStr"/>
      <c r="CE786" t="inlineStr"/>
      <c r="CF786" t="inlineStr"/>
      <c r="CG786" t="inlineStr"/>
      <c r="CH786" t="inlineStr"/>
      <c r="CI786" t="inlineStr"/>
      <c r="CJ786" t="inlineStr"/>
      <c r="CK786" t="inlineStr"/>
      <c r="CL786" t="inlineStr"/>
      <c r="CM786" t="inlineStr"/>
      <c r="CN786" t="inlineStr"/>
      <c r="CO786" t="inlineStr"/>
      <c r="CP786" t="inlineStr"/>
      <c r="CQ786" t="inlineStr"/>
      <c r="CR786" t="inlineStr"/>
      <c r="CS786" t="inlineStr"/>
      <c r="CT786" t="inlineStr"/>
      <c r="CU786" t="inlineStr"/>
      <c r="CV786" t="inlineStr"/>
      <c r="CW786" t="inlineStr"/>
      <c r="CX786" t="inlineStr"/>
      <c r="CY786" t="inlineStr"/>
      <c r="CZ786" t="inlineStr"/>
      <c r="DA786" t="inlineStr"/>
      <c r="DB786" t="inlineStr"/>
      <c r="DC786" t="inlineStr"/>
      <c r="DD786" t="inlineStr"/>
      <c r="DE786" t="inlineStr"/>
      <c r="DF786" t="inlineStr"/>
      <c r="DG786" t="inlineStr"/>
    </row>
    <row r="787">
      <c r="A787" t="inlineStr">
        <is>
          <t>III</t>
        </is>
      </c>
      <c r="B787" t="b">
        <v>1</v>
      </c>
      <c r="C787" t="inlineStr"/>
      <c r="D787" t="inlineStr"/>
      <c r="E787" t="n">
        <v>914</v>
      </c>
      <c r="F787">
        <f>HYPERLINK("https://portal.dnb.de/opac.htm?method=simpleSearch&amp;cqlMode=true&amp;query=idn%3D995969922", "Portal")</f>
        <v/>
      </c>
      <c r="G787" t="inlineStr">
        <is>
          <t>Aal</t>
        </is>
      </c>
      <c r="H787" t="inlineStr">
        <is>
          <t>L-1518-161495788</t>
        </is>
      </c>
      <c r="I787" t="inlineStr">
        <is>
          <t>995969922</t>
        </is>
      </c>
      <c r="J787" t="inlineStr">
        <is>
          <t>III 95, 10 a</t>
        </is>
      </c>
      <c r="K787" t="inlineStr">
        <is>
          <t>III 95, 10 a</t>
        </is>
      </c>
      <c r="L787" t="inlineStr">
        <is>
          <t>III 95, 10 a</t>
        </is>
      </c>
      <c r="M787" t="inlineStr"/>
      <c r="N787" t="inlineStr">
        <is>
          <t xml:space="preserve">Sermones|| [et] varij Tractat[us] Keiser||spergii iam recens excusi: quoru[m]|| Indice[m]versa pagella videbis|| ... : </t>
        </is>
      </c>
      <c r="O787" t="inlineStr">
        <is>
          <t xml:space="preserve"> : </t>
        </is>
      </c>
      <c r="P787" t="inlineStr"/>
      <c r="Q787" t="inlineStr"/>
      <c r="R787" t="inlineStr"/>
      <c r="S787" t="inlineStr">
        <is>
          <t>bis 35 cm</t>
        </is>
      </c>
      <c r="T787" t="inlineStr"/>
      <c r="U787" t="inlineStr"/>
      <c r="V787" t="inlineStr"/>
      <c r="W787" t="inlineStr"/>
      <c r="X787" t="inlineStr"/>
      <c r="Y787" t="inlineStr"/>
      <c r="Z787" t="inlineStr"/>
      <c r="AA787" t="inlineStr"/>
      <c r="AB787" t="inlineStr"/>
      <c r="AC787" t="inlineStr"/>
      <c r="AD787" t="inlineStr"/>
      <c r="AE787" t="inlineStr"/>
      <c r="AF787" t="inlineStr"/>
      <c r="AG787" t="inlineStr"/>
      <c r="AH787" t="inlineStr"/>
      <c r="AI787" t="inlineStr">
        <is>
          <t>L</t>
        </is>
      </c>
      <c r="AJ787" t="inlineStr"/>
      <c r="AK787" t="inlineStr"/>
      <c r="AL787" t="inlineStr">
        <is>
          <t>x</t>
        </is>
      </c>
      <c r="AM787" t="inlineStr">
        <is>
          <t>f</t>
        </is>
      </c>
      <c r="AN787" t="inlineStr"/>
      <c r="AO787" t="inlineStr"/>
      <c r="AP787" t="inlineStr"/>
      <c r="AQ787" t="inlineStr"/>
      <c r="AR787" t="inlineStr"/>
      <c r="AS787" t="inlineStr">
        <is>
          <t>Pa</t>
        </is>
      </c>
      <c r="AT787" t="inlineStr"/>
      <c r="AU787" t="inlineStr"/>
      <c r="AV787" t="inlineStr"/>
      <c r="AW787" t="inlineStr"/>
      <c r="AX787" t="inlineStr"/>
      <c r="AY787" t="inlineStr"/>
      <c r="AZ787" t="inlineStr"/>
      <c r="BA787" t="inlineStr"/>
      <c r="BB787" t="inlineStr"/>
      <c r="BC787" t="inlineStr"/>
      <c r="BD787" t="inlineStr"/>
      <c r="BE787" t="inlineStr"/>
      <c r="BF787" t="inlineStr"/>
      <c r="BG787" t="n">
        <v>110</v>
      </c>
      <c r="BH787" t="inlineStr"/>
      <c r="BI787" t="inlineStr"/>
      <c r="BJ787" t="inlineStr"/>
      <c r="BK787" t="inlineStr">
        <is>
          <t>x</t>
        </is>
      </c>
      <c r="BL787" t="inlineStr"/>
      <c r="BM787" t="inlineStr">
        <is>
          <t>n</t>
        </is>
      </c>
      <c r="BN787" t="n">
        <v>0</v>
      </c>
      <c r="BO787" t="inlineStr"/>
      <c r="BP787" t="inlineStr">
        <is>
          <t>Gewebe</t>
        </is>
      </c>
      <c r="BQ787" t="inlineStr"/>
      <c r="BR787" t="inlineStr"/>
      <c r="BS787" t="inlineStr"/>
      <c r="BT787" t="inlineStr"/>
      <c r="BU787" t="inlineStr"/>
      <c r="BV787" t="inlineStr"/>
      <c r="BW787" t="inlineStr"/>
      <c r="BX787" t="inlineStr"/>
      <c r="BY787" t="inlineStr"/>
      <c r="BZ787" t="inlineStr"/>
      <c r="CA787" t="inlineStr"/>
      <c r="CB787" t="inlineStr"/>
      <c r="CC787" t="inlineStr"/>
      <c r="CD787" t="inlineStr"/>
      <c r="CE787" t="inlineStr"/>
      <c r="CF787" t="inlineStr"/>
      <c r="CG787" t="inlineStr"/>
      <c r="CH787" t="inlineStr"/>
      <c r="CI787" t="inlineStr"/>
      <c r="CJ787" t="inlineStr"/>
      <c r="CK787" t="inlineStr"/>
      <c r="CL787" t="inlineStr"/>
      <c r="CM787" t="inlineStr"/>
      <c r="CN787" t="inlineStr"/>
      <c r="CO787" t="inlineStr"/>
      <c r="CP787" t="inlineStr"/>
      <c r="CQ787" t="inlineStr"/>
      <c r="CR787" t="inlineStr"/>
      <c r="CS787" t="inlineStr"/>
      <c r="CT787" t="inlineStr"/>
      <c r="CU787" t="inlineStr"/>
      <c r="CV787" t="inlineStr"/>
      <c r="CW787" t="inlineStr"/>
      <c r="CX787" t="inlineStr"/>
      <c r="CY787" t="inlineStr"/>
      <c r="CZ787" t="inlineStr"/>
      <c r="DA787" t="inlineStr"/>
      <c r="DB787" t="inlineStr"/>
      <c r="DC787" t="inlineStr"/>
      <c r="DD787" t="inlineStr"/>
      <c r="DE787" t="inlineStr"/>
      <c r="DF787" t="inlineStr"/>
      <c r="DG787" t="inlineStr"/>
    </row>
    <row r="788">
      <c r="A788" t="inlineStr">
        <is>
          <t>III</t>
        </is>
      </c>
      <c r="B788" t="b">
        <v>1</v>
      </c>
      <c r="C788" t="inlineStr"/>
      <c r="D788" t="inlineStr"/>
      <c r="E788" t="n">
        <v>915</v>
      </c>
      <c r="F788">
        <f>HYPERLINK("https://portal.dnb.de/opac.htm?method=simpleSearch&amp;cqlMode=true&amp;query=idn%3D986509019", "Portal")</f>
        <v/>
      </c>
      <c r="G788" t="inlineStr">
        <is>
          <t>Aa</t>
        </is>
      </c>
      <c r="H788" t="inlineStr">
        <is>
          <t>L-2007-325491</t>
        </is>
      </c>
      <c r="I788" t="inlineStr">
        <is>
          <t>986509019</t>
        </is>
      </c>
      <c r="J788" t="inlineStr">
        <is>
          <t>III 95, 10 b</t>
        </is>
      </c>
      <c r="K788" t="inlineStr">
        <is>
          <t>III 95, 10 b</t>
        </is>
      </c>
      <c r="L788" t="inlineStr">
        <is>
          <t>III 95, 10 b</t>
        </is>
      </c>
      <c r="M788" t="inlineStr"/>
      <c r="N788" t="inlineStr">
        <is>
          <t>Das @bùch d'|| sünden des|| munds.Võ dem hoch|| gelerten Doctor Keiser=||sperg/die er nent die blatr? am mund|| dauõ er.xxix.predig? vñ leer? gethon||</t>
        </is>
      </c>
      <c r="O788" t="inlineStr">
        <is>
          <t xml:space="preserve"> : </t>
        </is>
      </c>
      <c r="P788" t="inlineStr"/>
      <c r="Q788" t="inlineStr"/>
      <c r="R788" t="inlineStr"/>
      <c r="S788" t="inlineStr">
        <is>
          <t>bis 35 cm</t>
        </is>
      </c>
      <c r="T788" t="inlineStr"/>
      <c r="U788" t="inlineStr"/>
      <c r="V788" t="inlineStr"/>
      <c r="W788" t="inlineStr"/>
      <c r="X788" t="inlineStr"/>
      <c r="Y788" t="inlineStr"/>
      <c r="Z788" t="inlineStr"/>
      <c r="AA788" t="inlineStr"/>
      <c r="AB788" t="inlineStr"/>
      <c r="AC788" t="inlineStr"/>
      <c r="AD788" t="inlineStr"/>
      <c r="AE788" t="inlineStr"/>
      <c r="AF788" t="inlineStr"/>
      <c r="AG788" t="inlineStr"/>
      <c r="AH788" t="inlineStr"/>
      <c r="AI788" t="inlineStr">
        <is>
          <t>Pg</t>
        </is>
      </c>
      <c r="AJ788" t="inlineStr"/>
      <c r="AK788" t="inlineStr"/>
      <c r="AL788" t="inlineStr">
        <is>
          <t>x</t>
        </is>
      </c>
      <c r="AM788" t="inlineStr">
        <is>
          <t>h</t>
        </is>
      </c>
      <c r="AN788" t="inlineStr"/>
      <c r="AO788" t="inlineStr"/>
      <c r="AP788" t="inlineStr"/>
      <c r="AQ788" t="inlineStr"/>
      <c r="AR788" t="inlineStr"/>
      <c r="AS788" t="inlineStr">
        <is>
          <t>Pa</t>
        </is>
      </c>
      <c r="AT788" t="inlineStr"/>
      <c r="AU788" t="inlineStr"/>
      <c r="AV788" t="inlineStr"/>
      <c r="AW788" t="inlineStr"/>
      <c r="AX788" t="inlineStr"/>
      <c r="AY788" t="inlineStr"/>
      <c r="AZ788" t="inlineStr"/>
      <c r="BA788" t="inlineStr"/>
      <c r="BB788" t="inlineStr"/>
      <c r="BC788" t="inlineStr"/>
      <c r="BD788" t="inlineStr"/>
      <c r="BE788" t="inlineStr"/>
      <c r="BF788" t="inlineStr"/>
      <c r="BG788" t="n">
        <v>110</v>
      </c>
      <c r="BH788" t="inlineStr"/>
      <c r="BI788" t="inlineStr"/>
      <c r="BJ788" t="inlineStr"/>
      <c r="BK788" t="inlineStr"/>
      <c r="BL788" t="inlineStr"/>
      <c r="BM788" t="inlineStr">
        <is>
          <t>n</t>
        </is>
      </c>
      <c r="BN788" t="n">
        <v>0</v>
      </c>
      <c r="BO788" t="inlineStr"/>
      <c r="BP788" t="inlineStr"/>
      <c r="BQ788" t="inlineStr"/>
      <c r="BR788" t="inlineStr"/>
      <c r="BS788" t="inlineStr">
        <is>
          <t>x</t>
        </is>
      </c>
      <c r="BT788" t="inlineStr"/>
      <c r="BU788" t="inlineStr"/>
      <c r="BV788" t="inlineStr"/>
      <c r="BW788" t="inlineStr"/>
      <c r="BX788" t="inlineStr"/>
      <c r="BY788" t="inlineStr"/>
      <c r="BZ788" t="inlineStr"/>
      <c r="CA788" t="inlineStr"/>
      <c r="CB788" t="inlineStr"/>
      <c r="CC788" t="inlineStr"/>
      <c r="CD788" t="inlineStr"/>
      <c r="CE788" t="inlineStr"/>
      <c r="CF788" t="inlineStr"/>
      <c r="CG788" t="inlineStr"/>
      <c r="CH788" t="inlineStr"/>
      <c r="CI788" t="inlineStr"/>
      <c r="CJ788" t="inlineStr"/>
      <c r="CK788" t="inlineStr"/>
      <c r="CL788" t="inlineStr"/>
      <c r="CM788" t="inlineStr"/>
      <c r="CN788" t="inlineStr"/>
      <c r="CO788" t="inlineStr"/>
      <c r="CP788" t="inlineStr"/>
      <c r="CQ788" t="inlineStr"/>
      <c r="CR788" t="inlineStr"/>
      <c r="CS788" t="inlineStr"/>
      <c r="CT788" t="inlineStr"/>
      <c r="CU788" t="inlineStr"/>
      <c r="CV788" t="inlineStr"/>
      <c r="CW788" t="inlineStr"/>
      <c r="CX788" t="inlineStr"/>
      <c r="CY788" t="inlineStr"/>
      <c r="CZ788" t="inlineStr"/>
      <c r="DA788" t="inlineStr"/>
      <c r="DB788" t="inlineStr"/>
      <c r="DC788" t="inlineStr"/>
      <c r="DD788" t="inlineStr"/>
      <c r="DE788" t="inlineStr"/>
      <c r="DF788" t="inlineStr"/>
      <c r="DG788" t="inlineStr"/>
    </row>
    <row r="789">
      <c r="A789" t="inlineStr">
        <is>
          <t>III</t>
        </is>
      </c>
      <c r="B789" t="b">
        <v>1</v>
      </c>
      <c r="C789" t="inlineStr"/>
      <c r="D789" t="inlineStr"/>
      <c r="E789" t="n">
        <v>879</v>
      </c>
      <c r="F789">
        <f>HYPERLINK("https://portal.dnb.de/opac.htm?method=simpleSearch&amp;cqlMode=true&amp;query=idn%3D1066963126", "Portal")</f>
        <v/>
      </c>
      <c r="G789" t="inlineStr">
        <is>
          <t>Aaf</t>
        </is>
      </c>
      <c r="H789" t="inlineStr">
        <is>
          <t>L-1505-315493402</t>
        </is>
      </c>
      <c r="I789" t="inlineStr">
        <is>
          <t>1066963126</t>
        </is>
      </c>
      <c r="J789" t="inlineStr">
        <is>
          <t>III 95, 11</t>
        </is>
      </c>
      <c r="K789" t="inlineStr">
        <is>
          <t>III 95, 11</t>
        </is>
      </c>
      <c r="L789" t="inlineStr">
        <is>
          <t>III 95, 11</t>
        </is>
      </c>
      <c r="M789" t="inlineStr"/>
      <c r="N789" t="inlineStr">
        <is>
          <t xml:space="preserve">Jacobi Wimphelingi|| De Jntegritate|| Libellus|| ...|| : </t>
        </is>
      </c>
      <c r="O789" t="inlineStr">
        <is>
          <t xml:space="preserve"> : </t>
        </is>
      </c>
      <c r="P789" t="inlineStr"/>
      <c r="Q789" t="inlineStr"/>
      <c r="R789" t="inlineStr"/>
      <c r="S789" t="inlineStr">
        <is>
          <t>bis 25 cm</t>
        </is>
      </c>
      <c r="T789" t="inlineStr"/>
      <c r="U789" t="inlineStr"/>
      <c r="V789" t="inlineStr"/>
      <c r="W789" t="inlineStr"/>
      <c r="X789" t="inlineStr"/>
      <c r="Y789" t="inlineStr"/>
      <c r="Z789" t="inlineStr"/>
      <c r="AA789" t="inlineStr"/>
      <c r="AB789" t="inlineStr"/>
      <c r="AC789" t="inlineStr"/>
      <c r="AD789" t="inlineStr"/>
      <c r="AE789" t="inlineStr"/>
      <c r="AF789" t="inlineStr"/>
      <c r="AG789" t="inlineStr"/>
      <c r="AH789" t="inlineStr"/>
      <c r="AI789" t="inlineStr">
        <is>
          <t>G</t>
        </is>
      </c>
      <c r="AJ789" t="inlineStr"/>
      <c r="AK789" t="inlineStr">
        <is>
          <t>x</t>
        </is>
      </c>
      <c r="AL789" t="inlineStr"/>
      <c r="AM789" t="inlineStr">
        <is>
          <t>h/E</t>
        </is>
      </c>
      <c r="AN789" t="inlineStr"/>
      <c r="AO789" t="inlineStr"/>
      <c r="AP789" t="inlineStr"/>
      <c r="AQ789" t="inlineStr"/>
      <c r="AR789" t="inlineStr"/>
      <c r="AS789" t="inlineStr">
        <is>
          <t>Pa</t>
        </is>
      </c>
      <c r="AT789" t="inlineStr"/>
      <c r="AU789" t="inlineStr"/>
      <c r="AV789" t="inlineStr"/>
      <c r="AW789" t="inlineStr"/>
      <c r="AX789" t="inlineStr"/>
      <c r="AY789" t="inlineStr"/>
      <c r="AZ789" t="inlineStr"/>
      <c r="BA789" t="inlineStr"/>
      <c r="BB789" t="inlineStr"/>
      <c r="BC789" t="inlineStr"/>
      <c r="BD789" t="inlineStr"/>
      <c r="BE789" t="inlineStr"/>
      <c r="BF789" t="inlineStr"/>
      <c r="BG789" t="n">
        <v>110</v>
      </c>
      <c r="BH789" t="inlineStr"/>
      <c r="BI789" t="inlineStr"/>
      <c r="BJ789" t="inlineStr"/>
      <c r="BK789" t="inlineStr"/>
      <c r="BL789" t="inlineStr"/>
      <c r="BM789" t="inlineStr">
        <is>
          <t>n</t>
        </is>
      </c>
      <c r="BN789" t="n">
        <v>0</v>
      </c>
      <c r="BO789" t="inlineStr"/>
      <c r="BP789" t="inlineStr"/>
      <c r="BQ789" t="inlineStr"/>
      <c r="BR789" t="inlineStr"/>
      <c r="BS789" t="inlineStr"/>
      <c r="BT789" t="inlineStr"/>
      <c r="BU789" t="inlineStr"/>
      <c r="BV789" t="inlineStr"/>
      <c r="BW789" t="inlineStr"/>
      <c r="BX789" t="inlineStr"/>
      <c r="BY789" t="inlineStr"/>
      <c r="BZ789" t="inlineStr"/>
      <c r="CA789" t="inlineStr"/>
      <c r="CB789" t="inlineStr"/>
      <c r="CC789" t="inlineStr"/>
      <c r="CD789" t="inlineStr"/>
      <c r="CE789" t="inlineStr"/>
      <c r="CF789" t="inlineStr"/>
      <c r="CG789" t="inlineStr"/>
      <c r="CH789" t="inlineStr"/>
      <c r="CI789" t="inlineStr"/>
      <c r="CJ789" t="inlineStr"/>
      <c r="CK789" t="inlineStr"/>
      <c r="CL789" t="inlineStr"/>
      <c r="CM789" t="inlineStr"/>
      <c r="CN789" t="inlineStr"/>
      <c r="CO789" t="inlineStr"/>
      <c r="CP789" t="inlineStr"/>
      <c r="CQ789" t="inlineStr"/>
      <c r="CR789" t="inlineStr"/>
      <c r="CS789" t="inlineStr"/>
      <c r="CT789" t="inlineStr"/>
      <c r="CU789" t="inlineStr"/>
      <c r="CV789" t="inlineStr"/>
      <c r="CW789" t="inlineStr"/>
      <c r="CX789" t="inlineStr"/>
      <c r="CY789" t="inlineStr"/>
      <c r="CZ789" t="inlineStr"/>
      <c r="DA789" t="inlineStr"/>
      <c r="DB789" t="inlineStr"/>
      <c r="DC789" t="inlineStr"/>
      <c r="DD789" t="inlineStr"/>
      <c r="DE789" t="inlineStr"/>
      <c r="DF789" t="inlineStr"/>
      <c r="DG789" t="inlineStr"/>
    </row>
    <row r="790">
      <c r="A790" t="inlineStr">
        <is>
          <t>III</t>
        </is>
      </c>
      <c r="B790" t="b">
        <v>1</v>
      </c>
      <c r="C790" t="inlineStr"/>
      <c r="D790" t="inlineStr"/>
      <c r="E790" t="n">
        <v>916</v>
      </c>
      <c r="F790">
        <f>HYPERLINK("https://portal.dnb.de/opac.htm?method=simpleSearch&amp;cqlMode=true&amp;query=idn%3D999891499", "Portal")</f>
        <v/>
      </c>
      <c r="G790" t="inlineStr">
        <is>
          <t>Aal</t>
        </is>
      </c>
      <c r="H790" t="inlineStr">
        <is>
          <t>L-1507-169623483</t>
        </is>
      </c>
      <c r="I790" t="inlineStr">
        <is>
          <t>999891499</t>
        </is>
      </c>
      <c r="J790" t="inlineStr">
        <is>
          <t>III 95, 11a</t>
        </is>
      </c>
      <c r="K790" t="inlineStr">
        <is>
          <t>III 95, 11a</t>
        </is>
      </c>
      <c r="L790" t="inlineStr">
        <is>
          <t>III 95, 11 a</t>
        </is>
      </c>
      <c r="M790" t="inlineStr"/>
      <c r="N790" t="inlineStr">
        <is>
          <t>Passio domini nostri Je||su Christi, ex euangelistarum textu &amp; [quam] accura=||tissime deprompta additis sanctissimis exquisi||tissimisq figuris|| ...</t>
        </is>
      </c>
      <c r="O790" t="inlineStr">
        <is>
          <t xml:space="preserve"> : </t>
        </is>
      </c>
      <c r="P790" t="inlineStr"/>
      <c r="Q790" t="inlineStr"/>
      <c r="R790" t="inlineStr"/>
      <c r="S790" t="inlineStr">
        <is>
          <t>bis 35 cm</t>
        </is>
      </c>
      <c r="T790" t="inlineStr"/>
      <c r="U790" t="inlineStr"/>
      <c r="V790" t="inlineStr"/>
      <c r="W790" t="inlineStr"/>
      <c r="X790" t="inlineStr"/>
      <c r="Y790" t="inlineStr"/>
      <c r="Z790" t="inlineStr"/>
      <c r="AA790" t="inlineStr"/>
      <c r="AB790" t="inlineStr"/>
      <c r="AC790" t="inlineStr"/>
      <c r="AD790" t="inlineStr"/>
      <c r="AE790" t="inlineStr"/>
      <c r="AF790" t="inlineStr"/>
      <c r="AG790" t="inlineStr"/>
      <c r="AH790" t="inlineStr"/>
      <c r="AI790" t="inlineStr">
        <is>
          <t>Pg</t>
        </is>
      </c>
      <c r="AJ790" t="inlineStr"/>
      <c r="AK790" t="inlineStr"/>
      <c r="AL790" t="inlineStr">
        <is>
          <t>x</t>
        </is>
      </c>
      <c r="AM790" t="inlineStr">
        <is>
          <t>h</t>
        </is>
      </c>
      <c r="AN790" t="inlineStr"/>
      <c r="AO790" t="inlineStr"/>
      <c r="AP790" t="inlineStr"/>
      <c r="AQ790" t="inlineStr"/>
      <c r="AR790" t="inlineStr"/>
      <c r="AS790" t="inlineStr">
        <is>
          <t>Pa</t>
        </is>
      </c>
      <c r="AT790" t="inlineStr"/>
      <c r="AU790" t="inlineStr"/>
      <c r="AV790" t="inlineStr"/>
      <c r="AW790" t="inlineStr"/>
      <c r="AX790" t="inlineStr"/>
      <c r="AY790" t="inlineStr"/>
      <c r="AZ790" t="inlineStr"/>
      <c r="BA790" t="inlineStr"/>
      <c r="BB790" t="inlineStr"/>
      <c r="BC790" t="inlineStr"/>
      <c r="BD790" t="inlineStr"/>
      <c r="BE790" t="inlineStr"/>
      <c r="BF790" t="inlineStr"/>
      <c r="BG790" t="n">
        <v>110</v>
      </c>
      <c r="BH790" t="inlineStr"/>
      <c r="BI790" t="inlineStr"/>
      <c r="BJ790" t="inlineStr"/>
      <c r="BK790" t="inlineStr">
        <is>
          <t>x</t>
        </is>
      </c>
      <c r="BL790" t="inlineStr"/>
      <c r="BM790" t="inlineStr">
        <is>
          <t>n</t>
        </is>
      </c>
      <c r="BN790" t="n">
        <v>0</v>
      </c>
      <c r="BO790" t="inlineStr"/>
      <c r="BP790" t="inlineStr"/>
      <c r="BQ790" t="inlineStr">
        <is>
          <t>x sauer</t>
        </is>
      </c>
      <c r="BR790" t="inlineStr"/>
      <c r="BS790" t="inlineStr"/>
      <c r="BT790" t="inlineStr"/>
      <c r="BU790" t="inlineStr">
        <is>
          <t>x</t>
        </is>
      </c>
      <c r="BV790" t="inlineStr"/>
      <c r="BW790" t="inlineStr"/>
      <c r="BX790" t="inlineStr"/>
      <c r="BY790" t="inlineStr">
        <is>
          <t>Box (sperrt)</t>
        </is>
      </c>
      <c r="BZ790" t="inlineStr"/>
      <c r="CA790" t="inlineStr"/>
      <c r="CB790" t="inlineStr"/>
      <c r="CC790" t="inlineStr"/>
      <c r="CD790" t="inlineStr"/>
      <c r="CE790" t="inlineStr"/>
      <c r="CF790" t="inlineStr"/>
      <c r="CG790" t="inlineStr"/>
      <c r="CH790" t="inlineStr"/>
      <c r="CI790" t="inlineStr"/>
      <c r="CJ790" t="inlineStr"/>
      <c r="CK790" t="inlineStr"/>
      <c r="CL790" t="inlineStr"/>
      <c r="CM790" t="inlineStr"/>
      <c r="CN790" t="inlineStr"/>
      <c r="CO790" t="inlineStr"/>
      <c r="CP790" t="inlineStr"/>
      <c r="CQ790" t="inlineStr"/>
      <c r="CR790" t="inlineStr"/>
      <c r="CS790" t="inlineStr"/>
      <c r="CT790" t="inlineStr"/>
      <c r="CU790" t="inlineStr"/>
      <c r="CV790" t="inlineStr"/>
      <c r="CW790" t="inlineStr"/>
      <c r="CX790" t="inlineStr"/>
      <c r="CY790" t="inlineStr"/>
      <c r="CZ790" t="inlineStr"/>
      <c r="DA790" t="inlineStr"/>
      <c r="DB790" t="inlineStr"/>
      <c r="DC790" t="inlineStr"/>
      <c r="DD790" t="inlineStr"/>
      <c r="DE790" t="inlineStr"/>
      <c r="DF790" t="inlineStr"/>
      <c r="DG790" t="inlineStr"/>
    </row>
    <row r="791">
      <c r="A791" t="inlineStr">
        <is>
          <t>III</t>
        </is>
      </c>
      <c r="B791" t="b">
        <v>1</v>
      </c>
      <c r="C791" t="inlineStr"/>
      <c r="D791" t="inlineStr"/>
      <c r="E791" t="n">
        <v>917</v>
      </c>
      <c r="F791">
        <f>HYPERLINK("https://portal.dnb.de/opac.htm?method=simpleSearch&amp;cqlMode=true&amp;query=idn%3D999884867", "Portal")</f>
        <v/>
      </c>
      <c r="G791" t="inlineStr">
        <is>
          <t>Aal</t>
        </is>
      </c>
      <c r="H791" t="inlineStr">
        <is>
          <t>L-1503-169616517</t>
        </is>
      </c>
      <c r="I791" t="inlineStr">
        <is>
          <t>999884867</t>
        </is>
      </c>
      <c r="J791" t="inlineStr">
        <is>
          <t>III 95, 11b</t>
        </is>
      </c>
      <c r="K791" t="inlineStr">
        <is>
          <t>III 95, 11b</t>
        </is>
      </c>
      <c r="L791" t="inlineStr">
        <is>
          <t>III 95, 11 b</t>
        </is>
      </c>
      <c r="M791" t="inlineStr"/>
      <c r="N791" t="inlineStr">
        <is>
          <t xml:space="preserve">Sermones parati de|| tempore &amp; de sanctis. cum Jnuentario quodam vti||li nuper superaddito|| : </t>
        </is>
      </c>
      <c r="O791" t="inlineStr">
        <is>
          <t xml:space="preserve"> : </t>
        </is>
      </c>
      <c r="P791" t="inlineStr"/>
      <c r="Q791" t="inlineStr"/>
      <c r="R791" t="inlineStr"/>
      <c r="S791" t="inlineStr">
        <is>
          <t>bis 25 cm</t>
        </is>
      </c>
      <c r="T791" t="inlineStr"/>
      <c r="U791" t="inlineStr"/>
      <c r="V791" t="inlineStr"/>
      <c r="W791" t="inlineStr"/>
      <c r="X791" t="inlineStr"/>
      <c r="Y791" t="inlineStr"/>
      <c r="Z791" t="inlineStr"/>
      <c r="AA791" t="inlineStr"/>
      <c r="AB791" t="inlineStr"/>
      <c r="AC791" t="inlineStr"/>
      <c r="AD791" t="inlineStr"/>
      <c r="AE791" t="inlineStr"/>
      <c r="AF791" t="inlineStr"/>
      <c r="AG791" t="inlineStr"/>
      <c r="AH791" t="inlineStr"/>
      <c r="AI791" t="inlineStr">
        <is>
          <t>HD</t>
        </is>
      </c>
      <c r="AJ791" t="inlineStr"/>
      <c r="AK791" t="inlineStr"/>
      <c r="AL791" t="inlineStr">
        <is>
          <t>x</t>
        </is>
      </c>
      <c r="AM791" t="inlineStr">
        <is>
          <t>f</t>
        </is>
      </c>
      <c r="AN791" t="inlineStr"/>
      <c r="AO791" t="inlineStr"/>
      <c r="AP791" t="inlineStr"/>
      <c r="AQ791" t="inlineStr"/>
      <c r="AR791" t="inlineStr"/>
      <c r="AS791" t="inlineStr">
        <is>
          <t>Pa</t>
        </is>
      </c>
      <c r="AT791" t="inlineStr"/>
      <c r="AU791" t="inlineStr"/>
      <c r="AV791" t="inlineStr"/>
      <c r="AW791" t="inlineStr"/>
      <c r="AX791" t="inlineStr"/>
      <c r="AY791" t="inlineStr"/>
      <c r="AZ791" t="inlineStr"/>
      <c r="BA791" t="inlineStr"/>
      <c r="BB791" t="inlineStr"/>
      <c r="BC791" t="inlineStr"/>
      <c r="BD791" t="inlineStr"/>
      <c r="BE791" t="inlineStr"/>
      <c r="BF791" t="inlineStr"/>
      <c r="BG791" t="n">
        <v>110</v>
      </c>
      <c r="BH791" t="inlineStr"/>
      <c r="BI791" t="inlineStr"/>
      <c r="BJ791" t="inlineStr"/>
      <c r="BK791" t="inlineStr"/>
      <c r="BL791" t="inlineStr"/>
      <c r="BM791" t="inlineStr">
        <is>
          <t>n</t>
        </is>
      </c>
      <c r="BN791" t="n">
        <v>0</v>
      </c>
      <c r="BO791" t="inlineStr"/>
      <c r="BP791" t="inlineStr">
        <is>
          <t>Gewebe</t>
        </is>
      </c>
      <c r="BQ791" t="inlineStr"/>
      <c r="BR791" t="inlineStr"/>
      <c r="BS791" t="inlineStr"/>
      <c r="BT791" t="inlineStr"/>
      <c r="BU791" t="inlineStr"/>
      <c r="BV791" t="inlineStr"/>
      <c r="BW791" t="inlineStr"/>
      <c r="BX791" t="inlineStr"/>
      <c r="BY791" t="inlineStr"/>
      <c r="BZ791" t="inlineStr"/>
      <c r="CA791" t="inlineStr"/>
      <c r="CB791" t="inlineStr"/>
      <c r="CC791" t="inlineStr"/>
      <c r="CD791" t="inlineStr"/>
      <c r="CE791" t="inlineStr"/>
      <c r="CF791" t="inlineStr"/>
      <c r="CG791" t="inlineStr"/>
      <c r="CH791" t="inlineStr"/>
      <c r="CI791" t="inlineStr"/>
      <c r="CJ791" t="inlineStr"/>
      <c r="CK791" t="inlineStr"/>
      <c r="CL791" t="inlineStr"/>
      <c r="CM791" t="inlineStr"/>
      <c r="CN791" t="inlineStr"/>
      <c r="CO791" t="inlineStr"/>
      <c r="CP791" t="inlineStr"/>
      <c r="CQ791" t="inlineStr"/>
      <c r="CR791" t="inlineStr"/>
      <c r="CS791" t="inlineStr"/>
      <c r="CT791" t="inlineStr"/>
      <c r="CU791" t="inlineStr"/>
      <c r="CV791" t="inlineStr"/>
      <c r="CW791" t="inlineStr"/>
      <c r="CX791" t="inlineStr"/>
      <c r="CY791" t="inlineStr"/>
      <c r="CZ791" t="inlineStr"/>
      <c r="DA791" t="inlineStr"/>
      <c r="DB791" t="inlineStr"/>
      <c r="DC791" t="inlineStr"/>
      <c r="DD791" t="inlineStr"/>
      <c r="DE791" t="inlineStr"/>
      <c r="DF791" t="inlineStr"/>
      <c r="DG791" t="inlineStr"/>
    </row>
    <row r="792">
      <c r="A792" t="inlineStr">
        <is>
          <t>III</t>
        </is>
      </c>
      <c r="B792" t="b">
        <v>1</v>
      </c>
      <c r="C792" t="inlineStr"/>
      <c r="D792" t="inlineStr"/>
      <c r="E792" t="n">
        <v>880</v>
      </c>
      <c r="F792">
        <f>HYPERLINK("https://portal.dnb.de/opac.htm?method=simpleSearch&amp;cqlMode=true&amp;query=idn%3D1066940134", "Portal")</f>
        <v/>
      </c>
      <c r="G792" t="inlineStr">
        <is>
          <t>Aaf</t>
        </is>
      </c>
      <c r="H792" t="inlineStr">
        <is>
          <t>L-1511-315467916</t>
        </is>
      </c>
      <c r="I792" t="inlineStr">
        <is>
          <t>1066940134</t>
        </is>
      </c>
      <c r="J792" t="inlineStr">
        <is>
          <t>III 95, 12</t>
        </is>
      </c>
      <c r="K792" t="inlineStr">
        <is>
          <t>III 95, 12</t>
        </is>
      </c>
      <c r="L792" t="inlineStr">
        <is>
          <t>III 95, 12</t>
        </is>
      </c>
      <c r="M792" t="inlineStr"/>
      <c r="N792" t="inlineStr">
        <is>
          <t xml:space="preserve">Formulare Und|| tütsch Rethorica.|| : </t>
        </is>
      </c>
      <c r="O792" t="inlineStr">
        <is>
          <t xml:space="preserve"> : </t>
        </is>
      </c>
      <c r="P792" t="inlineStr"/>
      <c r="Q792" t="inlineStr"/>
      <c r="R792" t="inlineStr"/>
      <c r="S792" t="inlineStr">
        <is>
          <t>bis 35 cm</t>
        </is>
      </c>
      <c r="T792" t="inlineStr"/>
      <c r="U792" t="inlineStr"/>
      <c r="V792" t="inlineStr"/>
      <c r="W792" t="inlineStr"/>
      <c r="X792" t="inlineStr"/>
      <c r="Y792" t="inlineStr"/>
      <c r="Z792" t="inlineStr"/>
      <c r="AA792" t="inlineStr"/>
      <c r="AB792" t="inlineStr"/>
      <c r="AC792" t="inlineStr"/>
      <c r="AD792" t="inlineStr"/>
      <c r="AE792" t="inlineStr"/>
      <c r="AF792" t="inlineStr"/>
      <c r="AG792" t="inlineStr"/>
      <c r="AH792" t="inlineStr"/>
      <c r="AI792" t="inlineStr">
        <is>
          <t>Pg</t>
        </is>
      </c>
      <c r="AJ792" t="inlineStr"/>
      <c r="AK792" t="inlineStr"/>
      <c r="AL792" t="inlineStr">
        <is>
          <t>x</t>
        </is>
      </c>
      <c r="AM792" t="inlineStr">
        <is>
          <t>h/E</t>
        </is>
      </c>
      <c r="AN792" t="inlineStr"/>
      <c r="AO792" t="inlineStr"/>
      <c r="AP792" t="inlineStr"/>
      <c r="AQ792" t="inlineStr"/>
      <c r="AR792" t="inlineStr"/>
      <c r="AS792" t="inlineStr">
        <is>
          <t>Pa</t>
        </is>
      </c>
      <c r="AT792" t="inlineStr"/>
      <c r="AU792" t="inlineStr"/>
      <c r="AV792" t="inlineStr"/>
      <c r="AW792" t="inlineStr"/>
      <c r="AX792" t="inlineStr"/>
      <c r="AY792" t="inlineStr"/>
      <c r="AZ792" t="inlineStr"/>
      <c r="BA792" t="inlineStr"/>
      <c r="BB792" t="inlineStr"/>
      <c r="BC792" t="inlineStr"/>
      <c r="BD792" t="inlineStr"/>
      <c r="BE792" t="inlineStr"/>
      <c r="BF792" t="inlineStr"/>
      <c r="BG792" t="n">
        <v>110</v>
      </c>
      <c r="BH792" t="inlineStr"/>
      <c r="BI792" t="inlineStr"/>
      <c r="BJ792" t="inlineStr"/>
      <c r="BK792" t="inlineStr"/>
      <c r="BL792" t="inlineStr"/>
      <c r="BM792" t="inlineStr">
        <is>
          <t>n</t>
        </is>
      </c>
      <c r="BN792" t="n">
        <v>0</v>
      </c>
      <c r="BO792" t="inlineStr"/>
      <c r="BP792" t="inlineStr">
        <is>
          <t>Gewebe</t>
        </is>
      </c>
      <c r="BQ792" t="inlineStr"/>
      <c r="BR792" t="inlineStr"/>
      <c r="BS792" t="inlineStr"/>
      <c r="BT792" t="inlineStr"/>
      <c r="BU792" t="inlineStr"/>
      <c r="BV792" t="inlineStr"/>
      <c r="BW792" t="inlineStr"/>
      <c r="BX792" t="inlineStr"/>
      <c r="BY792" t="inlineStr"/>
      <c r="BZ792" t="inlineStr"/>
      <c r="CA792" t="inlineStr"/>
      <c r="CB792" t="inlineStr"/>
      <c r="CC792" t="inlineStr"/>
      <c r="CD792" t="inlineStr"/>
      <c r="CE792" t="inlineStr"/>
      <c r="CF792" t="inlineStr"/>
      <c r="CG792" t="inlineStr"/>
      <c r="CH792" t="inlineStr"/>
      <c r="CI792" t="inlineStr"/>
      <c r="CJ792" t="inlineStr"/>
      <c r="CK792" t="inlineStr"/>
      <c r="CL792" t="inlineStr"/>
      <c r="CM792" t="inlineStr"/>
      <c r="CN792" t="inlineStr"/>
      <c r="CO792" t="inlineStr"/>
      <c r="CP792" t="inlineStr"/>
      <c r="CQ792" t="inlineStr"/>
      <c r="CR792" t="inlineStr"/>
      <c r="CS792" t="inlineStr"/>
      <c r="CT792" t="inlineStr"/>
      <c r="CU792" t="inlineStr"/>
      <c r="CV792" t="inlineStr"/>
      <c r="CW792" t="inlineStr"/>
      <c r="CX792" t="inlineStr"/>
      <c r="CY792" t="inlineStr"/>
      <c r="CZ792" t="inlineStr"/>
      <c r="DA792" t="inlineStr"/>
      <c r="DB792" t="inlineStr"/>
      <c r="DC792" t="inlineStr"/>
      <c r="DD792" t="inlineStr"/>
      <c r="DE792" t="inlineStr"/>
      <c r="DF792" t="inlineStr"/>
      <c r="DG792" t="inlineStr"/>
    </row>
    <row r="793">
      <c r="A793" t="inlineStr">
        <is>
          <t>III</t>
        </is>
      </c>
      <c r="B793" t="b">
        <v>1</v>
      </c>
      <c r="C793" t="inlineStr"/>
      <c r="D793" t="inlineStr"/>
      <c r="E793" t="n">
        <v>881</v>
      </c>
      <c r="F793">
        <f>HYPERLINK("https://portal.dnb.de/opac.htm?method=simpleSearch&amp;cqlMode=true&amp;query=idn%3D995967695", "Portal")</f>
        <v/>
      </c>
      <c r="G793" t="inlineStr">
        <is>
          <t>Aal</t>
        </is>
      </c>
      <c r="H793" t="inlineStr">
        <is>
          <t>L-1513-161493610</t>
        </is>
      </c>
      <c r="I793" t="inlineStr">
        <is>
          <t>995967695</t>
        </is>
      </c>
      <c r="J793" t="inlineStr">
        <is>
          <t>III 95, 13</t>
        </is>
      </c>
      <c r="K793" t="inlineStr">
        <is>
          <t>III 95, 13</t>
        </is>
      </c>
      <c r="L793" t="inlineStr">
        <is>
          <t>III 95, 13</t>
        </is>
      </c>
      <c r="M793" t="inlineStr"/>
      <c r="N793" t="inlineStr">
        <is>
          <t>Nauicula siue specu||lum fatuor[?] Prestantissimi sacrar[?]|| Doctoris Johannis Geiler Keysersber||gij Concionatoris Argentine[?].||a Jacobo Otthero||</t>
        </is>
      </c>
      <c r="O793" t="inlineStr">
        <is>
          <t xml:space="preserve"> : </t>
        </is>
      </c>
      <c r="P793" t="inlineStr"/>
      <c r="Q793" t="inlineStr"/>
      <c r="R793" t="inlineStr"/>
      <c r="S793" t="inlineStr">
        <is>
          <t>bis 25 cm</t>
        </is>
      </c>
      <c r="T793" t="inlineStr"/>
      <c r="U793" t="inlineStr"/>
      <c r="V793" t="inlineStr"/>
      <c r="W793" t="inlineStr"/>
      <c r="X793" t="inlineStr"/>
      <c r="Y793" t="inlineStr"/>
      <c r="Z793" t="inlineStr"/>
      <c r="AA793" t="inlineStr"/>
      <c r="AB793" t="inlineStr"/>
      <c r="AC793" t="inlineStr"/>
      <c r="AD793" t="inlineStr"/>
      <c r="AE793" t="inlineStr"/>
      <c r="AF793" t="inlineStr"/>
      <c r="AG793" t="inlineStr"/>
      <c r="AH793" t="inlineStr"/>
      <c r="AI793" t="inlineStr">
        <is>
          <t>G</t>
        </is>
      </c>
      <c r="AJ793" t="inlineStr"/>
      <c r="AK793" t="inlineStr"/>
      <c r="AL793" t="inlineStr"/>
      <c r="AM793" t="inlineStr">
        <is>
          <t>h/E</t>
        </is>
      </c>
      <c r="AN793" t="inlineStr"/>
      <c r="AO793" t="inlineStr"/>
      <c r="AP793" t="inlineStr"/>
      <c r="AQ793" t="inlineStr"/>
      <c r="AR793" t="inlineStr"/>
      <c r="AS793" t="inlineStr">
        <is>
          <t>Pa</t>
        </is>
      </c>
      <c r="AT793" t="inlineStr"/>
      <c r="AU793" t="inlineStr"/>
      <c r="AV793" t="inlineStr"/>
      <c r="AW793" t="inlineStr"/>
      <c r="AX793" t="inlineStr"/>
      <c r="AY793" t="inlineStr"/>
      <c r="AZ793" t="inlineStr"/>
      <c r="BA793" t="inlineStr"/>
      <c r="BB793" t="inlineStr"/>
      <c r="BC793" t="inlineStr"/>
      <c r="BD793" t="inlineStr"/>
      <c r="BE793" t="inlineStr"/>
      <c r="BF793" t="inlineStr"/>
      <c r="BG793" t="n">
        <v>110</v>
      </c>
      <c r="BH793" t="inlineStr"/>
      <c r="BI793" t="inlineStr"/>
      <c r="BJ793" t="inlineStr"/>
      <c r="BK793" t="inlineStr"/>
      <c r="BL793" t="inlineStr"/>
      <c r="BM793" t="inlineStr">
        <is>
          <t>n</t>
        </is>
      </c>
      <c r="BN793" t="n">
        <v>0</v>
      </c>
      <c r="BO793" t="inlineStr"/>
      <c r="BP793" t="inlineStr"/>
      <c r="BQ793" t="inlineStr"/>
      <c r="BR793" t="inlineStr"/>
      <c r="BS793" t="inlineStr"/>
      <c r="BT793" t="inlineStr"/>
      <c r="BU793" t="inlineStr"/>
      <c r="BV793" t="inlineStr"/>
      <c r="BW793" t="inlineStr"/>
      <c r="BX793" t="inlineStr"/>
      <c r="BY793" t="inlineStr"/>
      <c r="BZ793" t="inlineStr"/>
      <c r="CA793" t="inlineStr"/>
      <c r="CB793" t="inlineStr"/>
      <c r="CC793" t="inlineStr"/>
      <c r="CD793" t="inlineStr"/>
      <c r="CE793" t="inlineStr"/>
      <c r="CF793" t="inlineStr"/>
      <c r="CG793" t="inlineStr"/>
      <c r="CH793" t="inlineStr"/>
      <c r="CI793" t="inlineStr"/>
      <c r="CJ793" t="inlineStr"/>
      <c r="CK793" t="inlineStr"/>
      <c r="CL793" t="inlineStr"/>
      <c r="CM793" t="inlineStr"/>
      <c r="CN793" t="inlineStr"/>
      <c r="CO793" t="inlineStr"/>
      <c r="CP793" t="inlineStr"/>
      <c r="CQ793" t="inlineStr"/>
      <c r="CR793" t="inlineStr"/>
      <c r="CS793" t="inlineStr"/>
      <c r="CT793" t="inlineStr"/>
      <c r="CU793" t="inlineStr"/>
      <c r="CV793" t="inlineStr"/>
      <c r="CW793" t="inlineStr"/>
      <c r="CX793" t="inlineStr"/>
      <c r="CY793" t="inlineStr"/>
      <c r="CZ793" t="inlineStr"/>
      <c r="DA793" t="inlineStr"/>
      <c r="DB793" t="inlineStr"/>
      <c r="DC793" t="inlineStr"/>
      <c r="DD793" t="inlineStr"/>
      <c r="DE793" t="inlineStr"/>
      <c r="DF793" t="inlineStr"/>
      <c r="DG793" t="inlineStr"/>
    </row>
    <row r="794">
      <c r="A794" t="inlineStr">
        <is>
          <t>III</t>
        </is>
      </c>
      <c r="B794" t="b">
        <v>1</v>
      </c>
      <c r="C794" t="inlineStr"/>
      <c r="D794" t="inlineStr"/>
      <c r="E794" t="n">
        <v>918</v>
      </c>
      <c r="F794">
        <f>HYPERLINK("https://portal.dnb.de/opac.htm?method=simpleSearch&amp;cqlMode=true&amp;query=idn%3D995967695", "Portal")</f>
        <v/>
      </c>
      <c r="G794" t="inlineStr">
        <is>
          <t>Aal</t>
        </is>
      </c>
      <c r="H794" t="inlineStr">
        <is>
          <t>L-1513-16149370X</t>
        </is>
      </c>
      <c r="I794" t="inlineStr">
        <is>
          <t>995967695</t>
        </is>
      </c>
      <c r="J794" t="inlineStr">
        <is>
          <t>III 95, 13 a</t>
        </is>
      </c>
      <c r="K794" t="inlineStr">
        <is>
          <t>III 95, 13 a</t>
        </is>
      </c>
      <c r="L794" t="inlineStr">
        <is>
          <t>III 95, 13/a</t>
        </is>
      </c>
      <c r="M794" t="inlineStr"/>
      <c r="N794" t="inlineStr">
        <is>
          <t>Nauicula siue specu||lum fatuor[?] Prestantissimi sacrar[?]|| Doctoris Johannis Geiler Keysersber||gij Concionatoris Argentine[?].||a Jacobo Otthero||</t>
        </is>
      </c>
      <c r="O794" t="inlineStr">
        <is>
          <t xml:space="preserve"> : </t>
        </is>
      </c>
      <c r="P794" t="inlineStr"/>
      <c r="Q794" t="inlineStr"/>
      <c r="R794" t="inlineStr"/>
      <c r="S794" t="inlineStr">
        <is>
          <t>bis 25 cm</t>
        </is>
      </c>
      <c r="T794" t="inlineStr"/>
      <c r="U794" t="inlineStr"/>
      <c r="V794" t="inlineStr"/>
      <c r="W794" t="inlineStr"/>
      <c r="X794" t="inlineStr"/>
      <c r="Y794" t="inlineStr"/>
      <c r="Z794" t="inlineStr"/>
      <c r="AA794" t="inlineStr"/>
      <c r="AB794" t="inlineStr"/>
      <c r="AC794" t="inlineStr"/>
      <c r="AD794" t="inlineStr"/>
      <c r="AE794" t="inlineStr"/>
      <c r="AF794" t="inlineStr"/>
      <c r="AG794" t="inlineStr"/>
      <c r="AH794" t="inlineStr"/>
      <c r="AI794" t="inlineStr">
        <is>
          <t>HD</t>
        </is>
      </c>
      <c r="AJ794" t="inlineStr"/>
      <c r="AK794" t="inlineStr"/>
      <c r="AL794" t="inlineStr">
        <is>
          <t>x</t>
        </is>
      </c>
      <c r="AM794" t="inlineStr">
        <is>
          <t>f</t>
        </is>
      </c>
      <c r="AN794" t="inlineStr"/>
      <c r="AO794" t="inlineStr"/>
      <c r="AP794" t="inlineStr"/>
      <c r="AQ794" t="inlineStr"/>
      <c r="AR794" t="inlineStr"/>
      <c r="AS794" t="inlineStr">
        <is>
          <t>Pa</t>
        </is>
      </c>
      <c r="AT794" t="inlineStr"/>
      <c r="AU794" t="inlineStr"/>
      <c r="AV794" t="inlineStr"/>
      <c r="AW794" t="inlineStr"/>
      <c r="AX794" t="inlineStr"/>
      <c r="AY794" t="inlineStr"/>
      <c r="AZ794" t="inlineStr"/>
      <c r="BA794" t="inlineStr"/>
      <c r="BB794" t="inlineStr"/>
      <c r="BC794" t="inlineStr"/>
      <c r="BD794" t="inlineStr"/>
      <c r="BE794" t="inlineStr"/>
      <c r="BF794" t="inlineStr"/>
      <c r="BG794" t="n">
        <v>110</v>
      </c>
      <c r="BH794" t="inlineStr"/>
      <c r="BI794" t="inlineStr"/>
      <c r="BJ794" t="inlineStr"/>
      <c r="BK794" t="inlineStr"/>
      <c r="BL794" t="inlineStr"/>
      <c r="BM794" t="inlineStr">
        <is>
          <t>n</t>
        </is>
      </c>
      <c r="BN794" t="n">
        <v>0</v>
      </c>
      <c r="BO794" t="inlineStr"/>
      <c r="BP794" t="inlineStr">
        <is>
          <t>Gewebe</t>
        </is>
      </c>
      <c r="BQ794" t="inlineStr"/>
      <c r="BR794" t="inlineStr"/>
      <c r="BS794" t="inlineStr"/>
      <c r="BT794" t="inlineStr"/>
      <c r="BU794" t="inlineStr"/>
      <c r="BV794" t="inlineStr"/>
      <c r="BW794" t="inlineStr"/>
      <c r="BX794" t="inlineStr"/>
      <c r="BY794" t="inlineStr"/>
      <c r="BZ794" t="inlineStr"/>
      <c r="CA794" t="inlineStr"/>
      <c r="CB794" t="inlineStr"/>
      <c r="CC794" t="inlineStr"/>
      <c r="CD794" t="inlineStr"/>
      <c r="CE794" t="inlineStr"/>
      <c r="CF794" t="inlineStr"/>
      <c r="CG794" t="inlineStr"/>
      <c r="CH794" t="inlineStr"/>
      <c r="CI794" t="inlineStr"/>
      <c r="CJ794" t="inlineStr"/>
      <c r="CK794" t="inlineStr"/>
      <c r="CL794" t="inlineStr"/>
      <c r="CM794" t="inlineStr"/>
      <c r="CN794" t="inlineStr"/>
      <c r="CO794" t="inlineStr"/>
      <c r="CP794" t="inlineStr"/>
      <c r="CQ794" t="inlineStr"/>
      <c r="CR794" t="inlineStr"/>
      <c r="CS794" t="inlineStr"/>
      <c r="CT794" t="inlineStr"/>
      <c r="CU794" t="inlineStr"/>
      <c r="CV794" t="inlineStr"/>
      <c r="CW794" t="inlineStr"/>
      <c r="CX794" t="inlineStr"/>
      <c r="CY794" t="inlineStr"/>
      <c r="CZ794" t="inlineStr"/>
      <c r="DA794" t="inlineStr"/>
      <c r="DB794" t="inlineStr"/>
      <c r="DC794" t="inlineStr"/>
      <c r="DD794" t="inlineStr"/>
      <c r="DE794" t="inlineStr"/>
      <c r="DF794" t="inlineStr"/>
      <c r="DG794" t="inlineStr"/>
    </row>
    <row r="795">
      <c r="A795" t="inlineStr">
        <is>
          <t>III</t>
        </is>
      </c>
      <c r="B795" t="b">
        <v>0</v>
      </c>
      <c r="C795" t="inlineStr"/>
      <c r="D795" t="inlineStr"/>
      <c r="E795" t="n">
        <v>883</v>
      </c>
      <c r="F795">
        <f>HYPERLINK("https://portal.dnb.de/opac.htm?method=simpleSearch&amp;cqlMode=true&amp;query=idn%3D1066937214", "Portal")</f>
        <v/>
      </c>
      <c r="G795" t="inlineStr"/>
      <c r="H795" t="inlineStr">
        <is>
          <t>L-1516-315465034</t>
        </is>
      </c>
      <c r="I795" t="inlineStr">
        <is>
          <t>1066937214</t>
        </is>
      </c>
      <c r="J795" t="inlineStr"/>
      <c r="K795" t="inlineStr"/>
      <c r="L795" t="inlineStr">
        <is>
          <t>III 95, 14</t>
        </is>
      </c>
      <c r="M795" t="inlineStr"/>
      <c r="N795" t="inlineStr"/>
      <c r="O795" t="inlineStr"/>
      <c r="P795" t="inlineStr"/>
      <c r="Q795" t="inlineStr"/>
      <c r="R795" t="inlineStr"/>
      <c r="S795" t="inlineStr">
        <is>
          <t>bis 35 cm</t>
        </is>
      </c>
      <c r="T795" t="inlineStr"/>
      <c r="U795" t="inlineStr"/>
      <c r="V795" t="inlineStr"/>
      <c r="W795" t="inlineStr"/>
      <c r="X795" t="inlineStr"/>
      <c r="Y795" t="inlineStr"/>
      <c r="Z795" t="inlineStr"/>
      <c r="AA795" t="inlineStr"/>
      <c r="AB795" t="inlineStr"/>
      <c r="AC795" t="inlineStr"/>
      <c r="AD795" t="inlineStr"/>
      <c r="AE795" t="inlineStr"/>
      <c r="AF795" t="inlineStr"/>
      <c r="AG795" t="inlineStr"/>
      <c r="AH795" t="inlineStr"/>
      <c r="AI795" t="inlineStr">
        <is>
          <t>HD</t>
        </is>
      </c>
      <c r="AJ795" t="inlineStr"/>
      <c r="AK795" t="inlineStr">
        <is>
          <t>x</t>
        </is>
      </c>
      <c r="AL795" t="inlineStr"/>
      <c r="AM795" t="inlineStr">
        <is>
          <t>f</t>
        </is>
      </c>
      <c r="AN795" t="inlineStr"/>
      <c r="AO795" t="inlineStr"/>
      <c r="AP795" t="inlineStr"/>
      <c r="AQ795" t="inlineStr"/>
      <c r="AR795" t="inlineStr"/>
      <c r="AS795" t="inlineStr">
        <is>
          <t>Pa</t>
        </is>
      </c>
      <c r="AT795" t="inlineStr"/>
      <c r="AU795" t="inlineStr"/>
      <c r="AV795" t="inlineStr"/>
      <c r="AW795" t="inlineStr"/>
      <c r="AX795" t="inlineStr"/>
      <c r="AY795" t="inlineStr"/>
      <c r="AZ795" t="inlineStr"/>
      <c r="BA795" t="inlineStr"/>
      <c r="BB795" t="inlineStr"/>
      <c r="BC795" t="inlineStr"/>
      <c r="BD795" t="inlineStr"/>
      <c r="BE795" t="inlineStr"/>
      <c r="BF795" t="inlineStr"/>
      <c r="BG795" t="n">
        <v>110</v>
      </c>
      <c r="BH795" t="inlineStr"/>
      <c r="BI795" t="inlineStr"/>
      <c r="BJ795" t="inlineStr"/>
      <c r="BK795" t="inlineStr"/>
      <c r="BL795" t="inlineStr"/>
      <c r="BM795" t="inlineStr">
        <is>
          <t>n</t>
        </is>
      </c>
      <c r="BN795" t="n">
        <v>0</v>
      </c>
      <c r="BO795" t="inlineStr"/>
      <c r="BP795" t="inlineStr"/>
      <c r="BQ795" t="inlineStr"/>
      <c r="BR795" t="inlineStr">
        <is>
          <t>x</t>
        </is>
      </c>
      <c r="BS795" t="inlineStr"/>
      <c r="BT795" t="inlineStr"/>
      <c r="BU795" t="inlineStr"/>
      <c r="BV795" t="inlineStr"/>
      <c r="BW795" t="inlineStr"/>
      <c r="BX795" t="inlineStr"/>
      <c r="BY795" t="inlineStr"/>
      <c r="BZ795" t="inlineStr"/>
      <c r="CA795" t="inlineStr"/>
      <c r="CB795" t="inlineStr"/>
      <c r="CC795" t="inlineStr"/>
      <c r="CD795" t="inlineStr"/>
      <c r="CE795" t="inlineStr"/>
      <c r="CF795" t="inlineStr"/>
      <c r="CG795" t="inlineStr"/>
      <c r="CH795" t="inlineStr"/>
      <c r="CI795" t="inlineStr"/>
      <c r="CJ795" t="inlineStr"/>
      <c r="CK795" t="inlineStr"/>
      <c r="CL795" t="inlineStr"/>
      <c r="CM795" t="inlineStr"/>
      <c r="CN795" t="inlineStr"/>
      <c r="CO795" t="inlineStr"/>
      <c r="CP795" t="inlineStr"/>
      <c r="CQ795" t="inlineStr"/>
      <c r="CR795" t="inlineStr"/>
      <c r="CS795" t="inlineStr"/>
      <c r="CT795" t="inlineStr"/>
      <c r="CU795" t="inlineStr"/>
      <c r="CV795" t="inlineStr"/>
      <c r="CW795" t="inlineStr"/>
      <c r="CX795" t="inlineStr"/>
      <c r="CY795" t="inlineStr"/>
      <c r="CZ795" t="inlineStr"/>
      <c r="DA795" t="inlineStr"/>
      <c r="DB795" t="inlineStr"/>
      <c r="DC795" t="inlineStr"/>
      <c r="DD795" t="inlineStr"/>
      <c r="DE795" t="inlineStr"/>
      <c r="DF795" t="inlineStr"/>
      <c r="DG795" t="inlineStr"/>
    </row>
    <row r="796">
      <c r="A796" t="inlineStr">
        <is>
          <t>III</t>
        </is>
      </c>
      <c r="B796" t="b">
        <v>1</v>
      </c>
      <c r="C796" t="inlineStr"/>
      <c r="D796" t="inlineStr"/>
      <c r="E796" t="n">
        <v>919</v>
      </c>
      <c r="F796">
        <f>HYPERLINK("https://portal.dnb.de/opac.htm?method=simpleSearch&amp;cqlMode=true&amp;query=idn%3D99810082X", "Portal")</f>
        <v/>
      </c>
      <c r="G796" t="inlineStr">
        <is>
          <t>Aal</t>
        </is>
      </c>
      <c r="H796" t="inlineStr">
        <is>
          <t>L-1517-165577657</t>
        </is>
      </c>
      <c r="I796" t="inlineStr">
        <is>
          <t>99810082X</t>
        </is>
      </c>
      <c r="J796" t="inlineStr">
        <is>
          <t>III 95, 14 a</t>
        </is>
      </c>
      <c r="K796" t="inlineStr">
        <is>
          <t>III 95, 14 a</t>
        </is>
      </c>
      <c r="L796" t="inlineStr">
        <is>
          <t>III 95, 14 a</t>
        </is>
      </c>
      <c r="M796" t="inlineStr"/>
      <c r="N796" t="inlineStr">
        <is>
          <t>Das @ist der geistlich streit|| gemacht vnnd gepredigt worden durch|| den Hochgelertenn Bayder Rechtenn|| Doctor Vlrich krafft pfarrer zu Vlm|| außget</t>
        </is>
      </c>
      <c r="O796" t="inlineStr">
        <is>
          <t xml:space="preserve"> : </t>
        </is>
      </c>
      <c r="P796" t="inlineStr"/>
      <c r="Q796" t="inlineStr"/>
      <c r="R796" t="inlineStr"/>
      <c r="S796" t="inlineStr">
        <is>
          <t>bis 25 cm</t>
        </is>
      </c>
      <c r="T796" t="inlineStr"/>
      <c r="U796" t="inlineStr"/>
      <c r="V796" t="inlineStr"/>
      <c r="W796" t="inlineStr"/>
      <c r="X796" t="inlineStr"/>
      <c r="Y796" t="inlineStr"/>
      <c r="Z796" t="inlineStr"/>
      <c r="AA796" t="inlineStr"/>
      <c r="AB796" t="inlineStr"/>
      <c r="AC796" t="inlineStr"/>
      <c r="AD796" t="inlineStr"/>
      <c r="AE796" t="inlineStr"/>
      <c r="AF796" t="inlineStr"/>
      <c r="AG796" t="inlineStr"/>
      <c r="AH796" t="inlineStr"/>
      <c r="AI796" t="inlineStr">
        <is>
          <t>HPg</t>
        </is>
      </c>
      <c r="AJ796" t="inlineStr"/>
      <c r="AK796" t="inlineStr"/>
      <c r="AL796" t="inlineStr"/>
      <c r="AM796" t="inlineStr">
        <is>
          <t>h/E</t>
        </is>
      </c>
      <c r="AN796" t="inlineStr"/>
      <c r="AO796" t="inlineStr"/>
      <c r="AP796" t="inlineStr"/>
      <c r="AQ796" t="inlineStr"/>
      <c r="AR796" t="inlineStr"/>
      <c r="AS796" t="inlineStr">
        <is>
          <t>Pa</t>
        </is>
      </c>
      <c r="AT796" t="inlineStr"/>
      <c r="AU796" t="inlineStr"/>
      <c r="AV796" t="inlineStr"/>
      <c r="AW796" t="inlineStr"/>
      <c r="AX796" t="inlineStr"/>
      <c r="AY796" t="inlineStr"/>
      <c r="AZ796" t="inlineStr"/>
      <c r="BA796" t="inlineStr"/>
      <c r="BB796" t="inlineStr"/>
      <c r="BC796" t="inlineStr"/>
      <c r="BD796" t="inlineStr"/>
      <c r="BE796" t="inlineStr"/>
      <c r="BF796" t="inlineStr"/>
      <c r="BG796" t="n">
        <v>110</v>
      </c>
      <c r="BH796" t="inlineStr"/>
      <c r="BI796" t="inlineStr"/>
      <c r="BJ796" t="inlineStr"/>
      <c r="BK796" t="inlineStr"/>
      <c r="BL796" t="inlineStr"/>
      <c r="BM796" t="inlineStr">
        <is>
          <t>n</t>
        </is>
      </c>
      <c r="BN796" t="n">
        <v>0</v>
      </c>
      <c r="BO796" t="inlineStr"/>
      <c r="BP796" t="inlineStr"/>
      <c r="BQ796" t="inlineStr"/>
      <c r="BR796" t="inlineStr"/>
      <c r="BS796" t="inlineStr"/>
      <c r="BT796" t="inlineStr"/>
      <c r="BU796" t="inlineStr"/>
      <c r="BV796" t="inlineStr"/>
      <c r="BW796" t="inlineStr"/>
      <c r="BX796" t="inlineStr"/>
      <c r="BY796" t="inlineStr"/>
      <c r="BZ796" t="inlineStr"/>
      <c r="CA796" t="inlineStr"/>
      <c r="CB796" t="inlineStr"/>
      <c r="CC796" t="inlineStr"/>
      <c r="CD796" t="inlineStr"/>
      <c r="CE796" t="inlineStr"/>
      <c r="CF796" t="inlineStr"/>
      <c r="CG796" t="inlineStr"/>
      <c r="CH796" t="inlineStr"/>
      <c r="CI796" t="inlineStr"/>
      <c r="CJ796" t="inlineStr"/>
      <c r="CK796" t="inlineStr"/>
      <c r="CL796" t="inlineStr"/>
      <c r="CM796" t="inlineStr"/>
      <c r="CN796" t="inlineStr"/>
      <c r="CO796" t="inlineStr"/>
      <c r="CP796" t="inlineStr"/>
      <c r="CQ796" t="inlineStr"/>
      <c r="CR796" t="inlineStr"/>
      <c r="CS796" t="inlineStr"/>
      <c r="CT796" t="inlineStr"/>
      <c r="CU796" t="inlineStr"/>
      <c r="CV796" t="inlineStr"/>
      <c r="CW796" t="inlineStr"/>
      <c r="CX796" t="inlineStr"/>
      <c r="CY796" t="inlineStr"/>
      <c r="CZ796" t="inlineStr"/>
      <c r="DA796" t="inlineStr"/>
      <c r="DB796" t="inlineStr"/>
      <c r="DC796" t="inlineStr"/>
      <c r="DD796" t="inlineStr"/>
      <c r="DE796" t="inlineStr"/>
      <c r="DF796" t="inlineStr"/>
      <c r="DG796" t="inlineStr"/>
    </row>
    <row r="797">
      <c r="A797" t="inlineStr">
        <is>
          <t>III</t>
        </is>
      </c>
      <c r="B797" t="b">
        <v>1</v>
      </c>
      <c r="C797" t="inlineStr"/>
      <c r="D797" t="inlineStr"/>
      <c r="E797" t="n">
        <v>920</v>
      </c>
      <c r="F797">
        <f>HYPERLINK("https://portal.dnb.de/opac.htm?method=simpleSearch&amp;cqlMode=true&amp;query=idn%3D994401965", "Portal")</f>
        <v/>
      </c>
      <c r="G797" t="inlineStr">
        <is>
          <t>Aal</t>
        </is>
      </c>
      <c r="H797" t="inlineStr">
        <is>
          <t>L-1516-155603256</t>
        </is>
      </c>
      <c r="I797" t="inlineStr">
        <is>
          <t>994401965</t>
        </is>
      </c>
      <c r="J797" t="inlineStr">
        <is>
          <t>III 95, 14/b</t>
        </is>
      </c>
      <c r="K797" t="inlineStr">
        <is>
          <t>III 95, 14/b</t>
        </is>
      </c>
      <c r="L797" t="inlineStr">
        <is>
          <t>III 95, 14/b</t>
        </is>
      </c>
      <c r="M797" t="inlineStr"/>
      <c r="N797" t="inlineStr">
        <is>
          <t>Pupilla oculi|| De septem Sacramentoru admini||stratione:de decem Preceptis decalogi:ceteris[que] ecclesiastico[rum]|| ... officijs: Joannis de|| Burg</t>
        </is>
      </c>
      <c r="O797" t="inlineStr">
        <is>
          <t xml:space="preserve"> : </t>
        </is>
      </c>
      <c r="P797" t="inlineStr"/>
      <c r="Q797" t="inlineStr"/>
      <c r="R797" t="inlineStr"/>
      <c r="S797" t="inlineStr">
        <is>
          <t>bis 25 cm</t>
        </is>
      </c>
      <c r="T797" t="inlineStr"/>
      <c r="U797" t="inlineStr"/>
      <c r="V797" t="inlineStr"/>
      <c r="W797" t="inlineStr"/>
      <c r="X797" t="inlineStr"/>
      <c r="Y797" t="inlineStr"/>
      <c r="Z797" t="inlineStr"/>
      <c r="AA797" t="inlineStr"/>
      <c r="AB797" t="inlineStr"/>
      <c r="AC797" t="inlineStr"/>
      <c r="AD797" t="inlineStr"/>
      <c r="AE797" t="inlineStr"/>
      <c r="AF797" t="inlineStr"/>
      <c r="AG797" t="inlineStr"/>
      <c r="AH797" t="inlineStr"/>
      <c r="AI797" t="inlineStr">
        <is>
          <t>HD</t>
        </is>
      </c>
      <c r="AJ797" t="inlineStr"/>
      <c r="AK797" t="inlineStr"/>
      <c r="AL797" t="inlineStr">
        <is>
          <t>x</t>
        </is>
      </c>
      <c r="AM797" t="inlineStr">
        <is>
          <t>f</t>
        </is>
      </c>
      <c r="AN797" t="inlineStr"/>
      <c r="AO797" t="inlineStr"/>
      <c r="AP797" t="inlineStr"/>
      <c r="AQ797" t="inlineStr"/>
      <c r="AR797" t="inlineStr"/>
      <c r="AS797" t="inlineStr">
        <is>
          <t>Pa</t>
        </is>
      </c>
      <c r="AT797" t="inlineStr"/>
      <c r="AU797" t="inlineStr"/>
      <c r="AV797" t="inlineStr"/>
      <c r="AW797" t="inlineStr"/>
      <c r="AX797" t="inlineStr">
        <is>
          <t>x</t>
        </is>
      </c>
      <c r="AY797" t="inlineStr"/>
      <c r="AZ797" t="inlineStr"/>
      <c r="BA797" t="inlineStr"/>
      <c r="BB797" t="inlineStr"/>
      <c r="BC797" t="inlineStr"/>
      <c r="BD797" t="inlineStr"/>
      <c r="BE797" t="inlineStr"/>
      <c r="BF797" t="inlineStr"/>
      <c r="BG797" t="n">
        <v>110</v>
      </c>
      <c r="BH797" t="inlineStr"/>
      <c r="BI797" t="inlineStr"/>
      <c r="BJ797" t="inlineStr"/>
      <c r="BK797" t="inlineStr"/>
      <c r="BL797" t="inlineStr"/>
      <c r="BM797" t="inlineStr">
        <is>
          <t>n</t>
        </is>
      </c>
      <c r="BN797" t="n">
        <v>0</v>
      </c>
      <c r="BO797" t="inlineStr"/>
      <c r="BP797" t="inlineStr">
        <is>
          <t>Gewebe</t>
        </is>
      </c>
      <c r="BQ797" t="inlineStr"/>
      <c r="BR797" t="inlineStr"/>
      <c r="BS797" t="inlineStr"/>
      <c r="BT797" t="inlineStr"/>
      <c r="BU797" t="inlineStr"/>
      <c r="BV797" t="inlineStr"/>
      <c r="BW797" t="inlineStr"/>
      <c r="BX797" t="inlineStr"/>
      <c r="BY797" t="inlineStr"/>
      <c r="BZ797" t="inlineStr"/>
      <c r="CA797" t="inlineStr"/>
      <c r="CB797" t="inlineStr"/>
      <c r="CC797" t="inlineStr"/>
      <c r="CD797" t="inlineStr"/>
      <c r="CE797" t="inlineStr"/>
      <c r="CF797" t="inlineStr"/>
      <c r="CG797" t="inlineStr"/>
      <c r="CH797" t="inlineStr"/>
      <c r="CI797" t="inlineStr"/>
      <c r="CJ797" t="inlineStr"/>
      <c r="CK797" t="inlineStr"/>
      <c r="CL797" t="inlineStr"/>
      <c r="CM797" t="inlineStr"/>
      <c r="CN797" t="inlineStr"/>
      <c r="CO797" t="inlineStr"/>
      <c r="CP797" t="inlineStr"/>
      <c r="CQ797" t="inlineStr"/>
      <c r="CR797" t="inlineStr"/>
      <c r="CS797" t="inlineStr"/>
      <c r="CT797" t="inlineStr"/>
      <c r="CU797" t="inlineStr"/>
      <c r="CV797" t="inlineStr"/>
      <c r="CW797" t="inlineStr"/>
      <c r="CX797" t="inlineStr"/>
      <c r="CY797" t="inlineStr"/>
      <c r="CZ797" t="inlineStr"/>
      <c r="DA797" t="inlineStr"/>
      <c r="DB797" t="inlineStr"/>
      <c r="DC797" t="inlineStr"/>
      <c r="DD797" t="inlineStr"/>
      <c r="DE797" t="inlineStr"/>
      <c r="DF797" t="inlineStr"/>
      <c r="DG797" t="inlineStr"/>
    </row>
    <row r="798">
      <c r="A798" t="inlineStr">
        <is>
          <t>III</t>
        </is>
      </c>
      <c r="B798" t="b">
        <v>1</v>
      </c>
      <c r="C798" t="inlineStr"/>
      <c r="D798" t="inlineStr"/>
      <c r="E798" t="n">
        <v>884</v>
      </c>
      <c r="F798">
        <f>HYPERLINK("https://portal.dnb.de/opac.htm?method=simpleSearch&amp;cqlMode=true&amp;query=idn%3D1066799520", "Portal")</f>
        <v/>
      </c>
      <c r="G798" t="inlineStr">
        <is>
          <t>Aaf</t>
        </is>
      </c>
      <c r="H798" t="inlineStr">
        <is>
          <t>L-1519-315219564</t>
        </is>
      </c>
      <c r="I798" t="inlineStr">
        <is>
          <t>1066799520</t>
        </is>
      </c>
      <c r="J798" t="inlineStr">
        <is>
          <t>III 95, 15</t>
        </is>
      </c>
      <c r="K798" t="inlineStr">
        <is>
          <t>III 95, 15</t>
        </is>
      </c>
      <c r="L798" t="inlineStr">
        <is>
          <t>III 95, 15</t>
        </is>
      </c>
      <c r="M798" t="inlineStr"/>
      <c r="N798" t="inlineStr">
        <is>
          <t xml:space="preserve">Die @syben Bůszpsalmen Mit teütscher auszlegung, Nach dem schrifftlichen synne ... grundtlich gerichtet. : </t>
        </is>
      </c>
      <c r="O798" t="inlineStr">
        <is>
          <t xml:space="preserve"> : </t>
        </is>
      </c>
      <c r="P798" t="inlineStr"/>
      <c r="Q798" t="inlineStr"/>
      <c r="R798" t="inlineStr"/>
      <c r="S798" t="inlineStr">
        <is>
          <t>bis 25 cm</t>
        </is>
      </c>
      <c r="T798" t="inlineStr"/>
      <c r="U798" t="inlineStr"/>
      <c r="V798" t="inlineStr"/>
      <c r="W798" t="inlineStr"/>
      <c r="X798" t="inlineStr"/>
      <c r="Y798" t="inlineStr"/>
      <c r="Z798" t="inlineStr"/>
      <c r="AA798" t="inlineStr"/>
      <c r="AB798" t="inlineStr"/>
      <c r="AC798" t="inlineStr"/>
      <c r="AD798" t="inlineStr"/>
      <c r="AE798" t="inlineStr"/>
      <c r="AF798" t="inlineStr"/>
      <c r="AG798" t="inlineStr"/>
      <c r="AH798" t="inlineStr"/>
      <c r="AI798" t="inlineStr">
        <is>
          <t>G</t>
        </is>
      </c>
      <c r="AJ798" t="inlineStr"/>
      <c r="AK798" t="inlineStr"/>
      <c r="AL798" t="inlineStr"/>
      <c r="AM798" t="inlineStr">
        <is>
          <t>h/E</t>
        </is>
      </c>
      <c r="AN798" t="inlineStr"/>
      <c r="AO798" t="inlineStr"/>
      <c r="AP798" t="inlineStr"/>
      <c r="AQ798" t="inlineStr"/>
      <c r="AR798" t="inlineStr"/>
      <c r="AS798" t="inlineStr">
        <is>
          <t>Pa</t>
        </is>
      </c>
      <c r="AT798" t="inlineStr">
        <is>
          <t>x</t>
        </is>
      </c>
      <c r="AU798" t="inlineStr"/>
      <c r="AV798" t="inlineStr"/>
      <c r="AW798" t="inlineStr"/>
      <c r="AX798" t="inlineStr"/>
      <c r="AY798" t="inlineStr"/>
      <c r="AZ798" t="inlineStr"/>
      <c r="BA798" t="inlineStr"/>
      <c r="BB798" t="inlineStr"/>
      <c r="BC798" t="inlineStr"/>
      <c r="BD798" t="inlineStr"/>
      <c r="BE798" t="inlineStr"/>
      <c r="BF798" t="inlineStr"/>
      <c r="BG798" t="n">
        <v>110</v>
      </c>
      <c r="BH798" t="inlineStr"/>
      <c r="BI798" t="inlineStr"/>
      <c r="BJ798" t="inlineStr"/>
      <c r="BK798" t="inlineStr"/>
      <c r="BL798" t="inlineStr"/>
      <c r="BM798" t="inlineStr">
        <is>
          <t>n</t>
        </is>
      </c>
      <c r="BN798" t="n">
        <v>0</v>
      </c>
      <c r="BO798" t="inlineStr"/>
      <c r="BP798" t="inlineStr"/>
      <c r="BQ798" t="inlineStr"/>
      <c r="BR798" t="inlineStr">
        <is>
          <t>x</t>
        </is>
      </c>
      <c r="BS798" t="inlineStr"/>
      <c r="BT798" t="inlineStr"/>
      <c r="BU798" t="inlineStr"/>
      <c r="BV798" t="inlineStr"/>
      <c r="BW798" t="inlineStr"/>
      <c r="BX798" t="inlineStr"/>
      <c r="BY798" t="inlineStr"/>
      <c r="BZ798" t="inlineStr"/>
      <c r="CA798" t="inlineStr"/>
      <c r="CB798" t="inlineStr"/>
      <c r="CC798" t="inlineStr"/>
      <c r="CD798" t="inlineStr"/>
      <c r="CE798" t="inlineStr"/>
      <c r="CF798" t="inlineStr"/>
      <c r="CG798" t="inlineStr"/>
      <c r="CH798" t="inlineStr"/>
      <c r="CI798" t="inlineStr"/>
      <c r="CJ798" t="inlineStr"/>
      <c r="CK798" t="inlineStr"/>
      <c r="CL798" t="inlineStr"/>
      <c r="CM798" t="inlineStr"/>
      <c r="CN798" t="inlineStr"/>
      <c r="CO798" t="inlineStr"/>
      <c r="CP798" t="inlineStr"/>
      <c r="CQ798" t="inlineStr"/>
      <c r="CR798" t="inlineStr"/>
      <c r="CS798" t="inlineStr"/>
      <c r="CT798" t="inlineStr"/>
      <c r="CU798" t="inlineStr"/>
      <c r="CV798" t="inlineStr"/>
      <c r="CW798" t="inlineStr"/>
      <c r="CX798" t="inlineStr"/>
      <c r="CY798" t="inlineStr"/>
      <c r="CZ798" t="inlineStr"/>
      <c r="DA798" t="inlineStr"/>
      <c r="DB798" t="inlineStr"/>
      <c r="DC798" t="inlineStr"/>
      <c r="DD798" t="inlineStr"/>
      <c r="DE798" t="inlineStr"/>
      <c r="DF798" t="inlineStr"/>
      <c r="DG798" t="inlineStr"/>
    </row>
    <row r="799">
      <c r="A799" t="inlineStr">
        <is>
          <t>III</t>
        </is>
      </c>
      <c r="B799" t="b">
        <v>1</v>
      </c>
      <c r="C799" t="inlineStr">
        <is>
          <t>x</t>
        </is>
      </c>
      <c r="D799" t="inlineStr"/>
      <c r="E799" t="n">
        <v>885</v>
      </c>
      <c r="F799">
        <f>HYPERLINK("https://portal.dnb.de/opac.htm?method=simpleSearch&amp;cqlMode=true&amp;query=idn%3D1066962650", "Portal")</f>
        <v/>
      </c>
      <c r="G799" t="inlineStr">
        <is>
          <t>Aaf</t>
        </is>
      </c>
      <c r="H799" t="inlineStr">
        <is>
          <t>L-1519-315493003</t>
        </is>
      </c>
      <c r="I799" t="inlineStr">
        <is>
          <t>1066962650</t>
        </is>
      </c>
      <c r="J799" t="inlineStr">
        <is>
          <t>III 95, 16</t>
        </is>
      </c>
      <c r="K799" t="inlineStr">
        <is>
          <t>III 95, 16</t>
        </is>
      </c>
      <c r="L799" t="inlineStr">
        <is>
          <t>III 95, 16</t>
        </is>
      </c>
      <c r="M799" t="inlineStr"/>
      <c r="N799" t="inlineStr">
        <is>
          <t>Theologia.|| Teütsch.|| Das ist ain edels vnd kostlichs b#[ue]ch||lin/ von rechtem verstand/ was|| Adam vnd Christus sey/ vnd|| wie Adam in vns ster=|</t>
        </is>
      </c>
      <c r="O799" t="inlineStr">
        <is>
          <t xml:space="preserve"> : </t>
        </is>
      </c>
      <c r="P799" t="inlineStr"/>
      <c r="Q799" t="inlineStr"/>
      <c r="R799" t="inlineStr"/>
      <c r="S799" t="inlineStr">
        <is>
          <t>bis 25 cm</t>
        </is>
      </c>
      <c r="T799" t="inlineStr"/>
      <c r="U799" t="inlineStr"/>
      <c r="V799" t="inlineStr"/>
      <c r="W799" t="inlineStr"/>
      <c r="X799" t="inlineStr"/>
      <c r="Y799" t="inlineStr"/>
      <c r="Z799" t="inlineStr"/>
      <c r="AA799" t="inlineStr"/>
      <c r="AB799" t="inlineStr"/>
      <c r="AC799" t="inlineStr"/>
      <c r="AD799" t="inlineStr"/>
      <c r="AE799" t="inlineStr"/>
      <c r="AF799" t="inlineStr"/>
      <c r="AG799" t="inlineStr"/>
      <c r="AH799" t="inlineStr"/>
      <c r="AI799" t="inlineStr">
        <is>
          <t>G</t>
        </is>
      </c>
      <c r="AJ799" t="inlineStr"/>
      <c r="AK799" t="inlineStr"/>
      <c r="AL799" t="inlineStr"/>
      <c r="AM799" t="inlineStr">
        <is>
          <t>h/E</t>
        </is>
      </c>
      <c r="AN799" t="inlineStr"/>
      <c r="AO799" t="inlineStr"/>
      <c r="AP799" t="inlineStr"/>
      <c r="AQ799" t="inlineStr"/>
      <c r="AR799" t="inlineStr"/>
      <c r="AS799" t="inlineStr">
        <is>
          <t>Pa</t>
        </is>
      </c>
      <c r="AT799" t="inlineStr"/>
      <c r="AU799" t="inlineStr"/>
      <c r="AV799" t="inlineStr"/>
      <c r="AW799" t="inlineStr"/>
      <c r="AX799" t="inlineStr"/>
      <c r="AY799" t="inlineStr"/>
      <c r="AZ799" t="inlineStr"/>
      <c r="BA799" t="inlineStr"/>
      <c r="BB799" t="inlineStr"/>
      <c r="BC799" t="inlineStr"/>
      <c r="BD799" t="inlineStr"/>
      <c r="BE799" t="inlineStr"/>
      <c r="BF799" t="inlineStr"/>
      <c r="BG799" t="n">
        <v>110</v>
      </c>
      <c r="BH799" t="inlineStr"/>
      <c r="BI799" t="inlineStr"/>
      <c r="BJ799" t="inlineStr"/>
      <c r="BK799" t="inlineStr"/>
      <c r="BL799" t="inlineStr"/>
      <c r="BM799" t="inlineStr">
        <is>
          <t>ja vor</t>
        </is>
      </c>
      <c r="BN799" t="n">
        <v>1</v>
      </c>
      <c r="BO799" t="inlineStr"/>
      <c r="BP799" t="inlineStr"/>
      <c r="BQ799" t="inlineStr"/>
      <c r="BR799" t="inlineStr"/>
      <c r="BS799" t="inlineStr"/>
      <c r="BT799" t="inlineStr"/>
      <c r="BU799" t="inlineStr"/>
      <c r="BV799" t="inlineStr"/>
      <c r="BW799" t="inlineStr"/>
      <c r="BX799" t="inlineStr"/>
      <c r="BY799" t="inlineStr"/>
      <c r="BZ799" t="inlineStr"/>
      <c r="CA799" t="inlineStr"/>
      <c r="CB799" t="inlineStr">
        <is>
          <t>x</t>
        </is>
      </c>
      <c r="CC799" t="inlineStr"/>
      <c r="CD799" t="inlineStr"/>
      <c r="CE799" t="inlineStr"/>
      <c r="CF799" t="inlineStr"/>
      <c r="CG799" t="inlineStr"/>
      <c r="CH799" t="inlineStr"/>
      <c r="CI799" t="inlineStr"/>
      <c r="CJ799" t="inlineStr"/>
      <c r="CK799" t="inlineStr"/>
      <c r="CL799" t="inlineStr"/>
      <c r="CM799" t="n">
        <v>1</v>
      </c>
      <c r="CN799" t="inlineStr"/>
      <c r="CO799" t="inlineStr"/>
      <c r="CP799" t="inlineStr"/>
      <c r="CQ799" t="inlineStr"/>
      <c r="CR799" t="inlineStr"/>
      <c r="CS799" t="inlineStr"/>
      <c r="CT799" t="inlineStr"/>
      <c r="CU799" t="inlineStr"/>
      <c r="CV799" t="inlineStr"/>
      <c r="CW799" t="inlineStr"/>
      <c r="CX799" t="inlineStr"/>
      <c r="CY799" t="inlineStr"/>
      <c r="CZ799" t="inlineStr"/>
      <c r="DA799" t="inlineStr"/>
      <c r="DB799" t="inlineStr"/>
      <c r="DC799" t="inlineStr"/>
      <c r="DD799" t="inlineStr"/>
      <c r="DE799" t="inlineStr"/>
      <c r="DF799" t="inlineStr"/>
      <c r="DG799" t="inlineStr"/>
    </row>
    <row r="800">
      <c r="A800" t="inlineStr">
        <is>
          <t>III</t>
        </is>
      </c>
      <c r="B800" t="b">
        <v>1</v>
      </c>
      <c r="C800" t="inlineStr"/>
      <c r="D800" t="inlineStr"/>
      <c r="E800" t="n">
        <v>886</v>
      </c>
      <c r="F800">
        <f>HYPERLINK("https://portal.dnb.de/opac.htm?method=simpleSearch&amp;cqlMode=true&amp;query=idn%3D1066941718", "Portal")</f>
        <v/>
      </c>
      <c r="G800" t="inlineStr">
        <is>
          <t>Aaf</t>
        </is>
      </c>
      <c r="H800" t="inlineStr">
        <is>
          <t>L-1521-315469374</t>
        </is>
      </c>
      <c r="I800" t="inlineStr">
        <is>
          <t>1066941718</t>
        </is>
      </c>
      <c r="J800" t="inlineStr">
        <is>
          <t>III 95, 17</t>
        </is>
      </c>
      <c r="K800" t="inlineStr">
        <is>
          <t>III 95, 17</t>
        </is>
      </c>
      <c r="L800" t="inlineStr">
        <is>
          <t>III 95, 17</t>
        </is>
      </c>
      <c r="M800" t="inlineStr"/>
      <c r="N800" t="inlineStr">
        <is>
          <t xml:space="preserve">AVLI GEL||LII NOCTIVM ATTI=||CARVM.LIBRI VN||DEVIGINTI.|| In easdem, Encomiu carmine Luscinii|| ad HVTTENVM ...|| : </t>
        </is>
      </c>
      <c r="O800" t="inlineStr">
        <is>
          <t xml:space="preserve"> : </t>
        </is>
      </c>
      <c r="P800" t="inlineStr"/>
      <c r="Q800" t="inlineStr"/>
      <c r="R800" t="inlineStr"/>
      <c r="S800" t="inlineStr">
        <is>
          <t>bis 25 cm</t>
        </is>
      </c>
      <c r="T800" t="inlineStr"/>
      <c r="U800" t="inlineStr"/>
      <c r="V800" t="inlineStr"/>
      <c r="W800" t="inlineStr"/>
      <c r="X800" t="inlineStr"/>
      <c r="Y800" t="inlineStr"/>
      <c r="Z800" t="inlineStr"/>
      <c r="AA800" t="inlineStr"/>
      <c r="AB800" t="inlineStr"/>
      <c r="AC800" t="inlineStr"/>
      <c r="AD800" t="inlineStr"/>
      <c r="AE800" t="inlineStr"/>
      <c r="AF800" t="inlineStr"/>
      <c r="AG800" t="inlineStr"/>
      <c r="AH800" t="inlineStr"/>
      <c r="AI800" t="inlineStr">
        <is>
          <t>HD</t>
        </is>
      </c>
      <c r="AJ800" t="inlineStr"/>
      <c r="AK800" t="inlineStr"/>
      <c r="AL800" t="inlineStr">
        <is>
          <t>x</t>
        </is>
      </c>
      <c r="AM800" t="inlineStr">
        <is>
          <t>f</t>
        </is>
      </c>
      <c r="AN800" t="inlineStr"/>
      <c r="AO800" t="inlineStr"/>
      <c r="AP800" t="inlineStr"/>
      <c r="AQ800" t="inlineStr"/>
      <c r="AR800" t="inlineStr"/>
      <c r="AS800" t="inlineStr">
        <is>
          <t>Pa</t>
        </is>
      </c>
      <c r="AT800" t="inlineStr"/>
      <c r="AU800" t="inlineStr"/>
      <c r="AV800" t="inlineStr"/>
      <c r="AW800" t="inlineStr"/>
      <c r="AX800" t="inlineStr">
        <is>
          <t>x</t>
        </is>
      </c>
      <c r="AY800" t="inlineStr"/>
      <c r="AZ800" t="inlineStr"/>
      <c r="BA800" t="inlineStr"/>
      <c r="BB800" t="inlineStr"/>
      <c r="BC800" t="inlineStr"/>
      <c r="BD800" t="inlineStr"/>
      <c r="BE800" t="inlineStr"/>
      <c r="BF800" t="inlineStr"/>
      <c r="BG800" t="n">
        <v>80</v>
      </c>
      <c r="BH800" t="inlineStr"/>
      <c r="BI800" t="inlineStr"/>
      <c r="BJ800" t="inlineStr"/>
      <c r="BK800" t="inlineStr"/>
      <c r="BL800" t="inlineStr"/>
      <c r="BM800" t="inlineStr">
        <is>
          <t>n</t>
        </is>
      </c>
      <c r="BN800" t="n">
        <v>0</v>
      </c>
      <c r="BO800" t="inlineStr"/>
      <c r="BP800" t="inlineStr"/>
      <c r="BQ800" t="inlineStr">
        <is>
          <t>x</t>
        </is>
      </c>
      <c r="BR800" t="inlineStr"/>
      <c r="BS800" t="inlineStr"/>
      <c r="BT800" t="inlineStr"/>
      <c r="BU800" t="inlineStr"/>
      <c r="BV800" t="inlineStr"/>
      <c r="BW800" t="inlineStr"/>
      <c r="BX800" t="inlineStr"/>
      <c r="BY800" t="inlineStr"/>
      <c r="BZ800" t="inlineStr"/>
      <c r="CA800" t="inlineStr"/>
      <c r="CB800" t="inlineStr"/>
      <c r="CC800" t="inlineStr"/>
      <c r="CD800" t="inlineStr"/>
      <c r="CE800" t="inlineStr"/>
      <c r="CF800" t="inlineStr"/>
      <c r="CG800" t="inlineStr"/>
      <c r="CH800" t="inlineStr"/>
      <c r="CI800" t="inlineStr"/>
      <c r="CJ800" t="inlineStr"/>
      <c r="CK800" t="inlineStr"/>
      <c r="CL800" t="inlineStr"/>
      <c r="CM800" t="inlineStr"/>
      <c r="CN800" t="inlineStr"/>
      <c r="CO800" t="inlineStr"/>
      <c r="CP800" t="inlineStr"/>
      <c r="CQ800" t="inlineStr"/>
      <c r="CR800" t="inlineStr"/>
      <c r="CS800" t="inlineStr"/>
      <c r="CT800" t="inlineStr"/>
      <c r="CU800" t="inlineStr"/>
      <c r="CV800" t="inlineStr"/>
      <c r="CW800" t="inlineStr"/>
      <c r="CX800" t="inlineStr"/>
      <c r="CY800" t="inlineStr"/>
      <c r="CZ800" t="inlineStr"/>
      <c r="DA800" t="inlineStr"/>
      <c r="DB800" t="inlineStr"/>
      <c r="DC800" t="inlineStr"/>
      <c r="DD800" t="inlineStr"/>
      <c r="DE800" t="inlineStr"/>
      <c r="DF800" t="inlineStr"/>
      <c r="DG800" t="inlineStr"/>
    </row>
    <row r="801">
      <c r="A801" t="inlineStr">
        <is>
          <t>III</t>
        </is>
      </c>
      <c r="B801" t="b">
        <v>1</v>
      </c>
      <c r="C801" t="inlineStr"/>
      <c r="D801" t="inlineStr"/>
      <c r="E801" t="n">
        <v>921</v>
      </c>
      <c r="F801">
        <f>HYPERLINK("https://portal.dnb.de/opac.htm?method=simpleSearch&amp;cqlMode=true&amp;query=idn%3D1002318963", "Portal")</f>
        <v/>
      </c>
      <c r="G801" t="inlineStr">
        <is>
          <t>Aal</t>
        </is>
      </c>
      <c r="H801" t="inlineStr">
        <is>
          <t>L-1521-177021292</t>
        </is>
      </c>
      <c r="I801" t="inlineStr">
        <is>
          <t>1002318963</t>
        </is>
      </c>
      <c r="J801" t="inlineStr">
        <is>
          <t>III 95, 17 b</t>
        </is>
      </c>
      <c r="K801" t="inlineStr">
        <is>
          <t>III 95, 17 b</t>
        </is>
      </c>
      <c r="L801" t="inlineStr">
        <is>
          <t>III 95, 17 a</t>
        </is>
      </c>
      <c r="M801" t="inlineStr"/>
      <c r="N801" t="inlineStr">
        <is>
          <t>Die @verteutschte Text aus den|| Bebstlichen Rechten : vnd vil|| andren glaubwirdigen ge=||schriffte ; daraus sich meni||klich allerley mag erku|| den</t>
        </is>
      </c>
      <c r="O801" t="inlineStr">
        <is>
          <t xml:space="preserve"> : </t>
        </is>
      </c>
      <c r="P801" t="inlineStr"/>
      <c r="Q801" t="inlineStr"/>
      <c r="R801" t="inlineStr"/>
      <c r="S801" t="inlineStr">
        <is>
          <t>bis 25 cm</t>
        </is>
      </c>
      <c r="T801" t="inlineStr"/>
      <c r="U801" t="inlineStr"/>
      <c r="V801" t="inlineStr"/>
      <c r="W801" t="inlineStr"/>
      <c r="X801" t="inlineStr"/>
      <c r="Y801" t="inlineStr"/>
      <c r="Z801" t="inlineStr"/>
      <c r="AA801" t="inlineStr"/>
      <c r="AB801" t="inlineStr"/>
      <c r="AC801" t="inlineStr"/>
      <c r="AD801" t="inlineStr"/>
      <c r="AE801" t="inlineStr"/>
      <c r="AF801" t="inlineStr"/>
      <c r="AG801" t="inlineStr"/>
      <c r="AH801" t="inlineStr"/>
      <c r="AI801" t="inlineStr">
        <is>
          <t>Pa</t>
        </is>
      </c>
      <c r="AJ801" t="inlineStr"/>
      <c r="AK801" t="inlineStr"/>
      <c r="AL801" t="inlineStr"/>
      <c r="AM801" t="inlineStr">
        <is>
          <t>h/E</t>
        </is>
      </c>
      <c r="AN801" t="inlineStr"/>
      <c r="AO801" t="inlineStr"/>
      <c r="AP801" t="inlineStr"/>
      <c r="AQ801" t="inlineStr"/>
      <c r="AR801" t="inlineStr"/>
      <c r="AS801" t="inlineStr">
        <is>
          <t>Pa</t>
        </is>
      </c>
      <c r="AT801" t="inlineStr"/>
      <c r="AU801" t="inlineStr"/>
      <c r="AV801" t="inlineStr"/>
      <c r="AW801" t="inlineStr"/>
      <c r="AX801" t="inlineStr"/>
      <c r="AY801" t="inlineStr"/>
      <c r="AZ801" t="inlineStr"/>
      <c r="BA801" t="inlineStr"/>
      <c r="BB801" t="inlineStr"/>
      <c r="BC801" t="inlineStr"/>
      <c r="BD801" t="inlineStr"/>
      <c r="BE801" t="inlineStr"/>
      <c r="BF801" t="inlineStr"/>
      <c r="BG801" t="n">
        <v>110</v>
      </c>
      <c r="BH801" t="inlineStr"/>
      <c r="BI801" t="inlineStr"/>
      <c r="BJ801" t="inlineStr"/>
      <c r="BK801" t="inlineStr"/>
      <c r="BL801" t="inlineStr"/>
      <c r="BM801" t="inlineStr">
        <is>
          <t>n</t>
        </is>
      </c>
      <c r="BN801" t="n">
        <v>0</v>
      </c>
      <c r="BO801" t="inlineStr"/>
      <c r="BP801" t="inlineStr"/>
      <c r="BQ801" t="inlineStr"/>
      <c r="BR801" t="inlineStr"/>
      <c r="BS801" t="inlineStr"/>
      <c r="BT801" t="inlineStr"/>
      <c r="BU801" t="inlineStr"/>
      <c r="BV801" t="inlineStr"/>
      <c r="BW801" t="inlineStr"/>
      <c r="BX801" t="inlineStr"/>
      <c r="BY801" t="inlineStr"/>
      <c r="BZ801" t="inlineStr"/>
      <c r="CA801" t="inlineStr"/>
      <c r="CB801" t="inlineStr"/>
      <c r="CC801" t="inlineStr"/>
      <c r="CD801" t="inlineStr"/>
      <c r="CE801" t="inlineStr"/>
      <c r="CF801" t="inlineStr"/>
      <c r="CG801" t="inlineStr"/>
      <c r="CH801" t="inlineStr"/>
      <c r="CI801" t="inlineStr"/>
      <c r="CJ801" t="inlineStr"/>
      <c r="CK801" t="inlineStr"/>
      <c r="CL801" t="inlineStr"/>
      <c r="CM801" t="inlineStr"/>
      <c r="CN801" t="inlineStr"/>
      <c r="CO801" t="inlineStr"/>
      <c r="CP801" t="inlineStr"/>
      <c r="CQ801" t="inlineStr"/>
      <c r="CR801" t="inlineStr"/>
      <c r="CS801" t="inlineStr"/>
      <c r="CT801" t="inlineStr"/>
      <c r="CU801" t="inlineStr"/>
      <c r="CV801" t="inlineStr"/>
      <c r="CW801" t="inlineStr"/>
      <c r="CX801" t="inlineStr"/>
      <c r="CY801" t="inlineStr"/>
      <c r="CZ801" t="inlineStr"/>
      <c r="DA801" t="inlineStr"/>
      <c r="DB801" t="inlineStr"/>
      <c r="DC801" t="inlineStr"/>
      <c r="DD801" t="inlineStr"/>
      <c r="DE801" t="inlineStr"/>
      <c r="DF801" t="inlineStr"/>
      <c r="DG801" t="inlineStr"/>
    </row>
    <row r="802">
      <c r="A802" t="inlineStr">
        <is>
          <t>III</t>
        </is>
      </c>
      <c r="B802" t="b">
        <v>1</v>
      </c>
      <c r="C802" t="inlineStr"/>
      <c r="D802" t="inlineStr"/>
      <c r="E802" t="n">
        <v>922</v>
      </c>
      <c r="F802">
        <f>HYPERLINK("https://portal.dnb.de/opac.htm?method=simpleSearch&amp;cqlMode=true&amp;query=idn%3D1002318963", "Portal")</f>
        <v/>
      </c>
      <c r="G802" t="inlineStr">
        <is>
          <t>Aal</t>
        </is>
      </c>
      <c r="H802" t="inlineStr">
        <is>
          <t>L-1521-177021284</t>
        </is>
      </c>
      <c r="I802" t="inlineStr">
        <is>
          <t>1002318963</t>
        </is>
      </c>
      <c r="J802" t="inlineStr">
        <is>
          <t>III 95, 17 a</t>
        </is>
      </c>
      <c r="K802" t="inlineStr">
        <is>
          <t>III 95, 17 a</t>
        </is>
      </c>
      <c r="L802" t="inlineStr">
        <is>
          <t>III 95, 17 a</t>
        </is>
      </c>
      <c r="M802" t="inlineStr"/>
      <c r="N802" t="inlineStr">
        <is>
          <t>Die @verteutschte Text aus den|| Bebstlichen Rechten : vnd vil|| andren glaubwirdigen ge=||schriffte ; daraus sich meni||klich allerley mag erku|| den</t>
        </is>
      </c>
      <c r="O802" t="inlineStr">
        <is>
          <t xml:space="preserve"> : </t>
        </is>
      </c>
      <c r="P802" t="inlineStr"/>
      <c r="Q802" t="inlineStr"/>
      <c r="R802" t="inlineStr"/>
      <c r="S802" t="inlineStr"/>
      <c r="T802" t="inlineStr"/>
      <c r="U802" t="inlineStr"/>
      <c r="V802" t="inlineStr"/>
      <c r="W802" t="inlineStr"/>
      <c r="X802" t="inlineStr"/>
      <c r="Y802" t="inlineStr"/>
      <c r="Z802" t="inlineStr"/>
      <c r="AA802" t="inlineStr"/>
      <c r="AB802" t="inlineStr"/>
      <c r="AC802" t="inlineStr"/>
      <c r="AD802" t="inlineStr"/>
      <c r="AE802" t="inlineStr"/>
      <c r="AF802" t="inlineStr"/>
      <c r="AG802" t="inlineStr"/>
      <c r="AH802" t="inlineStr"/>
      <c r="AI802" t="inlineStr"/>
      <c r="AJ802" t="inlineStr"/>
      <c r="AK802" t="inlineStr"/>
      <c r="AL802" t="inlineStr"/>
      <c r="AM802" t="inlineStr"/>
      <c r="AN802" t="inlineStr"/>
      <c r="AO802" t="inlineStr"/>
      <c r="AP802" t="inlineStr"/>
      <c r="AQ802" t="inlineStr"/>
      <c r="AR802" t="inlineStr"/>
      <c r="AS802" t="inlineStr"/>
      <c r="AT802" t="inlineStr"/>
      <c r="AU802" t="inlineStr"/>
      <c r="AV802" t="inlineStr"/>
      <c r="AW802" t="inlineStr"/>
      <c r="AX802" t="inlineStr"/>
      <c r="AY802" t="inlineStr"/>
      <c r="AZ802" t="inlineStr"/>
      <c r="BA802" t="inlineStr"/>
      <c r="BB802" t="inlineStr"/>
      <c r="BC802" t="inlineStr"/>
      <c r="BD802" t="inlineStr"/>
      <c r="BE802" t="inlineStr"/>
      <c r="BF802" t="inlineStr"/>
      <c r="BG802" t="inlineStr"/>
      <c r="BH802" t="inlineStr"/>
      <c r="BI802" t="inlineStr"/>
      <c r="BJ802" t="inlineStr"/>
      <c r="BK802" t="inlineStr"/>
      <c r="BL802" t="inlineStr"/>
      <c r="BM802" t="inlineStr"/>
      <c r="BN802" t="n">
        <v>0</v>
      </c>
      <c r="BO802" t="inlineStr"/>
      <c r="BP802" t="inlineStr"/>
      <c r="BQ802" t="inlineStr"/>
      <c r="BR802" t="inlineStr"/>
      <c r="BS802" t="inlineStr"/>
      <c r="BT802" t="inlineStr"/>
      <c r="BU802" t="inlineStr"/>
      <c r="BV802" t="inlineStr"/>
      <c r="BW802" t="inlineStr"/>
      <c r="BX802" t="inlineStr"/>
      <c r="BY802" t="inlineStr"/>
      <c r="BZ802" t="inlineStr"/>
      <c r="CA802" t="inlineStr"/>
      <c r="CB802" t="inlineStr"/>
      <c r="CC802" t="inlineStr"/>
      <c r="CD802" t="inlineStr"/>
      <c r="CE802" t="inlineStr"/>
      <c r="CF802" t="inlineStr"/>
      <c r="CG802" t="inlineStr"/>
      <c r="CH802" t="inlineStr"/>
      <c r="CI802" t="inlineStr"/>
      <c r="CJ802" t="inlineStr"/>
      <c r="CK802" t="inlineStr"/>
      <c r="CL802" t="inlineStr"/>
      <c r="CM802" t="inlineStr"/>
      <c r="CN802" t="inlineStr"/>
      <c r="CO802" t="inlineStr"/>
      <c r="CP802" t="inlineStr"/>
      <c r="CQ802" t="inlineStr"/>
      <c r="CR802" t="inlineStr"/>
      <c r="CS802" t="inlineStr"/>
      <c r="CT802" t="inlineStr"/>
      <c r="CU802" t="inlineStr"/>
      <c r="CV802" t="inlineStr"/>
      <c r="CW802" t="inlineStr"/>
      <c r="CX802" t="inlineStr"/>
      <c r="CY802" t="inlineStr"/>
      <c r="CZ802" t="inlineStr"/>
      <c r="DA802" t="inlineStr"/>
      <c r="DB802" t="inlineStr"/>
      <c r="DC802" t="inlineStr"/>
      <c r="DD802" t="inlineStr"/>
      <c r="DE802" t="inlineStr"/>
      <c r="DF802" t="inlineStr"/>
      <c r="DG802" t="inlineStr"/>
    </row>
    <row r="803">
      <c r="A803" t="inlineStr">
        <is>
          <t>III</t>
        </is>
      </c>
      <c r="B803" t="b">
        <v>0</v>
      </c>
      <c r="C803" t="inlineStr"/>
      <c r="D803" t="inlineStr"/>
      <c r="E803" t="inlineStr"/>
      <c r="F803">
        <f>HYPERLINK("https://portal.dnb.de/opac.htm?method=simpleSearch&amp;cqlMode=true&amp;query=idn%3D", "Portal")</f>
        <v/>
      </c>
      <c r="G803" t="inlineStr"/>
      <c r="H803" t="inlineStr"/>
      <c r="I803" t="inlineStr"/>
      <c r="J803" t="inlineStr"/>
      <c r="K803" t="inlineStr"/>
      <c r="L803" t="inlineStr">
        <is>
          <t>III 95, 17 b</t>
        </is>
      </c>
      <c r="M803" t="inlineStr"/>
      <c r="N803" t="inlineStr"/>
      <c r="O803" t="inlineStr"/>
      <c r="P803" t="inlineStr"/>
      <c r="Q803" t="inlineStr"/>
      <c r="R803" t="inlineStr"/>
      <c r="S803" t="inlineStr">
        <is>
          <t>bis 25 cm</t>
        </is>
      </c>
      <c r="T803" t="inlineStr"/>
      <c r="U803" t="inlineStr"/>
      <c r="V803" t="inlineStr"/>
      <c r="W803" t="inlineStr"/>
      <c r="X803" t="inlineStr"/>
      <c r="Y803" t="inlineStr"/>
      <c r="Z803" t="inlineStr"/>
      <c r="AA803" t="inlineStr"/>
      <c r="AB803" t="inlineStr"/>
      <c r="AC803" t="inlineStr"/>
      <c r="AD803" t="inlineStr"/>
      <c r="AE803" t="inlineStr"/>
      <c r="AF803" t="inlineStr"/>
      <c r="AG803" t="inlineStr"/>
      <c r="AH803" t="inlineStr"/>
      <c r="AI803" t="inlineStr">
        <is>
          <t>HPg</t>
        </is>
      </c>
      <c r="AJ803" t="inlineStr"/>
      <c r="AK803" t="inlineStr"/>
      <c r="AL803" t="inlineStr"/>
      <c r="AM803" t="inlineStr">
        <is>
          <t>h/E</t>
        </is>
      </c>
      <c r="AN803" t="inlineStr"/>
      <c r="AO803" t="inlineStr"/>
      <c r="AP803" t="inlineStr"/>
      <c r="AQ803" t="inlineStr"/>
      <c r="AR803" t="inlineStr"/>
      <c r="AS803" t="inlineStr">
        <is>
          <t>Pa</t>
        </is>
      </c>
      <c r="AT803" t="inlineStr"/>
      <c r="AU803" t="inlineStr"/>
      <c r="AV803" t="inlineStr"/>
      <c r="AW803" t="inlineStr"/>
      <c r="AX803" t="inlineStr"/>
      <c r="AY803" t="inlineStr"/>
      <c r="AZ803" t="inlineStr"/>
      <c r="BA803" t="inlineStr"/>
      <c r="BB803" t="inlineStr"/>
      <c r="BC803" t="inlineStr"/>
      <c r="BD803" t="inlineStr"/>
      <c r="BE803" t="inlineStr"/>
      <c r="BF803" t="inlineStr"/>
      <c r="BG803" t="n">
        <v>110</v>
      </c>
      <c r="BH803" t="inlineStr"/>
      <c r="BI803" t="inlineStr"/>
      <c r="BJ803" t="inlineStr"/>
      <c r="BK803" t="inlineStr"/>
      <c r="BL803" t="inlineStr"/>
      <c r="BM803" t="inlineStr">
        <is>
          <t>n</t>
        </is>
      </c>
      <c r="BN803" t="n">
        <v>0</v>
      </c>
      <c r="BO803" t="inlineStr"/>
      <c r="BP803" t="inlineStr"/>
      <c r="BQ803" t="inlineStr"/>
      <c r="BR803" t="inlineStr"/>
      <c r="BS803" t="inlineStr"/>
      <c r="BT803" t="inlineStr"/>
      <c r="BU803" t="inlineStr"/>
      <c r="BV803" t="inlineStr"/>
      <c r="BW803" t="inlineStr"/>
      <c r="BX803" t="inlineStr"/>
      <c r="BY803" t="inlineStr"/>
      <c r="BZ803" t="inlineStr"/>
      <c r="CA803" t="inlineStr"/>
      <c r="CB803" t="inlineStr"/>
      <c r="CC803" t="inlineStr"/>
      <c r="CD803" t="inlineStr"/>
      <c r="CE803" t="inlineStr"/>
      <c r="CF803" t="inlineStr"/>
      <c r="CG803" t="inlineStr"/>
      <c r="CH803" t="inlineStr"/>
      <c r="CI803" t="inlineStr"/>
      <c r="CJ803" t="inlineStr"/>
      <c r="CK803" t="inlineStr"/>
      <c r="CL803" t="inlineStr"/>
      <c r="CM803" t="inlineStr"/>
      <c r="CN803" t="inlineStr"/>
      <c r="CO803" t="inlineStr"/>
      <c r="CP803" t="inlineStr"/>
      <c r="CQ803" t="inlineStr"/>
      <c r="CR803" t="inlineStr"/>
      <c r="CS803" t="inlineStr"/>
      <c r="CT803" t="inlineStr"/>
      <c r="CU803" t="inlineStr"/>
      <c r="CV803" t="inlineStr"/>
      <c r="CW803" t="inlineStr"/>
      <c r="CX803" t="inlineStr"/>
      <c r="CY803" t="inlineStr"/>
      <c r="CZ803" t="inlineStr"/>
      <c r="DA803" t="inlineStr"/>
      <c r="DB803" t="inlineStr"/>
      <c r="DC803" t="inlineStr"/>
      <c r="DD803" t="inlineStr"/>
      <c r="DE803" t="inlineStr"/>
      <c r="DF803" t="inlineStr"/>
      <c r="DG803" t="inlineStr"/>
    </row>
    <row r="804">
      <c r="A804" t="inlineStr">
        <is>
          <t>III</t>
        </is>
      </c>
      <c r="B804" t="b">
        <v>1</v>
      </c>
      <c r="C804" t="inlineStr"/>
      <c r="D804" t="inlineStr"/>
      <c r="E804" t="n">
        <v>887</v>
      </c>
      <c r="F804">
        <f>HYPERLINK("https://portal.dnb.de/opac.htm?method=simpleSearch&amp;cqlMode=true&amp;query=idn%3D106696212X", "Portal")</f>
        <v/>
      </c>
      <c r="G804" t="inlineStr">
        <is>
          <t>Aaf</t>
        </is>
      </c>
      <c r="H804" t="inlineStr">
        <is>
          <t>L-1504-31549252X</t>
        </is>
      </c>
      <c r="I804" t="inlineStr">
        <is>
          <t>106696212X</t>
        </is>
      </c>
      <c r="J804" t="inlineStr">
        <is>
          <t>III 95, 18</t>
        </is>
      </c>
      <c r="K804" t="inlineStr">
        <is>
          <t>III 95, 18</t>
        </is>
      </c>
      <c r="L804" t="inlineStr">
        <is>
          <t>III 95, 18</t>
        </is>
      </c>
      <c r="M804" t="inlineStr"/>
      <c r="N804" t="inlineStr">
        <is>
          <t>Disz ist der brun des|| Radts vsz welchem eyn bekümerter|| o#///d betrüpter m?sch trost radt vñ wyßheit empfahet/ das|| manch? dick radts not ist/ was</t>
        </is>
      </c>
      <c r="O804" t="inlineStr">
        <is>
          <t xml:space="preserve"> : </t>
        </is>
      </c>
      <c r="P804" t="inlineStr"/>
      <c r="Q804" t="inlineStr"/>
      <c r="R804" t="inlineStr"/>
      <c r="S804" t="inlineStr">
        <is>
          <t>bis 25 cm</t>
        </is>
      </c>
      <c r="T804" t="inlineStr"/>
      <c r="U804" t="inlineStr"/>
      <c r="V804" t="inlineStr"/>
      <c r="W804" t="inlineStr"/>
      <c r="X804" t="inlineStr"/>
      <c r="Y804" t="inlineStr"/>
      <c r="Z804" t="inlineStr"/>
      <c r="AA804" t="inlineStr"/>
      <c r="AB804" t="inlineStr"/>
      <c r="AC804" t="inlineStr"/>
      <c r="AD804" t="inlineStr"/>
      <c r="AE804" t="inlineStr"/>
      <c r="AF804" t="inlineStr"/>
      <c r="AG804" t="inlineStr"/>
      <c r="AH804" t="inlineStr"/>
      <c r="AI804" t="inlineStr">
        <is>
          <t>Pg</t>
        </is>
      </c>
      <c r="AJ804" t="inlineStr"/>
      <c r="AK804" t="inlineStr"/>
      <c r="AL804" t="inlineStr"/>
      <c r="AM804" t="inlineStr">
        <is>
          <t>h</t>
        </is>
      </c>
      <c r="AN804" t="inlineStr"/>
      <c r="AO804" t="inlineStr"/>
      <c r="AP804" t="inlineStr"/>
      <c r="AQ804" t="inlineStr"/>
      <c r="AR804" t="inlineStr"/>
      <c r="AS804" t="inlineStr">
        <is>
          <t>Pa</t>
        </is>
      </c>
      <c r="AT804" t="inlineStr"/>
      <c r="AU804" t="inlineStr"/>
      <c r="AV804" t="inlineStr"/>
      <c r="AW804" t="inlineStr"/>
      <c r="AX804" t="inlineStr"/>
      <c r="AY804" t="inlineStr"/>
      <c r="AZ804" t="inlineStr"/>
      <c r="BA804" t="inlineStr"/>
      <c r="BB804" t="inlineStr"/>
      <c r="BC804" t="inlineStr"/>
      <c r="BD804" t="inlineStr"/>
      <c r="BE804" t="inlineStr"/>
      <c r="BF804" t="inlineStr"/>
      <c r="BG804" t="n">
        <v>180</v>
      </c>
      <c r="BH804" t="inlineStr"/>
      <c r="BI804" t="inlineStr"/>
      <c r="BJ804" t="inlineStr"/>
      <c r="BK804" t="inlineStr"/>
      <c r="BL804" t="inlineStr"/>
      <c r="BM804" t="inlineStr">
        <is>
          <t>n</t>
        </is>
      </c>
      <c r="BN804" t="n">
        <v>0</v>
      </c>
      <c r="BO804" t="inlineStr"/>
      <c r="BP804" t="inlineStr"/>
      <c r="BQ804" t="inlineStr"/>
      <c r="BR804" t="inlineStr"/>
      <c r="BS804" t="inlineStr"/>
      <c r="BT804" t="inlineStr"/>
      <c r="BU804" t="inlineStr"/>
      <c r="BV804" t="inlineStr"/>
      <c r="BW804" t="inlineStr"/>
      <c r="BX804" t="inlineStr"/>
      <c r="BY804" t="inlineStr"/>
      <c r="BZ804" t="inlineStr"/>
      <c r="CA804" t="inlineStr"/>
      <c r="CB804" t="inlineStr"/>
      <c r="CC804" t="inlineStr"/>
      <c r="CD804" t="inlineStr"/>
      <c r="CE804" t="inlineStr"/>
      <c r="CF804" t="inlineStr"/>
      <c r="CG804" t="inlineStr"/>
      <c r="CH804" t="inlineStr"/>
      <c r="CI804" t="inlineStr"/>
      <c r="CJ804" t="inlineStr"/>
      <c r="CK804" t="inlineStr"/>
      <c r="CL804" t="inlineStr"/>
      <c r="CM804" t="inlineStr"/>
      <c r="CN804" t="inlineStr"/>
      <c r="CO804" t="inlineStr"/>
      <c r="CP804" t="inlineStr"/>
      <c r="CQ804" t="inlineStr"/>
      <c r="CR804" t="inlineStr"/>
      <c r="CS804" t="inlineStr"/>
      <c r="CT804" t="inlineStr"/>
      <c r="CU804" t="inlineStr"/>
      <c r="CV804" t="inlineStr"/>
      <c r="CW804" t="inlineStr"/>
      <c r="CX804" t="inlineStr"/>
      <c r="CY804" t="inlineStr"/>
      <c r="CZ804" t="inlineStr"/>
      <c r="DA804" t="inlineStr"/>
      <c r="DB804" t="inlineStr"/>
      <c r="DC804" t="inlineStr"/>
      <c r="DD804" t="inlineStr"/>
      <c r="DE804" t="inlineStr"/>
      <c r="DF804" t="inlineStr"/>
      <c r="DG804" t="inlineStr"/>
    </row>
    <row r="805">
      <c r="A805" t="inlineStr">
        <is>
          <t>III</t>
        </is>
      </c>
      <c r="B805" t="b">
        <v>1</v>
      </c>
      <c r="C805" t="inlineStr"/>
      <c r="D805" t="inlineStr"/>
      <c r="E805" t="n">
        <v>888</v>
      </c>
      <c r="F805">
        <f>HYPERLINK("https://portal.dnb.de/opac.htm?method=simpleSearch&amp;cqlMode=true&amp;query=idn%3D1066874301", "Portal")</f>
        <v/>
      </c>
      <c r="G805" t="inlineStr">
        <is>
          <t>Aaf</t>
        </is>
      </c>
      <c r="H805" t="inlineStr">
        <is>
          <t>L-1505-315332115</t>
        </is>
      </c>
      <c r="I805" t="inlineStr">
        <is>
          <t>1066874301</t>
        </is>
      </c>
      <c r="J805" t="inlineStr">
        <is>
          <t>III 95, 19</t>
        </is>
      </c>
      <c r="K805" t="inlineStr">
        <is>
          <t>III 95, 19</t>
        </is>
      </c>
      <c r="L805" t="inlineStr">
        <is>
          <t>III 95, 19</t>
        </is>
      </c>
      <c r="M805" t="inlineStr"/>
      <c r="N805" t="inlineStr">
        <is>
          <t xml:space="preserve">KEyserlich vnd Künig||liche Lant vnd lehenrecht|| nach gemeinem sittẽ vnd gebruch der rechten.|| : </t>
        </is>
      </c>
      <c r="O805" t="inlineStr">
        <is>
          <t xml:space="preserve"> : </t>
        </is>
      </c>
      <c r="P805" t="inlineStr"/>
      <c r="Q805" t="inlineStr"/>
      <c r="R805" t="inlineStr"/>
      <c r="S805" t="inlineStr">
        <is>
          <t>bis 35 cm</t>
        </is>
      </c>
      <c r="T805" t="inlineStr"/>
      <c r="U805" t="inlineStr"/>
      <c r="V805" t="inlineStr"/>
      <c r="W805" t="inlineStr"/>
      <c r="X805" t="inlineStr"/>
      <c r="Y805" t="inlineStr"/>
      <c r="Z805" t="inlineStr"/>
      <c r="AA805" t="inlineStr"/>
      <c r="AB805" t="inlineStr"/>
      <c r="AC805" t="inlineStr"/>
      <c r="AD805" t="inlineStr"/>
      <c r="AE805" t="inlineStr"/>
      <c r="AF805" t="inlineStr"/>
      <c r="AG805" t="inlineStr"/>
      <c r="AH805" t="inlineStr"/>
      <c r="AI805" t="inlineStr">
        <is>
          <t>HL</t>
        </is>
      </c>
      <c r="AJ805" t="inlineStr"/>
      <c r="AK805" t="inlineStr">
        <is>
          <t>x</t>
        </is>
      </c>
      <c r="AL805" t="inlineStr"/>
      <c r="AM805" t="inlineStr">
        <is>
          <t>h/E</t>
        </is>
      </c>
      <c r="AN805" t="inlineStr"/>
      <c r="AO805" t="inlineStr">
        <is>
          <t>x</t>
        </is>
      </c>
      <c r="AP805" t="inlineStr"/>
      <c r="AQ805" t="inlineStr"/>
      <c r="AR805" t="inlineStr"/>
      <c r="AS805" t="inlineStr">
        <is>
          <t>Pa</t>
        </is>
      </c>
      <c r="AT805" t="inlineStr"/>
      <c r="AU805" t="inlineStr"/>
      <c r="AV805" t="inlineStr"/>
      <c r="AW805" t="inlineStr"/>
      <c r="AX805" t="inlineStr"/>
      <c r="AY805" t="inlineStr"/>
      <c r="AZ805" t="inlineStr"/>
      <c r="BA805" t="inlineStr"/>
      <c r="BB805" t="inlineStr"/>
      <c r="BC805" t="inlineStr"/>
      <c r="BD805" t="inlineStr"/>
      <c r="BE805" t="inlineStr"/>
      <c r="BF805" t="inlineStr"/>
      <c r="BG805" t="n">
        <v>110</v>
      </c>
      <c r="BH805" t="inlineStr"/>
      <c r="BI805" t="inlineStr"/>
      <c r="BJ805" t="inlineStr"/>
      <c r="BK805" t="inlineStr"/>
      <c r="BL805" t="inlineStr"/>
      <c r="BM805" t="inlineStr">
        <is>
          <t>n</t>
        </is>
      </c>
      <c r="BN805" t="n">
        <v>0</v>
      </c>
      <c r="BO805" t="inlineStr"/>
      <c r="BP805" t="inlineStr"/>
      <c r="BQ805" t="inlineStr"/>
      <c r="BR805" t="inlineStr"/>
      <c r="BS805" t="inlineStr"/>
      <c r="BT805" t="inlineStr"/>
      <c r="BU805" t="inlineStr"/>
      <c r="BV805" t="inlineStr"/>
      <c r="BW805" t="inlineStr"/>
      <c r="BX805" t="inlineStr"/>
      <c r="BY805" t="inlineStr">
        <is>
          <t>Umschlag (Leder pudert)</t>
        </is>
      </c>
      <c r="BZ805" t="inlineStr"/>
      <c r="CA805" t="inlineStr"/>
      <c r="CB805" t="inlineStr"/>
      <c r="CC805" t="inlineStr"/>
      <c r="CD805" t="inlineStr"/>
      <c r="CE805" t="inlineStr"/>
      <c r="CF805" t="inlineStr"/>
      <c r="CG805" t="inlineStr"/>
      <c r="CH805" t="inlineStr"/>
      <c r="CI805" t="inlineStr"/>
      <c r="CJ805" t="inlineStr"/>
      <c r="CK805" t="inlineStr"/>
      <c r="CL805" t="inlineStr"/>
      <c r="CM805" t="inlineStr"/>
      <c r="CN805" t="inlineStr"/>
      <c r="CO805" t="inlineStr"/>
      <c r="CP805" t="inlineStr"/>
      <c r="CQ805" t="inlineStr"/>
      <c r="CR805" t="inlineStr"/>
      <c r="CS805" t="inlineStr"/>
      <c r="CT805" t="inlineStr"/>
      <c r="CU805" t="inlineStr"/>
      <c r="CV805" t="inlineStr"/>
      <c r="CW805" t="inlineStr"/>
      <c r="CX805" t="inlineStr"/>
      <c r="CY805" t="inlineStr"/>
      <c r="CZ805" t="inlineStr"/>
      <c r="DA805" t="inlineStr"/>
      <c r="DB805" t="inlineStr"/>
      <c r="DC805" t="inlineStr"/>
      <c r="DD805" t="inlineStr"/>
      <c r="DE805" t="inlineStr"/>
      <c r="DF805" t="inlineStr"/>
      <c r="DG805" t="inlineStr"/>
    </row>
    <row r="806">
      <c r="A806" t="inlineStr">
        <is>
          <t>III</t>
        </is>
      </c>
      <c r="B806" t="b">
        <v>1</v>
      </c>
      <c r="C806" t="inlineStr"/>
      <c r="D806" t="inlineStr"/>
      <c r="E806" t="n">
        <v>889</v>
      </c>
      <c r="F806">
        <f>HYPERLINK("https://portal.dnb.de/opac.htm?method=simpleSearch&amp;cqlMode=true&amp;query=idn%3D1066859175", "Portal")</f>
        <v/>
      </c>
      <c r="G806" t="inlineStr">
        <is>
          <t>Aaf</t>
        </is>
      </c>
      <c r="H806" t="inlineStr">
        <is>
          <t>L-1513-315317884</t>
        </is>
      </c>
      <c r="I806" t="inlineStr">
        <is>
          <t>1066859175</t>
        </is>
      </c>
      <c r="J806" t="inlineStr">
        <is>
          <t>III 95, 20</t>
        </is>
      </c>
      <c r="K806" t="inlineStr">
        <is>
          <t>III 95, 20</t>
        </is>
      </c>
      <c r="L806" t="inlineStr">
        <is>
          <t>III 95, 20</t>
        </is>
      </c>
      <c r="M806" t="inlineStr"/>
      <c r="N806" t="inlineStr">
        <is>
          <t xml:space="preserve">Der @text des Passions. Oder lidens christi. ausz den vier euangelisten zusammen jnn eyn syn bracht mit schönen figüren... : </t>
        </is>
      </c>
      <c r="O806" t="inlineStr">
        <is>
          <t xml:space="preserve"> : </t>
        </is>
      </c>
      <c r="P806" t="inlineStr"/>
      <c r="Q806" t="inlineStr"/>
      <c r="R806" t="inlineStr"/>
      <c r="S806" t="inlineStr">
        <is>
          <t>bis 35 cm</t>
        </is>
      </c>
      <c r="T806" t="inlineStr"/>
      <c r="U806" t="inlineStr"/>
      <c r="V806" t="inlineStr"/>
      <c r="W806" t="inlineStr"/>
      <c r="X806" t="inlineStr"/>
      <c r="Y806" t="inlineStr"/>
      <c r="Z806" t="inlineStr"/>
      <c r="AA806" t="inlineStr"/>
      <c r="AB806" t="inlineStr"/>
      <c r="AC806" t="inlineStr"/>
      <c r="AD806" t="inlineStr"/>
      <c r="AE806" t="inlineStr"/>
      <c r="AF806" t="inlineStr"/>
      <c r="AG806" t="inlineStr"/>
      <c r="AH806" t="inlineStr"/>
      <c r="AI806" t="inlineStr">
        <is>
          <t>Pg</t>
        </is>
      </c>
      <c r="AJ806" t="inlineStr"/>
      <c r="AK806" t="inlineStr"/>
      <c r="AL806" t="inlineStr">
        <is>
          <t>x</t>
        </is>
      </c>
      <c r="AM806" t="inlineStr">
        <is>
          <t>h/E</t>
        </is>
      </c>
      <c r="AN806" t="inlineStr"/>
      <c r="AO806" t="inlineStr"/>
      <c r="AP806" t="inlineStr"/>
      <c r="AQ806" t="inlineStr"/>
      <c r="AR806" t="inlineStr"/>
      <c r="AS806" t="inlineStr">
        <is>
          <t>Pa</t>
        </is>
      </c>
      <c r="AT806" t="inlineStr"/>
      <c r="AU806" t="inlineStr"/>
      <c r="AV806" t="inlineStr"/>
      <c r="AW806" t="inlineStr"/>
      <c r="AX806" t="inlineStr"/>
      <c r="AY806" t="inlineStr"/>
      <c r="AZ806" t="inlineStr"/>
      <c r="BA806" t="inlineStr"/>
      <c r="BB806" t="inlineStr"/>
      <c r="BC806" t="inlineStr"/>
      <c r="BD806" t="inlineStr"/>
      <c r="BE806" t="inlineStr"/>
      <c r="BF806" t="inlineStr"/>
      <c r="BG806" t="n">
        <v>110</v>
      </c>
      <c r="BH806" t="inlineStr"/>
      <c r="BI806" t="inlineStr"/>
      <c r="BJ806" t="inlineStr"/>
      <c r="BK806" t="inlineStr"/>
      <c r="BL806" t="inlineStr"/>
      <c r="BM806" t="inlineStr">
        <is>
          <t>n</t>
        </is>
      </c>
      <c r="BN806" t="n">
        <v>0</v>
      </c>
      <c r="BO806" t="inlineStr"/>
      <c r="BP806" t="inlineStr">
        <is>
          <t>Gewebe</t>
        </is>
      </c>
      <c r="BQ806" t="inlineStr"/>
      <c r="BR806" t="inlineStr"/>
      <c r="BS806" t="inlineStr"/>
      <c r="BT806" t="inlineStr"/>
      <c r="BU806" t="inlineStr"/>
      <c r="BV806" t="inlineStr"/>
      <c r="BW806" t="inlineStr"/>
      <c r="BX806" t="inlineStr"/>
      <c r="BY806" t="inlineStr"/>
      <c r="BZ806" t="inlineStr"/>
      <c r="CA806" t="inlineStr"/>
      <c r="CB806" t="inlineStr"/>
      <c r="CC806" t="inlineStr"/>
      <c r="CD806" t="inlineStr"/>
      <c r="CE806" t="inlineStr"/>
      <c r="CF806" t="inlineStr"/>
      <c r="CG806" t="inlineStr"/>
      <c r="CH806" t="inlineStr"/>
      <c r="CI806" t="inlineStr"/>
      <c r="CJ806" t="inlineStr"/>
      <c r="CK806" t="inlineStr"/>
      <c r="CL806" t="inlineStr"/>
      <c r="CM806" t="inlineStr"/>
      <c r="CN806" t="inlineStr"/>
      <c r="CO806" t="inlineStr"/>
      <c r="CP806" t="inlineStr"/>
      <c r="CQ806" t="inlineStr"/>
      <c r="CR806" t="inlineStr"/>
      <c r="CS806" t="inlineStr"/>
      <c r="CT806" t="inlineStr"/>
      <c r="CU806" t="inlineStr"/>
      <c r="CV806" t="inlineStr"/>
      <c r="CW806" t="inlineStr"/>
      <c r="CX806" t="inlineStr"/>
      <c r="CY806" t="inlineStr"/>
      <c r="CZ806" t="inlineStr"/>
      <c r="DA806" t="inlineStr"/>
      <c r="DB806" t="inlineStr"/>
      <c r="DC806" t="inlineStr"/>
      <c r="DD806" t="inlineStr"/>
      <c r="DE806" t="inlineStr"/>
      <c r="DF806" t="inlineStr"/>
      <c r="DG806" t="inlineStr"/>
    </row>
    <row r="807">
      <c r="A807" t="inlineStr">
        <is>
          <t>III</t>
        </is>
      </c>
      <c r="B807" t="b">
        <v>1</v>
      </c>
      <c r="C807" t="inlineStr"/>
      <c r="D807" t="inlineStr"/>
      <c r="E807" t="n">
        <v>890</v>
      </c>
      <c r="F807">
        <f>HYPERLINK("https://portal.dnb.de/opac.htm?method=simpleSearch&amp;cqlMode=true&amp;query=idn%3D993860303", "Portal")</f>
        <v/>
      </c>
      <c r="G807" t="inlineStr">
        <is>
          <t>Aal</t>
        </is>
      </c>
      <c r="H807" t="inlineStr">
        <is>
          <t>L-1513-153914203</t>
        </is>
      </c>
      <c r="I807" t="inlineStr">
        <is>
          <t>993860303</t>
        </is>
      </c>
      <c r="J807" t="inlineStr">
        <is>
          <t>III 95, 21</t>
        </is>
      </c>
      <c r="K807" t="inlineStr">
        <is>
          <t>III 95, 21</t>
        </is>
      </c>
      <c r="L807" t="inlineStr">
        <is>
          <t>III 95, 21</t>
        </is>
      </c>
      <c r="M807" t="inlineStr"/>
      <c r="N807" t="inlineStr">
        <is>
          <t>DJe @Türckisch Chronica|| Von irem vrsprung anefang|| vnd regiment|| biß vff dise zeit|| sampt yrē|| kriegen vnd streyten mit den chri||sten begangen|</t>
        </is>
      </c>
      <c r="O807" t="inlineStr">
        <is>
          <t xml:space="preserve"> : </t>
        </is>
      </c>
      <c r="P807" t="inlineStr"/>
      <c r="Q807" t="inlineStr"/>
      <c r="R807" t="inlineStr"/>
      <c r="S807" t="inlineStr">
        <is>
          <t>bis 35 cm</t>
        </is>
      </c>
      <c r="T807" t="inlineStr"/>
      <c r="U807" t="inlineStr"/>
      <c r="V807" t="inlineStr"/>
      <c r="W807" t="inlineStr"/>
      <c r="X807" t="inlineStr"/>
      <c r="Y807" t="inlineStr"/>
      <c r="Z807" t="inlineStr"/>
      <c r="AA807" t="inlineStr"/>
      <c r="AB807" t="inlineStr"/>
      <c r="AC807" t="inlineStr"/>
      <c r="AD807" t="inlineStr"/>
      <c r="AE807" t="inlineStr"/>
      <c r="AF807" t="inlineStr"/>
      <c r="AG807" t="inlineStr"/>
      <c r="AH807" t="inlineStr"/>
      <c r="AI807" t="inlineStr">
        <is>
          <t>HD</t>
        </is>
      </c>
      <c r="AJ807" t="inlineStr"/>
      <c r="AK807" t="inlineStr"/>
      <c r="AL807" t="inlineStr"/>
      <c r="AM807" t="inlineStr">
        <is>
          <t>f</t>
        </is>
      </c>
      <c r="AN807" t="inlineStr"/>
      <c r="AO807" t="inlineStr"/>
      <c r="AP807" t="inlineStr"/>
      <c r="AQ807" t="inlineStr"/>
      <c r="AR807" t="inlineStr"/>
      <c r="AS807" t="inlineStr">
        <is>
          <t>Pa</t>
        </is>
      </c>
      <c r="AT807" t="inlineStr"/>
      <c r="AU807" t="inlineStr"/>
      <c r="AV807" t="inlineStr"/>
      <c r="AW807" t="inlineStr"/>
      <c r="AX807" t="inlineStr"/>
      <c r="AY807" t="inlineStr"/>
      <c r="AZ807" t="inlineStr"/>
      <c r="BA807" t="inlineStr"/>
      <c r="BB807" t="inlineStr"/>
      <c r="BC807" t="inlineStr"/>
      <c r="BD807" t="inlineStr"/>
      <c r="BE807" t="inlineStr"/>
      <c r="BF807" t="inlineStr"/>
      <c r="BG807" t="n">
        <v>110</v>
      </c>
      <c r="BH807" t="inlineStr"/>
      <c r="BI807" t="inlineStr"/>
      <c r="BJ807" t="inlineStr"/>
      <c r="BK807" t="inlineStr"/>
      <c r="BL807" t="inlineStr"/>
      <c r="BM807" t="inlineStr">
        <is>
          <t>n</t>
        </is>
      </c>
      <c r="BN807" t="n">
        <v>0</v>
      </c>
      <c r="BO807" t="inlineStr"/>
      <c r="BP807" t="inlineStr"/>
      <c r="BQ807" t="inlineStr"/>
      <c r="BR807" t="inlineStr">
        <is>
          <t>x</t>
        </is>
      </c>
      <c r="BS807" t="inlineStr"/>
      <c r="BT807" t="inlineStr"/>
      <c r="BU807" t="inlineStr"/>
      <c r="BV807" t="inlineStr"/>
      <c r="BW807" t="inlineStr"/>
      <c r="BX807" t="inlineStr"/>
      <c r="BY807" t="inlineStr"/>
      <c r="BZ807" t="inlineStr"/>
      <c r="CA807" t="inlineStr"/>
      <c r="CB807" t="inlineStr"/>
      <c r="CC807" t="inlineStr"/>
      <c r="CD807" t="inlineStr"/>
      <c r="CE807" t="inlineStr"/>
      <c r="CF807" t="inlineStr"/>
      <c r="CG807" t="inlineStr"/>
      <c r="CH807" t="inlineStr"/>
      <c r="CI807" t="inlineStr"/>
      <c r="CJ807" t="inlineStr"/>
      <c r="CK807" t="inlineStr"/>
      <c r="CL807" t="inlineStr"/>
      <c r="CM807" t="inlineStr"/>
      <c r="CN807" t="inlineStr"/>
      <c r="CO807" t="inlineStr"/>
      <c r="CP807" t="inlineStr"/>
      <c r="CQ807" t="inlineStr"/>
      <c r="CR807" t="inlineStr"/>
      <c r="CS807" t="inlineStr"/>
      <c r="CT807" t="inlineStr"/>
      <c r="CU807" t="inlineStr"/>
      <c r="CV807" t="inlineStr"/>
      <c r="CW807" t="inlineStr"/>
      <c r="CX807" t="inlineStr"/>
      <c r="CY807" t="inlineStr"/>
      <c r="CZ807" t="inlineStr"/>
      <c r="DA807" t="inlineStr"/>
      <c r="DB807" t="inlineStr"/>
      <c r="DC807" t="inlineStr"/>
      <c r="DD807" t="inlineStr"/>
      <c r="DE807" t="inlineStr"/>
      <c r="DF807" t="inlineStr"/>
      <c r="DG807" t="inlineStr"/>
    </row>
    <row r="808">
      <c r="A808" t="inlineStr">
        <is>
          <t>III</t>
        </is>
      </c>
      <c r="B808" t="b">
        <v>1</v>
      </c>
      <c r="C808" t="inlineStr"/>
      <c r="D808" t="inlineStr"/>
      <c r="E808" t="n">
        <v>891</v>
      </c>
      <c r="F808">
        <f>HYPERLINK("https://portal.dnb.de/opac.htm?method=simpleSearch&amp;cqlMode=true&amp;query=idn%3D1066941114", "Portal")</f>
        <v/>
      </c>
      <c r="G808" t="inlineStr">
        <is>
          <t>Aaf</t>
        </is>
      </c>
      <c r="H808" t="inlineStr">
        <is>
          <t>L-1510-31546884X</t>
        </is>
      </c>
      <c r="I808" t="inlineStr">
        <is>
          <t>1066941114</t>
        </is>
      </c>
      <c r="J808" t="inlineStr">
        <is>
          <t>III 95, 22</t>
        </is>
      </c>
      <c r="K808" t="inlineStr">
        <is>
          <t>III 95, 22</t>
        </is>
      </c>
      <c r="L808" t="inlineStr">
        <is>
          <t>III 95, 22</t>
        </is>
      </c>
      <c r="M808" t="inlineStr"/>
      <c r="N808" t="inlineStr">
        <is>
          <t>Celeberrimi sacrarum lite||rarum Doctoris Joannis Geiler Keisersbergi:|| Argentinensiu Cocionatoris bene meri/||ti.De oratione dñica Sermones:|| Per J</t>
        </is>
      </c>
      <c r="O808" t="inlineStr">
        <is>
          <t xml:space="preserve"> : </t>
        </is>
      </c>
      <c r="P808" t="inlineStr"/>
      <c r="Q808" t="inlineStr"/>
      <c r="R808" t="inlineStr"/>
      <c r="S808" t="inlineStr">
        <is>
          <t>bis 25 cm</t>
        </is>
      </c>
      <c r="T808" t="inlineStr"/>
      <c r="U808" t="inlineStr"/>
      <c r="V808" t="inlineStr"/>
      <c r="W808" t="inlineStr"/>
      <c r="X808" t="inlineStr"/>
      <c r="Y808" t="inlineStr"/>
      <c r="Z808" t="inlineStr"/>
      <c r="AA808" t="inlineStr"/>
      <c r="AB808" t="inlineStr"/>
      <c r="AC808" t="inlineStr"/>
      <c r="AD808" t="inlineStr"/>
      <c r="AE808" t="inlineStr"/>
      <c r="AF808" t="inlineStr"/>
      <c r="AG808" t="inlineStr"/>
      <c r="AH808" t="inlineStr"/>
      <c r="AI808" t="inlineStr">
        <is>
          <t>G</t>
        </is>
      </c>
      <c r="AJ808" t="inlineStr"/>
      <c r="AK808" t="inlineStr"/>
      <c r="AL808" t="inlineStr"/>
      <c r="AM808" t="inlineStr">
        <is>
          <t>h/E</t>
        </is>
      </c>
      <c r="AN808" t="inlineStr"/>
      <c r="AO808" t="inlineStr"/>
      <c r="AP808" t="inlineStr"/>
      <c r="AQ808" t="inlineStr"/>
      <c r="AR808" t="inlineStr"/>
      <c r="AS808" t="inlineStr">
        <is>
          <t>Pa</t>
        </is>
      </c>
      <c r="AT808" t="inlineStr"/>
      <c r="AU808" t="inlineStr"/>
      <c r="AV808" t="inlineStr"/>
      <c r="AW808" t="inlineStr"/>
      <c r="AX808" t="inlineStr"/>
      <c r="AY808" t="inlineStr"/>
      <c r="AZ808" t="inlineStr"/>
      <c r="BA808" t="inlineStr"/>
      <c r="BB808" t="inlineStr"/>
      <c r="BC808" t="inlineStr"/>
      <c r="BD808" t="inlineStr"/>
      <c r="BE808" t="inlineStr"/>
      <c r="BF808" t="inlineStr"/>
      <c r="BG808" t="n">
        <v>110</v>
      </c>
      <c r="BH808" t="inlineStr"/>
      <c r="BI808" t="inlineStr"/>
      <c r="BJ808" t="inlineStr"/>
      <c r="BK808" t="inlineStr"/>
      <c r="BL808" t="inlineStr"/>
      <c r="BM808" t="inlineStr">
        <is>
          <t>n</t>
        </is>
      </c>
      <c r="BN808" t="n">
        <v>0</v>
      </c>
      <c r="BO808" t="inlineStr"/>
      <c r="BP808" t="inlineStr"/>
      <c r="BQ808" t="inlineStr"/>
      <c r="BR808" t="inlineStr">
        <is>
          <t>x</t>
        </is>
      </c>
      <c r="BS808" t="inlineStr"/>
      <c r="BT808" t="inlineStr"/>
      <c r="BU808" t="inlineStr"/>
      <c r="BV808" t="inlineStr"/>
      <c r="BW808" t="inlineStr"/>
      <c r="BX808" t="inlineStr"/>
      <c r="BY808" t="inlineStr"/>
      <c r="BZ808" t="inlineStr"/>
      <c r="CA808" t="inlineStr"/>
      <c r="CB808" t="inlineStr"/>
      <c r="CC808" t="inlineStr"/>
      <c r="CD808" t="inlineStr"/>
      <c r="CE808" t="inlineStr"/>
      <c r="CF808" t="inlineStr"/>
      <c r="CG808" t="inlineStr"/>
      <c r="CH808" t="inlineStr"/>
      <c r="CI808" t="inlineStr"/>
      <c r="CJ808" t="inlineStr"/>
      <c r="CK808" t="inlineStr"/>
      <c r="CL808" t="inlineStr"/>
      <c r="CM808" t="inlineStr"/>
      <c r="CN808" t="inlineStr"/>
      <c r="CO808" t="inlineStr"/>
      <c r="CP808" t="inlineStr"/>
      <c r="CQ808" t="inlineStr"/>
      <c r="CR808" t="inlineStr"/>
      <c r="CS808" t="inlineStr"/>
      <c r="CT808" t="inlineStr"/>
      <c r="CU808" t="inlineStr"/>
      <c r="CV808" t="inlineStr"/>
      <c r="CW808" t="inlineStr"/>
      <c r="CX808" t="inlineStr"/>
      <c r="CY808" t="inlineStr"/>
      <c r="CZ808" t="inlineStr"/>
      <c r="DA808" t="inlineStr"/>
      <c r="DB808" t="inlineStr"/>
      <c r="DC808" t="inlineStr"/>
      <c r="DD808" t="inlineStr"/>
      <c r="DE808" t="inlineStr"/>
      <c r="DF808" t="inlineStr"/>
      <c r="DG808" t="inlineStr"/>
    </row>
    <row r="809">
      <c r="A809" t="inlineStr">
        <is>
          <t>III</t>
        </is>
      </c>
      <c r="B809" t="b">
        <v>1</v>
      </c>
      <c r="C809" t="inlineStr"/>
      <c r="D809" t="inlineStr"/>
      <c r="E809" t="n">
        <v>923</v>
      </c>
      <c r="F809">
        <f>HYPERLINK("https://portal.dnb.de/opac.htm?method=simpleSearch&amp;cqlMode=true&amp;query=idn%3D998425532", "Portal")</f>
        <v/>
      </c>
      <c r="G809" t="inlineStr">
        <is>
          <t>Aal</t>
        </is>
      </c>
      <c r="H809" t="inlineStr">
        <is>
          <t>L-1508-16618859X</t>
        </is>
      </c>
      <c r="I809" t="inlineStr">
        <is>
          <t>998425532</t>
        </is>
      </c>
      <c r="J809" t="inlineStr">
        <is>
          <t>III 95, 22a</t>
        </is>
      </c>
      <c r="K809" t="inlineStr">
        <is>
          <t>III 95, 22a</t>
        </is>
      </c>
      <c r="L809" t="inlineStr">
        <is>
          <t>III 95, 22 a</t>
        </is>
      </c>
      <c r="M809" t="inlineStr"/>
      <c r="N809" t="inlineStr">
        <is>
          <t xml:space="preserve">Christophori Landini Florentini libri quattuor : </t>
        </is>
      </c>
      <c r="O809" t="inlineStr">
        <is>
          <t xml:space="preserve"> : </t>
        </is>
      </c>
      <c r="P809" t="inlineStr"/>
      <c r="Q809" t="inlineStr"/>
      <c r="R809" t="inlineStr"/>
      <c r="S809" t="inlineStr">
        <is>
          <t>bis 35 cm</t>
        </is>
      </c>
      <c r="T809" t="inlineStr"/>
      <c r="U809" t="inlineStr"/>
      <c r="V809" t="inlineStr"/>
      <c r="W809" t="inlineStr"/>
      <c r="X809" t="inlineStr"/>
      <c r="Y809" t="inlineStr"/>
      <c r="Z809" t="inlineStr"/>
      <c r="AA809" t="inlineStr"/>
      <c r="AB809" t="inlineStr"/>
      <c r="AC809" t="inlineStr"/>
      <c r="AD809" t="inlineStr"/>
      <c r="AE809" t="inlineStr"/>
      <c r="AF809" t="inlineStr"/>
      <c r="AG809" t="inlineStr"/>
      <c r="AH809" t="inlineStr"/>
      <c r="AI809" t="inlineStr">
        <is>
          <t>L</t>
        </is>
      </c>
      <c r="AJ809" t="inlineStr"/>
      <c r="AK809" t="inlineStr"/>
      <c r="AL809" t="inlineStr">
        <is>
          <t>x</t>
        </is>
      </c>
      <c r="AM809" t="inlineStr">
        <is>
          <t>f</t>
        </is>
      </c>
      <c r="AN809" t="inlineStr"/>
      <c r="AO809" t="inlineStr"/>
      <c r="AP809" t="inlineStr"/>
      <c r="AQ809" t="inlineStr"/>
      <c r="AR809" t="inlineStr"/>
      <c r="AS809" t="inlineStr">
        <is>
          <t>Pa</t>
        </is>
      </c>
      <c r="AT809" t="inlineStr"/>
      <c r="AU809" t="inlineStr"/>
      <c r="AV809" t="inlineStr"/>
      <c r="AW809" t="inlineStr"/>
      <c r="AX809" t="inlineStr"/>
      <c r="AY809" t="inlineStr"/>
      <c r="AZ809" t="inlineStr"/>
      <c r="BA809" t="inlineStr"/>
      <c r="BB809" t="inlineStr"/>
      <c r="BC809" t="inlineStr"/>
      <c r="BD809" t="inlineStr"/>
      <c r="BE809" t="inlineStr"/>
      <c r="BF809" t="inlineStr"/>
      <c r="BG809" t="n">
        <v>110</v>
      </c>
      <c r="BH809" t="inlineStr"/>
      <c r="BI809" t="inlineStr"/>
      <c r="BJ809" t="inlineStr"/>
      <c r="BK809" t="inlineStr"/>
      <c r="BL809" t="inlineStr"/>
      <c r="BM809" t="inlineStr">
        <is>
          <t>n</t>
        </is>
      </c>
      <c r="BN809" t="n">
        <v>0</v>
      </c>
      <c r="BO809" t="inlineStr"/>
      <c r="BP809" t="inlineStr">
        <is>
          <t>Gewebe</t>
        </is>
      </c>
      <c r="BQ809" t="inlineStr"/>
      <c r="BR809" t="inlineStr"/>
      <c r="BS809" t="inlineStr"/>
      <c r="BT809" t="inlineStr"/>
      <c r="BU809" t="inlineStr"/>
      <c r="BV809" t="inlineStr"/>
      <c r="BW809" t="inlineStr"/>
      <c r="BX809" t="inlineStr"/>
      <c r="BY809" t="inlineStr"/>
      <c r="BZ809" t="inlineStr"/>
      <c r="CA809" t="inlineStr"/>
      <c r="CB809" t="inlineStr"/>
      <c r="CC809" t="inlineStr"/>
      <c r="CD809" t="inlineStr"/>
      <c r="CE809" t="inlineStr"/>
      <c r="CF809" t="inlineStr"/>
      <c r="CG809" t="inlineStr"/>
      <c r="CH809" t="inlineStr"/>
      <c r="CI809" t="inlineStr"/>
      <c r="CJ809" t="inlineStr"/>
      <c r="CK809" t="inlineStr"/>
      <c r="CL809" t="inlineStr"/>
      <c r="CM809" t="inlineStr"/>
      <c r="CN809" t="inlineStr"/>
      <c r="CO809" t="inlineStr"/>
      <c r="CP809" t="inlineStr"/>
      <c r="CQ809" t="inlineStr"/>
      <c r="CR809" t="inlineStr"/>
      <c r="CS809" t="inlineStr"/>
      <c r="CT809" t="inlineStr"/>
      <c r="CU809" t="inlineStr"/>
      <c r="CV809" t="inlineStr"/>
      <c r="CW809" t="inlineStr"/>
      <c r="CX809" t="inlineStr"/>
      <c r="CY809" t="inlineStr"/>
      <c r="CZ809" t="inlineStr"/>
      <c r="DA809" t="inlineStr"/>
      <c r="DB809" t="inlineStr"/>
      <c r="DC809" t="inlineStr"/>
      <c r="DD809" t="inlineStr"/>
      <c r="DE809" t="inlineStr"/>
      <c r="DF809" t="inlineStr"/>
      <c r="DG809" t="inlineStr"/>
    </row>
    <row r="810">
      <c r="A810" t="inlineStr">
        <is>
          <t>III</t>
        </is>
      </c>
      <c r="B810" t="b">
        <v>1</v>
      </c>
      <c r="C810" t="inlineStr">
        <is>
          <t>x</t>
        </is>
      </c>
      <c r="D810" t="inlineStr"/>
      <c r="E810" t="n">
        <v>892</v>
      </c>
      <c r="F810">
        <f>HYPERLINK("https://portal.dnb.de/opac.htm?method=simpleSearch&amp;cqlMode=true&amp;query=idn%3D1066961867", "Portal")</f>
        <v/>
      </c>
      <c r="G810" t="inlineStr">
        <is>
          <t>Aaf</t>
        </is>
      </c>
      <c r="H810" t="inlineStr">
        <is>
          <t>L-1511-315492260</t>
        </is>
      </c>
      <c r="I810" t="inlineStr">
        <is>
          <t>1066961867</t>
        </is>
      </c>
      <c r="J810" t="inlineStr">
        <is>
          <t>III 95, 23</t>
        </is>
      </c>
      <c r="K810" t="inlineStr">
        <is>
          <t>III 95, 23</t>
        </is>
      </c>
      <c r="L810" t="inlineStr">
        <is>
          <t>III 95, 23</t>
        </is>
      </c>
      <c r="M810" t="inlineStr"/>
      <c r="N810" t="inlineStr">
        <is>
          <t xml:space="preserve">HIEROCLIS STOICI PHILOSOPHI|| in aurea Pythagorae carmina|| Commentarius.|| : </t>
        </is>
      </c>
      <c r="O810" t="inlineStr">
        <is>
          <t xml:space="preserve"> : </t>
        </is>
      </c>
      <c r="P810" t="inlineStr"/>
      <c r="Q810" t="inlineStr"/>
      <c r="R810" t="inlineStr"/>
      <c r="S810" t="inlineStr">
        <is>
          <t>bis 25 cm</t>
        </is>
      </c>
      <c r="T810" t="inlineStr"/>
      <c r="U810" t="inlineStr"/>
      <c r="V810" t="inlineStr"/>
      <c r="W810" t="inlineStr"/>
      <c r="X810" t="inlineStr"/>
      <c r="Y810" t="inlineStr"/>
      <c r="Z810" t="inlineStr"/>
      <c r="AA810" t="inlineStr"/>
      <c r="AB810" t="inlineStr"/>
      <c r="AC810" t="inlineStr"/>
      <c r="AD810" t="inlineStr"/>
      <c r="AE810" t="inlineStr"/>
      <c r="AF810" t="inlineStr"/>
      <c r="AG810" t="inlineStr"/>
      <c r="AH810" t="inlineStr"/>
      <c r="AI810" t="inlineStr">
        <is>
          <t>G</t>
        </is>
      </c>
      <c r="AJ810" t="inlineStr"/>
      <c r="AK810" t="inlineStr"/>
      <c r="AL810" t="inlineStr"/>
      <c r="AM810" t="inlineStr">
        <is>
          <t>h/E</t>
        </is>
      </c>
      <c r="AN810" t="inlineStr"/>
      <c r="AO810" t="inlineStr"/>
      <c r="AP810" t="inlineStr"/>
      <c r="AQ810" t="inlineStr"/>
      <c r="AR810" t="inlineStr"/>
      <c r="AS810" t="inlineStr">
        <is>
          <t>Pa</t>
        </is>
      </c>
      <c r="AT810" t="inlineStr"/>
      <c r="AU810" t="inlineStr"/>
      <c r="AV810" t="inlineStr"/>
      <c r="AW810" t="inlineStr"/>
      <c r="AX810" t="inlineStr"/>
      <c r="AY810" t="inlineStr"/>
      <c r="AZ810" t="inlineStr"/>
      <c r="BA810" t="inlineStr"/>
      <c r="BB810" t="inlineStr"/>
      <c r="BC810" t="inlineStr"/>
      <c r="BD810" t="inlineStr"/>
      <c r="BE810" t="inlineStr"/>
      <c r="BF810" t="inlineStr"/>
      <c r="BG810" t="n">
        <v>110</v>
      </c>
      <c r="BH810" t="inlineStr"/>
      <c r="BI810" t="inlineStr"/>
      <c r="BJ810" t="inlineStr"/>
      <c r="BK810" t="inlineStr"/>
      <c r="BL810" t="inlineStr"/>
      <c r="BM810" t="inlineStr">
        <is>
          <t>ja vor</t>
        </is>
      </c>
      <c r="BN810" t="n">
        <v>1</v>
      </c>
      <c r="BO810" t="inlineStr"/>
      <c r="BP810" t="inlineStr"/>
      <c r="BQ810" t="inlineStr"/>
      <c r="BR810" t="inlineStr"/>
      <c r="BS810" t="inlineStr"/>
      <c r="BT810" t="inlineStr"/>
      <c r="BU810" t="inlineStr"/>
      <c r="BV810" t="inlineStr"/>
      <c r="BW810" t="inlineStr"/>
      <c r="BX810" t="inlineStr"/>
      <c r="BY810" t="inlineStr"/>
      <c r="BZ810" t="inlineStr"/>
      <c r="CA810" t="inlineStr"/>
      <c r="CB810" t="inlineStr">
        <is>
          <t>x</t>
        </is>
      </c>
      <c r="CC810" t="inlineStr"/>
      <c r="CD810" t="inlineStr">
        <is>
          <t>h</t>
        </is>
      </c>
      <c r="CE810" t="inlineStr"/>
      <c r="CF810" t="inlineStr"/>
      <c r="CG810" t="inlineStr"/>
      <c r="CH810" t="inlineStr"/>
      <c r="CI810" t="inlineStr"/>
      <c r="CJ810" t="inlineStr"/>
      <c r="CK810" t="inlineStr"/>
      <c r="CL810" t="inlineStr"/>
      <c r="CM810" t="n">
        <v>1</v>
      </c>
      <c r="CN810" t="inlineStr"/>
      <c r="CO810" t="inlineStr"/>
      <c r="CP810" t="inlineStr"/>
      <c r="CQ810" t="inlineStr"/>
      <c r="CR810" t="inlineStr"/>
      <c r="CS810" t="inlineStr"/>
      <c r="CT810" t="inlineStr"/>
      <c r="CU810" t="inlineStr"/>
      <c r="CV810" t="inlineStr"/>
      <c r="CW810" t="inlineStr"/>
      <c r="CX810" t="inlineStr"/>
      <c r="CY810" t="inlineStr"/>
      <c r="CZ810" t="inlineStr"/>
      <c r="DA810" t="inlineStr"/>
      <c r="DB810" t="inlineStr"/>
      <c r="DC810" t="inlineStr"/>
      <c r="DD810" t="inlineStr"/>
      <c r="DE810" t="inlineStr"/>
      <c r="DF810" t="inlineStr"/>
      <c r="DG810" t="inlineStr"/>
    </row>
    <row r="811">
      <c r="A811" t="inlineStr">
        <is>
          <t>III</t>
        </is>
      </c>
      <c r="B811" t="b">
        <v>1</v>
      </c>
      <c r="C811" t="inlineStr"/>
      <c r="D811" t="inlineStr"/>
      <c r="E811" t="n">
        <v>893</v>
      </c>
      <c r="F811">
        <f>HYPERLINK("https://portal.dnb.de/opac.htm?method=simpleSearch&amp;cqlMode=true&amp;query=idn%3D1079300384", "Portal")</f>
        <v/>
      </c>
      <c r="G811" t="inlineStr">
        <is>
          <t>Aaf</t>
        </is>
      </c>
      <c r="H811" t="inlineStr">
        <is>
          <t>L-1512-342900307</t>
        </is>
      </c>
      <c r="I811" t="inlineStr">
        <is>
          <t>1079300384</t>
        </is>
      </c>
      <c r="J811" t="inlineStr">
        <is>
          <t>III 95, 24</t>
        </is>
      </c>
      <c r="K811" t="inlineStr">
        <is>
          <t>III 95, 24</t>
        </is>
      </c>
      <c r="L811" t="inlineStr">
        <is>
          <t>III 95, 24</t>
        </is>
      </c>
      <c r="M811" t="inlineStr"/>
      <c r="N811" t="inlineStr">
        <is>
          <t xml:space="preserve">Nauicula Penitentie|| Per excellentissimum sacre pagine doctorem Jo||annem Keyserpergium Argentinensium|| Concionatorem predicata. A Ja||cobo Otthero </t>
        </is>
      </c>
      <c r="O811" t="inlineStr">
        <is>
          <t xml:space="preserve"> : </t>
        </is>
      </c>
      <c r="P811" t="inlineStr"/>
      <c r="Q811" t="inlineStr"/>
      <c r="R811" t="inlineStr"/>
      <c r="S811" t="inlineStr">
        <is>
          <t>bis 25 cm</t>
        </is>
      </c>
      <c r="T811" t="inlineStr"/>
      <c r="U811" t="inlineStr"/>
      <c r="V811" t="inlineStr"/>
      <c r="W811" t="inlineStr"/>
      <c r="X811" t="inlineStr"/>
      <c r="Y811" t="inlineStr"/>
      <c r="Z811" t="inlineStr"/>
      <c r="AA811" t="inlineStr"/>
      <c r="AB811" t="inlineStr"/>
      <c r="AC811" t="inlineStr"/>
      <c r="AD811" t="inlineStr"/>
      <c r="AE811" t="inlineStr"/>
      <c r="AF811" t="inlineStr"/>
      <c r="AG811" t="inlineStr"/>
      <c r="AH811" t="inlineStr"/>
      <c r="AI811" t="inlineStr">
        <is>
          <t>G</t>
        </is>
      </c>
      <c r="AJ811" t="inlineStr"/>
      <c r="AK811" t="inlineStr"/>
      <c r="AL811" t="inlineStr"/>
      <c r="AM811" t="inlineStr">
        <is>
          <t>h/E</t>
        </is>
      </c>
      <c r="AN811" t="inlineStr"/>
      <c r="AO811" t="inlineStr"/>
      <c r="AP811" t="inlineStr"/>
      <c r="AQ811" t="inlineStr"/>
      <c r="AR811" t="inlineStr"/>
      <c r="AS811" t="inlineStr">
        <is>
          <t>Pa</t>
        </is>
      </c>
      <c r="AT811" t="inlineStr"/>
      <c r="AU811" t="inlineStr"/>
      <c r="AV811" t="inlineStr"/>
      <c r="AW811" t="inlineStr"/>
      <c r="AX811" t="inlineStr"/>
      <c r="AY811" t="inlineStr"/>
      <c r="AZ811" t="inlineStr"/>
      <c r="BA811" t="inlineStr"/>
      <c r="BB811" t="inlineStr"/>
      <c r="BC811" t="inlineStr"/>
      <c r="BD811" t="inlineStr"/>
      <c r="BE811" t="inlineStr"/>
      <c r="BF811" t="inlineStr"/>
      <c r="BG811" t="n">
        <v>110</v>
      </c>
      <c r="BH811" t="inlineStr"/>
      <c r="BI811" t="inlineStr"/>
      <c r="BJ811" t="inlineStr"/>
      <c r="BK811" t="inlineStr"/>
      <c r="BL811" t="inlineStr"/>
      <c r="BM811" t="inlineStr">
        <is>
          <t>n</t>
        </is>
      </c>
      <c r="BN811" t="n">
        <v>0</v>
      </c>
      <c r="BO811" t="inlineStr"/>
      <c r="BP811" t="inlineStr"/>
      <c r="BQ811" t="inlineStr"/>
      <c r="BR811" t="inlineStr"/>
      <c r="BS811" t="inlineStr"/>
      <c r="BT811" t="inlineStr"/>
      <c r="BU811" t="inlineStr"/>
      <c r="BV811" t="inlineStr"/>
      <c r="BW811" t="inlineStr"/>
      <c r="BX811" t="inlineStr"/>
      <c r="BY811" t="inlineStr"/>
      <c r="BZ811" t="inlineStr"/>
      <c r="CA811" t="inlineStr"/>
      <c r="CB811" t="inlineStr"/>
      <c r="CC811" t="inlineStr"/>
      <c r="CD811" t="inlineStr"/>
      <c r="CE811" t="inlineStr"/>
      <c r="CF811" t="inlineStr"/>
      <c r="CG811" t="inlineStr"/>
      <c r="CH811" t="inlineStr"/>
      <c r="CI811" t="inlineStr"/>
      <c r="CJ811" t="inlineStr"/>
      <c r="CK811" t="inlineStr"/>
      <c r="CL811" t="inlineStr"/>
      <c r="CM811" t="inlineStr"/>
      <c r="CN811" t="inlineStr"/>
      <c r="CO811" t="inlineStr"/>
      <c r="CP811" t="inlineStr"/>
      <c r="CQ811" t="inlineStr"/>
      <c r="CR811" t="inlineStr"/>
      <c r="CS811" t="inlineStr"/>
      <c r="CT811" t="inlineStr"/>
      <c r="CU811" t="inlineStr"/>
      <c r="CV811" t="inlineStr"/>
      <c r="CW811" t="inlineStr"/>
      <c r="CX811" t="inlineStr"/>
      <c r="CY811" t="inlineStr"/>
      <c r="CZ811" t="inlineStr"/>
      <c r="DA811" t="inlineStr"/>
      <c r="DB811" t="inlineStr"/>
      <c r="DC811" t="inlineStr"/>
      <c r="DD811" t="inlineStr"/>
      <c r="DE811" t="inlineStr"/>
      <c r="DF811" t="inlineStr"/>
      <c r="DG811" t="inlineStr"/>
    </row>
    <row r="812">
      <c r="A812" t="inlineStr">
        <is>
          <t>III</t>
        </is>
      </c>
      <c r="B812" t="b">
        <v>1</v>
      </c>
      <c r="C812" t="inlineStr"/>
      <c r="D812" t="inlineStr"/>
      <c r="E812" t="n">
        <v>924</v>
      </c>
      <c r="F812">
        <f>HYPERLINK("https://portal.dnb.de/opac.htm?method=simpleSearch&amp;cqlMode=true&amp;query=idn%3D1066872740", "Portal")</f>
        <v/>
      </c>
      <c r="G812" t="inlineStr">
        <is>
          <t>Aaf</t>
        </is>
      </c>
      <c r="H812" t="inlineStr">
        <is>
          <t>L-1521-31533049X</t>
        </is>
      </c>
      <c r="I812" t="inlineStr">
        <is>
          <t>1066872740</t>
        </is>
      </c>
      <c r="J812" t="inlineStr">
        <is>
          <t>III 95, 24 a</t>
        </is>
      </c>
      <c r="K812" t="inlineStr">
        <is>
          <t>III 95, 24 a</t>
        </is>
      </c>
      <c r="L812" t="inlineStr">
        <is>
          <t>III 95, 24 a</t>
        </is>
      </c>
      <c r="M812" t="inlineStr"/>
      <c r="N812" t="inlineStr">
        <is>
          <t xml:space="preserve">Gespech biechlin neüw|| Karsthans.|| Zů dem Leser.|| Ein neüwer Karsthans komm ich her : </t>
        </is>
      </c>
      <c r="O812" t="inlineStr">
        <is>
          <t xml:space="preserve"> : </t>
        </is>
      </c>
      <c r="P812" t="inlineStr"/>
      <c r="Q812" t="inlineStr"/>
      <c r="R812" t="inlineStr"/>
      <c r="S812" t="inlineStr">
        <is>
          <t>bis 25 cm</t>
        </is>
      </c>
      <c r="T812" t="inlineStr"/>
      <c r="U812" t="inlineStr"/>
      <c r="V812" t="inlineStr"/>
      <c r="W812" t="inlineStr"/>
      <c r="X812" t="inlineStr"/>
      <c r="Y812" t="inlineStr"/>
      <c r="Z812" t="inlineStr"/>
      <c r="AA812" t="inlineStr"/>
      <c r="AB812" t="inlineStr"/>
      <c r="AC812" t="inlineStr"/>
      <c r="AD812" t="inlineStr"/>
      <c r="AE812" t="inlineStr"/>
      <c r="AF812" t="inlineStr"/>
      <c r="AG812" t="inlineStr"/>
      <c r="AH812" t="inlineStr"/>
      <c r="AI812" t="inlineStr">
        <is>
          <t>Pa</t>
        </is>
      </c>
      <c r="AJ812" t="inlineStr"/>
      <c r="AK812" t="inlineStr"/>
      <c r="AL812" t="inlineStr"/>
      <c r="AM812" t="inlineStr">
        <is>
          <t>h/E</t>
        </is>
      </c>
      <c r="AN812" t="inlineStr"/>
      <c r="AO812" t="inlineStr"/>
      <c r="AP812" t="inlineStr"/>
      <c r="AQ812" t="inlineStr"/>
      <c r="AR812" t="inlineStr"/>
      <c r="AS812" t="inlineStr">
        <is>
          <t>Pa</t>
        </is>
      </c>
      <c r="AT812" t="inlineStr"/>
      <c r="AU812" t="inlineStr"/>
      <c r="AV812" t="inlineStr"/>
      <c r="AW812" t="inlineStr"/>
      <c r="AX812" t="inlineStr"/>
      <c r="AY812" t="inlineStr"/>
      <c r="AZ812" t="inlineStr"/>
      <c r="BA812" t="inlineStr"/>
      <c r="BB812" t="inlineStr"/>
      <c r="BC812" t="inlineStr"/>
      <c r="BD812" t="inlineStr"/>
      <c r="BE812" t="inlineStr"/>
      <c r="BF812" t="inlineStr"/>
      <c r="BG812" t="n">
        <v>110</v>
      </c>
      <c r="BH812" t="inlineStr"/>
      <c r="BI812" t="inlineStr"/>
      <c r="BJ812" t="inlineStr"/>
      <c r="BK812" t="inlineStr"/>
      <c r="BL812" t="inlineStr"/>
      <c r="BM812" t="inlineStr">
        <is>
          <t>n</t>
        </is>
      </c>
      <c r="BN812" t="n">
        <v>0</v>
      </c>
      <c r="BO812" t="inlineStr"/>
      <c r="BP812" t="inlineStr"/>
      <c r="BQ812" t="inlineStr"/>
      <c r="BR812" t="inlineStr"/>
      <c r="BS812" t="inlineStr"/>
      <c r="BT812" t="inlineStr"/>
      <c r="BU812" t="inlineStr"/>
      <c r="BV812" t="inlineStr"/>
      <c r="BW812" t="inlineStr"/>
      <c r="BX812" t="inlineStr"/>
      <c r="BY812" t="inlineStr"/>
      <c r="BZ812" t="inlineStr"/>
      <c r="CA812" t="inlineStr"/>
      <c r="CB812" t="inlineStr"/>
      <c r="CC812" t="inlineStr"/>
      <c r="CD812" t="inlineStr"/>
      <c r="CE812" t="inlineStr"/>
      <c r="CF812" t="inlineStr"/>
      <c r="CG812" t="inlineStr"/>
      <c r="CH812" t="inlineStr"/>
      <c r="CI812" t="inlineStr"/>
      <c r="CJ812" t="inlineStr"/>
      <c r="CK812" t="inlineStr"/>
      <c r="CL812" t="inlineStr"/>
      <c r="CM812" t="inlineStr"/>
      <c r="CN812" t="inlineStr"/>
      <c r="CO812" t="inlineStr"/>
      <c r="CP812" t="inlineStr"/>
      <c r="CQ812" t="inlineStr"/>
      <c r="CR812" t="inlineStr"/>
      <c r="CS812" t="inlineStr"/>
      <c r="CT812" t="inlineStr"/>
      <c r="CU812" t="inlineStr"/>
      <c r="CV812" t="inlineStr"/>
      <c r="CW812" t="inlineStr"/>
      <c r="CX812" t="inlineStr"/>
      <c r="CY812" t="inlineStr"/>
      <c r="CZ812" t="inlineStr"/>
      <c r="DA812" t="inlineStr"/>
      <c r="DB812" t="inlineStr"/>
      <c r="DC812" t="inlineStr"/>
      <c r="DD812" t="inlineStr"/>
      <c r="DE812" t="inlineStr"/>
      <c r="DF812" t="inlineStr"/>
      <c r="DG812" t="inlineStr"/>
    </row>
    <row r="813">
      <c r="A813" t="inlineStr">
        <is>
          <t>III</t>
        </is>
      </c>
      <c r="B813" t="b">
        <v>1</v>
      </c>
      <c r="C813" t="inlineStr"/>
      <c r="D813" t="inlineStr"/>
      <c r="E813" t="n">
        <v>925</v>
      </c>
      <c r="F813">
        <f>HYPERLINK("https://portal.dnb.de/opac.htm?method=simpleSearch&amp;cqlMode=true&amp;query=idn%3D1000635376", "Portal")</f>
        <v/>
      </c>
      <c r="G813" t="inlineStr">
        <is>
          <t>Aal</t>
        </is>
      </c>
      <c r="H813" t="inlineStr">
        <is>
          <t>L-1521-170885348</t>
        </is>
      </c>
      <c r="I813" t="inlineStr">
        <is>
          <t>1000635376</t>
        </is>
      </c>
      <c r="J813" t="inlineStr">
        <is>
          <t>III 95, 24b</t>
        </is>
      </c>
      <c r="K813" t="inlineStr">
        <is>
          <t>III 95, 24b</t>
        </is>
      </c>
      <c r="L813" t="inlineStr">
        <is>
          <t>III 95, 24 b</t>
        </is>
      </c>
      <c r="M813" t="inlineStr"/>
      <c r="N813" t="inlineStr">
        <is>
          <t xml:space="preserve">Das @ist der hoch thu||ren Babel, id est Cō[n]fusio Pa-||pe, darinn Doctor Lu-||ther gefangen ist|| : </t>
        </is>
      </c>
      <c r="O813" t="inlineStr">
        <is>
          <t xml:space="preserve"> : </t>
        </is>
      </c>
      <c r="P813" t="inlineStr"/>
      <c r="Q813" t="inlineStr"/>
      <c r="R813" t="inlineStr"/>
      <c r="S813" t="inlineStr">
        <is>
          <t>bis 25 cm</t>
        </is>
      </c>
      <c r="T813" t="inlineStr"/>
      <c r="U813" t="inlineStr"/>
      <c r="V813" t="inlineStr"/>
      <c r="W813" t="inlineStr"/>
      <c r="X813" t="inlineStr"/>
      <c r="Y813" t="inlineStr"/>
      <c r="Z813" t="inlineStr"/>
      <c r="AA813" t="inlineStr"/>
      <c r="AB813" t="inlineStr"/>
      <c r="AC813" t="inlineStr"/>
      <c r="AD813" t="inlineStr"/>
      <c r="AE813" t="inlineStr"/>
      <c r="AF813" t="inlineStr"/>
      <c r="AG813" t="inlineStr"/>
      <c r="AH813" t="inlineStr"/>
      <c r="AI813" t="inlineStr">
        <is>
          <t>HPg</t>
        </is>
      </c>
      <c r="AJ813" t="inlineStr"/>
      <c r="AK813" t="inlineStr"/>
      <c r="AL813" t="inlineStr"/>
      <c r="AM813" t="inlineStr">
        <is>
          <t>h/E</t>
        </is>
      </c>
      <c r="AN813" t="inlineStr"/>
      <c r="AO813" t="inlineStr"/>
      <c r="AP813" t="inlineStr"/>
      <c r="AQ813" t="inlineStr"/>
      <c r="AR813" t="inlineStr"/>
      <c r="AS813" t="inlineStr">
        <is>
          <t>Pa</t>
        </is>
      </c>
      <c r="AT813" t="inlineStr"/>
      <c r="AU813" t="inlineStr"/>
      <c r="AV813" t="inlineStr"/>
      <c r="AW813" t="inlineStr"/>
      <c r="AX813" t="inlineStr"/>
      <c r="AY813" t="inlineStr"/>
      <c r="AZ813" t="inlineStr"/>
      <c r="BA813" t="inlineStr"/>
      <c r="BB813" t="inlineStr"/>
      <c r="BC813" t="inlineStr"/>
      <c r="BD813" t="inlineStr"/>
      <c r="BE813" t="inlineStr"/>
      <c r="BF813" t="inlineStr"/>
      <c r="BG813" t="n">
        <v>110</v>
      </c>
      <c r="BH813" t="inlineStr"/>
      <c r="BI813" t="inlineStr"/>
      <c r="BJ813" t="inlineStr"/>
      <c r="BK813" t="inlineStr"/>
      <c r="BL813" t="inlineStr"/>
      <c r="BM813" t="inlineStr">
        <is>
          <t>n</t>
        </is>
      </c>
      <c r="BN813" t="n">
        <v>0</v>
      </c>
      <c r="BO813" t="inlineStr"/>
      <c r="BP813" t="inlineStr"/>
      <c r="BQ813" t="inlineStr"/>
      <c r="BR813" t="inlineStr"/>
      <c r="BS813" t="inlineStr"/>
      <c r="BT813" t="inlineStr"/>
      <c r="BU813" t="inlineStr"/>
      <c r="BV813" t="inlineStr"/>
      <c r="BW813" t="inlineStr"/>
      <c r="BX813" t="inlineStr"/>
      <c r="BY813" t="inlineStr"/>
      <c r="BZ813" t="inlineStr"/>
      <c r="CA813" t="inlineStr"/>
      <c r="CB813" t="inlineStr"/>
      <c r="CC813" t="inlineStr"/>
      <c r="CD813" t="inlineStr"/>
      <c r="CE813" t="inlineStr"/>
      <c r="CF813" t="inlineStr"/>
      <c r="CG813" t="inlineStr"/>
      <c r="CH813" t="inlineStr"/>
      <c r="CI813" t="inlineStr"/>
      <c r="CJ813" t="inlineStr"/>
      <c r="CK813" t="inlineStr"/>
      <c r="CL813" t="inlineStr"/>
      <c r="CM813" t="inlineStr"/>
      <c r="CN813" t="inlineStr"/>
      <c r="CO813" t="inlineStr"/>
      <c r="CP813" t="inlineStr"/>
      <c r="CQ813" t="inlineStr"/>
      <c r="CR813" t="inlineStr"/>
      <c r="CS813" t="inlineStr"/>
      <c r="CT813" t="inlineStr"/>
      <c r="CU813" t="inlineStr"/>
      <c r="CV813" t="inlineStr"/>
      <c r="CW813" t="inlineStr"/>
      <c r="CX813" t="inlineStr"/>
      <c r="CY813" t="inlineStr"/>
      <c r="CZ813" t="inlineStr"/>
      <c r="DA813" t="inlineStr"/>
      <c r="DB813" t="inlineStr"/>
      <c r="DC813" t="inlineStr"/>
      <c r="DD813" t="inlineStr"/>
      <c r="DE813" t="inlineStr"/>
      <c r="DF813" t="inlineStr"/>
      <c r="DG813" t="inlineStr"/>
    </row>
    <row r="814">
      <c r="A814" t="inlineStr">
        <is>
          <t>III</t>
        </is>
      </c>
      <c r="B814" t="b">
        <v>1</v>
      </c>
      <c r="C814" t="inlineStr"/>
      <c r="D814" t="inlineStr"/>
      <c r="E814" t="inlineStr"/>
      <c r="F814">
        <f>HYPERLINK("https://portal.dnb.de/opac.htm?method=simpleSearch&amp;cqlMode=true&amp;query=idn%3D1263055281", "Portal")</f>
        <v/>
      </c>
      <c r="G814" t="inlineStr">
        <is>
          <t>Qd</t>
        </is>
      </c>
      <c r="H814" t="inlineStr">
        <is>
          <t>L-1515-785181075</t>
        </is>
      </c>
      <c r="I814" t="inlineStr">
        <is>
          <t>1263055281</t>
        </is>
      </c>
      <c r="J814" t="inlineStr">
        <is>
          <t>III 95, 24c</t>
        </is>
      </c>
      <c r="K814" t="inlineStr">
        <is>
          <t>III 95, 24c</t>
        </is>
      </c>
      <c r="L814" t="inlineStr">
        <is>
          <t>III 95, 24c</t>
        </is>
      </c>
      <c r="M814" t="inlineStr"/>
      <c r="N814" t="inlineStr">
        <is>
          <t xml:space="preserve">Sammelband mit zwei Werken von Marcus Tullius Cicero : </t>
        </is>
      </c>
      <c r="O814" t="inlineStr">
        <is>
          <t xml:space="preserve"> : </t>
        </is>
      </c>
      <c r="P814" t="inlineStr"/>
      <c r="Q814" t="inlineStr"/>
      <c r="R814" t="inlineStr"/>
      <c r="S814" t="inlineStr">
        <is>
          <t>bis 25 cm</t>
        </is>
      </c>
      <c r="T814" t="inlineStr"/>
      <c r="U814" t="inlineStr"/>
      <c r="V814" t="inlineStr"/>
      <c r="W814" t="inlineStr"/>
      <c r="X814" t="inlineStr"/>
      <c r="Y814" t="inlineStr"/>
      <c r="Z814" t="inlineStr"/>
      <c r="AA814" t="inlineStr"/>
      <c r="AB814" t="inlineStr"/>
      <c r="AC814" t="inlineStr"/>
      <c r="AD814" t="inlineStr"/>
      <c r="AE814" t="inlineStr"/>
      <c r="AF814" t="inlineStr"/>
      <c r="AG814" t="inlineStr"/>
      <c r="AH814" t="inlineStr"/>
      <c r="AI814" t="inlineStr">
        <is>
          <t>L</t>
        </is>
      </c>
      <c r="AJ814" t="inlineStr"/>
      <c r="AK814" t="inlineStr"/>
      <c r="AL814" t="inlineStr"/>
      <c r="AM814" t="inlineStr">
        <is>
          <t>f</t>
        </is>
      </c>
      <c r="AN814" t="inlineStr"/>
      <c r="AO814" t="inlineStr"/>
      <c r="AP814" t="inlineStr"/>
      <c r="AQ814" t="inlineStr"/>
      <c r="AR814" t="inlineStr"/>
      <c r="AS814" t="inlineStr">
        <is>
          <t>Pa</t>
        </is>
      </c>
      <c r="AT814" t="inlineStr"/>
      <c r="AU814" t="inlineStr"/>
      <c r="AV814" t="inlineStr"/>
      <c r="AW814" t="inlineStr"/>
      <c r="AX814" t="inlineStr"/>
      <c r="AY814" t="inlineStr"/>
      <c r="AZ814" t="inlineStr"/>
      <c r="BA814" t="inlineStr"/>
      <c r="BB814" t="inlineStr"/>
      <c r="BC814" t="inlineStr"/>
      <c r="BD814" t="inlineStr"/>
      <c r="BE814" t="inlineStr"/>
      <c r="BF814" t="inlineStr"/>
      <c r="BG814" t="inlineStr">
        <is>
          <t>max 110</t>
        </is>
      </c>
      <c r="BH814" t="inlineStr"/>
      <c r="BI814" t="inlineStr"/>
      <c r="BJ814" t="inlineStr"/>
      <c r="BK814" t="inlineStr"/>
      <c r="BL814" t="inlineStr"/>
      <c r="BM814" t="inlineStr">
        <is>
          <t>n</t>
        </is>
      </c>
      <c r="BN814" t="n">
        <v>0</v>
      </c>
      <c r="BO814" t="inlineStr"/>
      <c r="BP814" t="inlineStr"/>
      <c r="BQ814" t="inlineStr"/>
      <c r="BR814" t="inlineStr"/>
      <c r="BS814" t="inlineStr"/>
      <c r="BT814" t="inlineStr">
        <is>
          <t>x sauer</t>
        </is>
      </c>
      <c r="BU814" t="inlineStr">
        <is>
          <t>x</t>
        </is>
      </c>
      <c r="BV814" t="inlineStr"/>
      <c r="BW814" t="inlineStr"/>
      <c r="BX814" t="inlineStr"/>
      <c r="BY814" t="inlineStr">
        <is>
          <t>Box (sperrt)</t>
        </is>
      </c>
      <c r="BZ814" t="inlineStr"/>
      <c r="CA814" t="inlineStr"/>
      <c r="CB814" t="inlineStr"/>
      <c r="CC814" t="inlineStr"/>
      <c r="CD814" t="inlineStr"/>
      <c r="CE814" t="inlineStr"/>
      <c r="CF814" t="inlineStr"/>
      <c r="CG814" t="inlineStr"/>
      <c r="CH814" t="inlineStr"/>
      <c r="CI814" t="inlineStr"/>
      <c r="CJ814" t="inlineStr"/>
      <c r="CK814" t="inlineStr"/>
      <c r="CL814" t="inlineStr"/>
      <c r="CM814" t="inlineStr"/>
      <c r="CN814" t="inlineStr"/>
      <c r="CO814" t="inlineStr"/>
      <c r="CP814" t="inlineStr"/>
      <c r="CQ814" t="inlineStr"/>
      <c r="CR814" t="inlineStr"/>
      <c r="CS814" t="inlineStr"/>
      <c r="CT814" t="inlineStr"/>
      <c r="CU814" t="inlineStr"/>
      <c r="CV814" t="inlineStr"/>
      <c r="CW814" t="inlineStr"/>
      <c r="CX814" t="inlineStr"/>
      <c r="CY814" t="inlineStr"/>
      <c r="CZ814" t="inlineStr"/>
      <c r="DA814" t="inlineStr"/>
      <c r="DB814" t="inlineStr"/>
      <c r="DC814" t="inlineStr"/>
      <c r="DD814" t="inlineStr"/>
      <c r="DE814" t="inlineStr"/>
      <c r="DF814" t="inlineStr"/>
      <c r="DG814" t="inlineStr"/>
    </row>
    <row r="815">
      <c r="A815" t="inlineStr">
        <is>
          <t>III</t>
        </is>
      </c>
      <c r="B815" t="b">
        <v>1</v>
      </c>
      <c r="C815" t="inlineStr">
        <is>
          <t>x</t>
        </is>
      </c>
      <c r="D815" t="inlineStr"/>
      <c r="E815" t="n">
        <v>894</v>
      </c>
      <c r="F815">
        <f>HYPERLINK("https://portal.dnb.de/opac.htm?method=simpleSearch&amp;cqlMode=true&amp;query=idn%3D1066941262", "Portal")</f>
        <v/>
      </c>
      <c r="G815" t="inlineStr">
        <is>
          <t>Aaf</t>
        </is>
      </c>
      <c r="H815" t="inlineStr">
        <is>
          <t>L-1522-315468971</t>
        </is>
      </c>
      <c r="I815" t="inlineStr">
        <is>
          <t>1066941262</t>
        </is>
      </c>
      <c r="J815" t="inlineStr">
        <is>
          <t>III 95, 25</t>
        </is>
      </c>
      <c r="K815" t="inlineStr">
        <is>
          <t>III 95, 25</t>
        </is>
      </c>
      <c r="L815" t="inlineStr">
        <is>
          <t>III 95, 25</t>
        </is>
      </c>
      <c r="M815" t="inlineStr"/>
      <c r="N815" t="inlineStr">
        <is>
          <t>Doctor keiserszberg Postil:|| Vber die fyer Euangelia durchs jor/ sampt dem Quadragesimal/ vnd von|| ettlichen Heyligen/ newlich vßgangen.|| (DEr Pass</t>
        </is>
      </c>
      <c r="O815" t="inlineStr">
        <is>
          <t xml:space="preserve"> : </t>
        </is>
      </c>
      <c r="P815" t="inlineStr"/>
      <c r="Q815" t="inlineStr"/>
      <c r="R815" t="inlineStr"/>
      <c r="S815" t="inlineStr">
        <is>
          <t>bis 35 cm</t>
        </is>
      </c>
      <c r="T815" t="inlineStr"/>
      <c r="U815" t="inlineStr"/>
      <c r="V815" t="inlineStr"/>
      <c r="W815" t="inlineStr"/>
      <c r="X815" t="inlineStr"/>
      <c r="Y815" t="inlineStr"/>
      <c r="Z815" t="inlineStr"/>
      <c r="AA815" t="inlineStr"/>
      <c r="AB815" t="inlineStr"/>
      <c r="AC815" t="inlineStr"/>
      <c r="AD815" t="inlineStr"/>
      <c r="AE815" t="inlineStr"/>
      <c r="AF815" t="inlineStr"/>
      <c r="AG815" t="inlineStr"/>
      <c r="AH815" t="inlineStr"/>
      <c r="AI815" t="inlineStr">
        <is>
          <t>HD</t>
        </is>
      </c>
      <c r="AJ815" t="inlineStr"/>
      <c r="AK815" t="inlineStr"/>
      <c r="AL815" t="inlineStr"/>
      <c r="AM815" t="inlineStr">
        <is>
          <t>f</t>
        </is>
      </c>
      <c r="AN815" t="inlineStr"/>
      <c r="AO815" t="inlineStr"/>
      <c r="AP815" t="inlineStr"/>
      <c r="AQ815" t="inlineStr"/>
      <c r="AR815" t="inlineStr"/>
      <c r="AS815" t="inlineStr">
        <is>
          <t>Pa</t>
        </is>
      </c>
      <c r="AT815" t="inlineStr"/>
      <c r="AU815" t="inlineStr"/>
      <c r="AV815" t="inlineStr"/>
      <c r="AW815" t="inlineStr"/>
      <c r="AX815" t="inlineStr"/>
      <c r="AY815" t="inlineStr"/>
      <c r="AZ815" t="inlineStr"/>
      <c r="BA815" t="inlineStr"/>
      <c r="BB815" t="inlineStr"/>
      <c r="BC815" t="inlineStr"/>
      <c r="BD815" t="inlineStr"/>
      <c r="BE815" t="inlineStr"/>
      <c r="BF815" t="inlineStr"/>
      <c r="BG815" t="n">
        <v>110</v>
      </c>
      <c r="BH815" t="inlineStr"/>
      <c r="BI815" t="inlineStr"/>
      <c r="BJ815" t="inlineStr"/>
      <c r="BK815" t="inlineStr"/>
      <c r="BL815" t="inlineStr"/>
      <c r="BM815" t="inlineStr">
        <is>
          <t>ja vor</t>
        </is>
      </c>
      <c r="BN815" t="n">
        <v>1</v>
      </c>
      <c r="BO815" t="inlineStr"/>
      <c r="BP815" t="inlineStr"/>
      <c r="BQ815" t="inlineStr"/>
      <c r="BR815" t="inlineStr">
        <is>
          <t>x</t>
        </is>
      </c>
      <c r="BS815" t="inlineStr"/>
      <c r="BT815" t="inlineStr"/>
      <c r="BU815" t="inlineStr"/>
      <c r="BV815" t="inlineStr"/>
      <c r="BW815" t="inlineStr"/>
      <c r="BX815" t="inlineStr"/>
      <c r="BY815" t="inlineStr"/>
      <c r="BZ815" t="inlineStr"/>
      <c r="CA815" t="inlineStr"/>
      <c r="CB815" t="inlineStr">
        <is>
          <t>x</t>
        </is>
      </c>
      <c r="CC815" t="inlineStr"/>
      <c r="CD815" t="inlineStr"/>
      <c r="CE815" t="inlineStr"/>
      <c r="CF815" t="inlineStr"/>
      <c r="CG815" t="inlineStr"/>
      <c r="CH815" t="inlineStr"/>
      <c r="CI815" t="inlineStr"/>
      <c r="CJ815" t="inlineStr"/>
      <c r="CK815" t="inlineStr"/>
      <c r="CL815" t="inlineStr"/>
      <c r="CM815" t="n">
        <v>0.5</v>
      </c>
      <c r="CN815" t="inlineStr"/>
      <c r="CO815" t="inlineStr"/>
      <c r="CP815" t="inlineStr"/>
      <c r="CQ815" t="inlineStr"/>
      <c r="CR815" t="inlineStr"/>
      <c r="CS815" t="inlineStr"/>
      <c r="CT815" t="inlineStr">
        <is>
          <t>x</t>
        </is>
      </c>
      <c r="CU815" t="inlineStr"/>
      <c r="CV815" t="inlineStr"/>
      <c r="CW815" t="inlineStr"/>
      <c r="CX815" t="inlineStr"/>
      <c r="CY815" t="inlineStr"/>
      <c r="CZ815" t="inlineStr"/>
      <c r="DA815" t="inlineStr"/>
      <c r="DB815" t="inlineStr"/>
      <c r="DC815" t="inlineStr"/>
      <c r="DD815" t="inlineStr"/>
      <c r="DE815" t="inlineStr"/>
      <c r="DF815" t="n">
        <v>0.5</v>
      </c>
      <c r="DG815" t="inlineStr"/>
    </row>
    <row r="816">
      <c r="A816" t="inlineStr">
        <is>
          <t>III</t>
        </is>
      </c>
      <c r="B816" t="b">
        <v>1</v>
      </c>
      <c r="C816" t="inlineStr"/>
      <c r="D816" t="inlineStr"/>
      <c r="E816" t="n">
        <v>928</v>
      </c>
      <c r="F816">
        <f>HYPERLINK("https://portal.dnb.de/opac.htm?method=simpleSearch&amp;cqlMode=true&amp;query=idn%3D1066956359", "Portal")</f>
        <v/>
      </c>
      <c r="G816" t="inlineStr">
        <is>
          <t>Aaf</t>
        </is>
      </c>
      <c r="H816" t="inlineStr">
        <is>
          <t>L-1521-315487038</t>
        </is>
      </c>
      <c r="I816" t="inlineStr">
        <is>
          <t>1066956359</t>
        </is>
      </c>
      <c r="J816" t="inlineStr">
        <is>
          <t>III 95, 25 a</t>
        </is>
      </c>
      <c r="K816" t="inlineStr">
        <is>
          <t>III 95, 25 a</t>
        </is>
      </c>
      <c r="L816" t="inlineStr">
        <is>
          <t>III 95, 25 a</t>
        </is>
      </c>
      <c r="M816" t="inlineStr"/>
      <c r="N816" t="inlineStr">
        <is>
          <t>(HVLDE||RICHI AB|| HVTTEN|| EQ. GERM.|| In Hieronymum Aleandru, &amp; Marinum Caraccio=||lum, LEONIS decimi, P.M. Oratores in Ger=||mania, Inuectiue singu</t>
        </is>
      </c>
      <c r="O816" t="inlineStr">
        <is>
          <t xml:space="preserve"> : </t>
        </is>
      </c>
      <c r="P816" t="inlineStr"/>
      <c r="Q816" t="inlineStr"/>
      <c r="R816" t="inlineStr"/>
      <c r="S816" t="inlineStr">
        <is>
          <t>bis 25 cm</t>
        </is>
      </c>
      <c r="T816" t="inlineStr"/>
      <c r="U816" t="inlineStr"/>
      <c r="V816" t="inlineStr"/>
      <c r="W816" t="inlineStr"/>
      <c r="X816" t="inlineStr"/>
      <c r="Y816" t="inlineStr"/>
      <c r="Z816" t="inlineStr"/>
      <c r="AA816" t="inlineStr"/>
      <c r="AB816" t="inlineStr"/>
      <c r="AC816" t="inlineStr"/>
      <c r="AD816" t="inlineStr"/>
      <c r="AE816" t="inlineStr"/>
      <c r="AF816" t="inlineStr"/>
      <c r="AG816" t="inlineStr"/>
      <c r="AH816" t="inlineStr"/>
      <c r="AI816" t="inlineStr">
        <is>
          <t>Pg</t>
        </is>
      </c>
      <c r="AJ816" t="inlineStr"/>
      <c r="AK816" t="inlineStr">
        <is>
          <t>x</t>
        </is>
      </c>
      <c r="AL816" t="inlineStr"/>
      <c r="AM816" t="inlineStr">
        <is>
          <t>h/E</t>
        </is>
      </c>
      <c r="AN816" t="inlineStr"/>
      <c r="AO816" t="inlineStr"/>
      <c r="AP816" t="inlineStr"/>
      <c r="AQ816" t="inlineStr"/>
      <c r="AR816" t="inlineStr"/>
      <c r="AS816" t="inlineStr">
        <is>
          <t>Pa</t>
        </is>
      </c>
      <c r="AT816" t="inlineStr"/>
      <c r="AU816" t="inlineStr"/>
      <c r="AV816" t="inlineStr"/>
      <c r="AW816" t="inlineStr"/>
      <c r="AX816" t="inlineStr"/>
      <c r="AY816" t="inlineStr"/>
      <c r="AZ816" t="inlineStr"/>
      <c r="BA816" t="inlineStr"/>
      <c r="BB816" t="inlineStr"/>
      <c r="BC816" t="inlineStr"/>
      <c r="BD816" t="inlineStr"/>
      <c r="BE816" t="inlineStr"/>
      <c r="BF816" t="inlineStr"/>
      <c r="BG816" t="n">
        <v>110</v>
      </c>
      <c r="BH816" t="inlineStr"/>
      <c r="BI816" t="inlineStr"/>
      <c r="BJ816" t="inlineStr"/>
      <c r="BK816" t="inlineStr"/>
      <c r="BL816" t="inlineStr"/>
      <c r="BM816" t="inlineStr">
        <is>
          <t>n</t>
        </is>
      </c>
      <c r="BN816" t="n">
        <v>0</v>
      </c>
      <c r="BO816" t="inlineStr"/>
      <c r="BP816" t="inlineStr"/>
      <c r="BQ816" t="inlineStr"/>
      <c r="BR816" t="inlineStr"/>
      <c r="BS816" t="inlineStr"/>
      <c r="BT816" t="inlineStr"/>
      <c r="BU816" t="inlineStr"/>
      <c r="BV816" t="inlineStr"/>
      <c r="BW816" t="inlineStr"/>
      <c r="BX816" t="inlineStr"/>
      <c r="BY816" t="inlineStr"/>
      <c r="BZ816" t="inlineStr"/>
      <c r="CA816" t="inlineStr"/>
      <c r="CB816" t="inlineStr"/>
      <c r="CC816" t="inlineStr"/>
      <c r="CD816" t="inlineStr"/>
      <c r="CE816" t="inlineStr"/>
      <c r="CF816" t="inlineStr"/>
      <c r="CG816" t="inlineStr"/>
      <c r="CH816" t="inlineStr"/>
      <c r="CI816" t="inlineStr"/>
      <c r="CJ816" t="inlineStr"/>
      <c r="CK816" t="inlineStr"/>
      <c r="CL816" t="inlineStr"/>
      <c r="CM816" t="inlineStr"/>
      <c r="CN816" t="inlineStr"/>
      <c r="CO816" t="inlineStr"/>
      <c r="CP816" t="inlineStr"/>
      <c r="CQ816" t="inlineStr"/>
      <c r="CR816" t="inlineStr"/>
      <c r="CS816" t="inlineStr"/>
      <c r="CT816" t="inlineStr"/>
      <c r="CU816" t="inlineStr"/>
      <c r="CV816" t="inlineStr"/>
      <c r="CW816" t="inlineStr"/>
      <c r="CX816" t="inlineStr"/>
      <c r="CY816" t="inlineStr"/>
      <c r="CZ816" t="inlineStr"/>
      <c r="DA816" t="inlineStr"/>
      <c r="DB816" t="inlineStr"/>
      <c r="DC816" t="inlineStr"/>
      <c r="DD816" t="inlineStr"/>
      <c r="DE816" t="inlineStr"/>
      <c r="DF816" t="inlineStr"/>
      <c r="DG816" t="inlineStr"/>
    </row>
    <row r="817">
      <c r="A817" t="inlineStr">
        <is>
          <t>III</t>
        </is>
      </c>
      <c r="B817" t="b">
        <v>1</v>
      </c>
      <c r="C817" t="inlineStr"/>
      <c r="D817" t="inlineStr"/>
      <c r="E817" t="n">
        <v>929</v>
      </c>
      <c r="F817">
        <f>HYPERLINK("https://portal.dnb.de/opac.htm?method=simpleSearch&amp;cqlMode=true&amp;query=idn%3D1066839409", "Portal")</f>
        <v/>
      </c>
      <c r="G817" t="inlineStr">
        <is>
          <t>Aaf</t>
        </is>
      </c>
      <c r="H817" t="inlineStr">
        <is>
          <t>L-1520-31529941X</t>
        </is>
      </c>
      <c r="I817" t="inlineStr">
        <is>
          <t>1066839409</t>
        </is>
      </c>
      <c r="J817" t="inlineStr">
        <is>
          <t>III 95, 25 b</t>
        </is>
      </c>
      <c r="K817" t="inlineStr">
        <is>
          <t>III 95, 25 b</t>
        </is>
      </c>
      <c r="L817" t="inlineStr">
        <is>
          <t>III 95, 25 b</t>
        </is>
      </c>
      <c r="M817" t="inlineStr"/>
      <c r="N817" t="inlineStr">
        <is>
          <t xml:space="preserve">BVLLA|| Decimi Leonis, contra errores Martini|| Lutheri, &amp; sequacium.|| ... ||[Hrsg.v. (Vlrichus de Hutten ...||)] : </t>
        </is>
      </c>
      <c r="O817" t="inlineStr">
        <is>
          <t xml:space="preserve"> : </t>
        </is>
      </c>
      <c r="P817" t="inlineStr"/>
      <c r="Q817" t="inlineStr"/>
      <c r="R817" t="inlineStr"/>
      <c r="S817" t="inlineStr">
        <is>
          <t>bis 25 cm</t>
        </is>
      </c>
      <c r="T817" t="inlineStr"/>
      <c r="U817" t="inlineStr"/>
      <c r="V817" t="inlineStr"/>
      <c r="W817" t="inlineStr"/>
      <c r="X817" t="inlineStr"/>
      <c r="Y817" t="inlineStr"/>
      <c r="Z817" t="inlineStr"/>
      <c r="AA817" t="inlineStr"/>
      <c r="AB817" t="inlineStr"/>
      <c r="AC817" t="inlineStr"/>
      <c r="AD817" t="inlineStr"/>
      <c r="AE817" t="inlineStr"/>
      <c r="AF817" t="inlineStr"/>
      <c r="AG817" t="inlineStr"/>
      <c r="AH817" t="inlineStr"/>
      <c r="AI817" t="inlineStr">
        <is>
          <t>HL</t>
        </is>
      </c>
      <c r="AJ817" t="inlineStr"/>
      <c r="AK817" t="inlineStr">
        <is>
          <t>x</t>
        </is>
      </c>
      <c r="AL817" t="inlineStr">
        <is>
          <t>x</t>
        </is>
      </c>
      <c r="AM817" t="inlineStr">
        <is>
          <t>h/E</t>
        </is>
      </c>
      <c r="AN817" t="inlineStr"/>
      <c r="AO817" t="inlineStr"/>
      <c r="AP817" t="inlineStr"/>
      <c r="AQ817" t="inlineStr"/>
      <c r="AR817" t="inlineStr"/>
      <c r="AS817" t="inlineStr">
        <is>
          <t>Pa</t>
        </is>
      </c>
      <c r="AT817" t="inlineStr">
        <is>
          <t>x</t>
        </is>
      </c>
      <c r="AU817" t="inlineStr"/>
      <c r="AV817" t="inlineStr"/>
      <c r="AW817" t="inlineStr"/>
      <c r="AX817" t="inlineStr"/>
      <c r="AY817" t="inlineStr"/>
      <c r="AZ817" t="inlineStr"/>
      <c r="BA817" t="inlineStr"/>
      <c r="BB817" t="inlineStr"/>
      <c r="BC817" t="inlineStr"/>
      <c r="BD817" t="inlineStr"/>
      <c r="BE817" t="inlineStr"/>
      <c r="BF817" t="inlineStr"/>
      <c r="BG817" t="n">
        <v>110</v>
      </c>
      <c r="BH817" t="inlineStr"/>
      <c r="BI817" t="inlineStr"/>
      <c r="BJ817" t="inlineStr"/>
      <c r="BK817" t="inlineStr"/>
      <c r="BL817" t="inlineStr"/>
      <c r="BM817" t="inlineStr">
        <is>
          <t>n</t>
        </is>
      </c>
      <c r="BN817" t="n">
        <v>0</v>
      </c>
      <c r="BO817" t="inlineStr"/>
      <c r="BP817" t="inlineStr"/>
      <c r="BQ817" t="inlineStr"/>
      <c r="BR817" t="inlineStr">
        <is>
          <t>x</t>
        </is>
      </c>
      <c r="BS817" t="inlineStr"/>
      <c r="BT817" t="inlineStr"/>
      <c r="BU817" t="inlineStr"/>
      <c r="BV817" t="inlineStr"/>
      <c r="BW817" t="inlineStr">
        <is>
          <t>x 110</t>
        </is>
      </c>
      <c r="BX817" t="inlineStr"/>
      <c r="BY817" t="inlineStr"/>
      <c r="BZ817" t="inlineStr"/>
      <c r="CA817" t="inlineStr"/>
      <c r="CB817" t="inlineStr"/>
      <c r="CC817" t="inlineStr"/>
      <c r="CD817" t="inlineStr"/>
      <c r="CE817" t="inlineStr"/>
      <c r="CF817" t="inlineStr"/>
      <c r="CG817" t="inlineStr"/>
      <c r="CH817" t="inlineStr"/>
      <c r="CI817" t="inlineStr"/>
      <c r="CJ817" t="inlineStr"/>
      <c r="CK817" t="inlineStr"/>
      <c r="CL817" t="inlineStr"/>
      <c r="CM817" t="inlineStr"/>
      <c r="CN817" t="inlineStr"/>
      <c r="CO817" t="inlineStr"/>
      <c r="CP817" t="inlineStr"/>
      <c r="CQ817" t="inlineStr"/>
      <c r="CR817" t="inlineStr"/>
      <c r="CS817" t="inlineStr"/>
      <c r="CT817" t="inlineStr"/>
      <c r="CU817" t="inlineStr"/>
      <c r="CV817" t="inlineStr"/>
      <c r="CW817" t="inlineStr"/>
      <c r="CX817" t="inlineStr"/>
      <c r="CY817" t="inlineStr"/>
      <c r="CZ817" t="inlineStr"/>
      <c r="DA817" t="inlineStr"/>
      <c r="DB817" t="inlineStr"/>
      <c r="DC817" t="inlineStr"/>
      <c r="DD817" t="inlineStr"/>
      <c r="DE817" t="inlineStr"/>
      <c r="DF817" t="inlineStr"/>
      <c r="DG817" t="inlineStr"/>
    </row>
    <row r="818">
      <c r="A818" t="inlineStr">
        <is>
          <t>III</t>
        </is>
      </c>
      <c r="B818" t="b">
        <v>1</v>
      </c>
      <c r="C818" t="inlineStr"/>
      <c r="D818" t="inlineStr"/>
      <c r="E818" t="n">
        <v>930</v>
      </c>
      <c r="F818">
        <f>HYPERLINK("https://portal.dnb.de/opac.htm?method=simpleSearch&amp;cqlMode=true&amp;query=idn%3D1066956561", "Portal")</f>
        <v/>
      </c>
      <c r="G818" t="inlineStr">
        <is>
          <t>Aaf</t>
        </is>
      </c>
      <c r="H818" t="inlineStr">
        <is>
          <t>L-1520-315487232</t>
        </is>
      </c>
      <c r="I818" t="inlineStr">
        <is>
          <t>1066956561</t>
        </is>
      </c>
      <c r="J818" t="inlineStr">
        <is>
          <t>III 95, 25 c</t>
        </is>
      </c>
      <c r="K818" t="inlineStr">
        <is>
          <t>III 95, 25 c</t>
        </is>
      </c>
      <c r="L818" t="inlineStr">
        <is>
          <t>III 95, 25 c</t>
        </is>
      </c>
      <c r="M818" t="inlineStr"/>
      <c r="N818" t="inlineStr">
        <is>
          <t xml:space="preserve">Hoc in libello haec continentur:|| VLRICHI : </t>
        </is>
      </c>
      <c r="O818" t="inlineStr">
        <is>
          <t xml:space="preserve"> : </t>
        </is>
      </c>
      <c r="P818" t="inlineStr"/>
      <c r="Q818" t="inlineStr"/>
      <c r="R818" t="inlineStr"/>
      <c r="S818" t="inlineStr">
        <is>
          <t>bis 25 cm</t>
        </is>
      </c>
      <c r="T818" t="inlineStr"/>
      <c r="U818" t="inlineStr"/>
      <c r="V818" t="inlineStr"/>
      <c r="W818" t="inlineStr"/>
      <c r="X818" t="inlineStr"/>
      <c r="Y818" t="inlineStr"/>
      <c r="Z818" t="inlineStr"/>
      <c r="AA818" t="inlineStr"/>
      <c r="AB818" t="inlineStr"/>
      <c r="AC818" t="inlineStr"/>
      <c r="AD818" t="inlineStr"/>
      <c r="AE818" t="inlineStr"/>
      <c r="AF818" t="inlineStr"/>
      <c r="AG818" t="inlineStr"/>
      <c r="AH818" t="inlineStr"/>
      <c r="AI818" t="inlineStr">
        <is>
          <t>G</t>
        </is>
      </c>
      <c r="AJ818" t="inlineStr"/>
      <c r="AK818" t="inlineStr">
        <is>
          <t>x</t>
        </is>
      </c>
      <c r="AL818" t="inlineStr"/>
      <c r="AM818" t="inlineStr">
        <is>
          <t>h/E</t>
        </is>
      </c>
      <c r="AN818" t="inlineStr"/>
      <c r="AO818" t="inlineStr"/>
      <c r="AP818" t="inlineStr"/>
      <c r="AQ818" t="inlineStr"/>
      <c r="AR818" t="inlineStr"/>
      <c r="AS818" t="inlineStr">
        <is>
          <t>Pa</t>
        </is>
      </c>
      <c r="AT818" t="inlineStr">
        <is>
          <t>x</t>
        </is>
      </c>
      <c r="AU818" t="inlineStr"/>
      <c r="AV818" t="inlineStr"/>
      <c r="AW818" t="inlineStr"/>
      <c r="AX818" t="inlineStr"/>
      <c r="AY818" t="inlineStr"/>
      <c r="AZ818" t="inlineStr"/>
      <c r="BA818" t="inlineStr"/>
      <c r="BB818" t="inlineStr"/>
      <c r="BC818" t="inlineStr"/>
      <c r="BD818" t="inlineStr"/>
      <c r="BE818" t="inlineStr"/>
      <c r="BF818" t="inlineStr"/>
      <c r="BG818" t="n">
        <v>110</v>
      </c>
      <c r="BH818" t="inlineStr"/>
      <c r="BI818" t="inlineStr"/>
      <c r="BJ818" t="inlineStr"/>
      <c r="BK818" t="inlineStr"/>
      <c r="BL818" t="inlineStr"/>
      <c r="BM818" t="inlineStr">
        <is>
          <t>n</t>
        </is>
      </c>
      <c r="BN818" t="n">
        <v>0</v>
      </c>
      <c r="BO818" t="inlineStr"/>
      <c r="BP818" t="inlineStr"/>
      <c r="BQ818" t="inlineStr"/>
      <c r="BR818" t="inlineStr"/>
      <c r="BS818" t="inlineStr"/>
      <c r="BT818" t="inlineStr"/>
      <c r="BU818" t="inlineStr"/>
      <c r="BV818" t="inlineStr"/>
      <c r="BW818" t="inlineStr"/>
      <c r="BX818" t="inlineStr"/>
      <c r="BY818" t="inlineStr"/>
      <c r="BZ818" t="inlineStr"/>
      <c r="CA818" t="inlineStr"/>
      <c r="CB818" t="inlineStr"/>
      <c r="CC818" t="inlineStr"/>
      <c r="CD818" t="inlineStr"/>
      <c r="CE818" t="inlineStr"/>
      <c r="CF818" t="inlineStr"/>
      <c r="CG818" t="inlineStr"/>
      <c r="CH818" t="inlineStr"/>
      <c r="CI818" t="inlineStr"/>
      <c r="CJ818" t="inlineStr"/>
      <c r="CK818" t="inlineStr"/>
      <c r="CL818" t="inlineStr"/>
      <c r="CM818" t="inlineStr"/>
      <c r="CN818" t="inlineStr"/>
      <c r="CO818" t="inlineStr"/>
      <c r="CP818" t="inlineStr"/>
      <c r="CQ818" t="inlineStr"/>
      <c r="CR818" t="inlineStr"/>
      <c r="CS818" t="inlineStr"/>
      <c r="CT818" t="inlineStr"/>
      <c r="CU818" t="inlineStr"/>
      <c r="CV818" t="inlineStr"/>
      <c r="CW818" t="inlineStr"/>
      <c r="CX818" t="inlineStr"/>
      <c r="CY818" t="inlineStr"/>
      <c r="CZ818" t="inlineStr"/>
      <c r="DA818" t="inlineStr"/>
      <c r="DB818" t="inlineStr"/>
      <c r="DC818" t="inlineStr"/>
      <c r="DD818" t="inlineStr"/>
      <c r="DE818" t="inlineStr"/>
      <c r="DF818" t="inlineStr"/>
      <c r="DG818" t="inlineStr"/>
    </row>
    <row r="819">
      <c r="A819" t="inlineStr">
        <is>
          <t>III</t>
        </is>
      </c>
      <c r="B819" t="b">
        <v>1</v>
      </c>
      <c r="C819" t="inlineStr"/>
      <c r="D819" t="inlineStr"/>
      <c r="E819" t="n">
        <v>931</v>
      </c>
      <c r="F819">
        <f>HYPERLINK("https://portal.dnb.de/opac.htm?method=simpleSearch&amp;cqlMode=true&amp;query=idn%3D1066958076", "Portal")</f>
        <v/>
      </c>
      <c r="G819" t="inlineStr">
        <is>
          <t>Aaf</t>
        </is>
      </c>
      <c r="H819" t="inlineStr">
        <is>
          <t>L-1523-315488700</t>
        </is>
      </c>
      <c r="I819" t="inlineStr">
        <is>
          <t>1066958076</t>
        </is>
      </c>
      <c r="J819" t="inlineStr">
        <is>
          <t>III 95, 25 d</t>
        </is>
      </c>
      <c r="K819" t="inlineStr">
        <is>
          <t>III 95, 25 d</t>
        </is>
      </c>
      <c r="L819" t="inlineStr">
        <is>
          <t>III 95, 25 d</t>
        </is>
      </c>
      <c r="M819" t="inlineStr"/>
      <c r="N819" t="inlineStr">
        <is>
          <t>Wrteil D. Martin Luthers|| vnd Philippi Melanchthonis von|| Erasmo Roterdam.|| Ein Christlicher sendtbrieff D.|| Martin Luthers an D. Wolfgang Fabriti</t>
        </is>
      </c>
      <c r="O819" t="inlineStr">
        <is>
          <t xml:space="preserve"> : </t>
        </is>
      </c>
      <c r="P819" t="inlineStr"/>
      <c r="Q819" t="inlineStr"/>
      <c r="R819" t="inlineStr"/>
      <c r="S819" t="inlineStr">
        <is>
          <t>bis 25 cm</t>
        </is>
      </c>
      <c r="T819" t="inlineStr"/>
      <c r="U819" t="inlineStr"/>
      <c r="V819" t="inlineStr"/>
      <c r="W819" t="inlineStr"/>
      <c r="X819" t="inlineStr"/>
      <c r="Y819" t="inlineStr"/>
      <c r="Z819" t="inlineStr"/>
      <c r="AA819" t="inlineStr"/>
      <c r="AB819" t="inlineStr"/>
      <c r="AC819" t="inlineStr"/>
      <c r="AD819" t="inlineStr"/>
      <c r="AE819" t="inlineStr"/>
      <c r="AF819" t="inlineStr"/>
      <c r="AG819" t="inlineStr"/>
      <c r="AH819" t="inlineStr"/>
      <c r="AI819" t="inlineStr">
        <is>
          <t>Pa</t>
        </is>
      </c>
      <c r="AJ819" t="inlineStr"/>
      <c r="AK819" t="inlineStr"/>
      <c r="AL819" t="inlineStr"/>
      <c r="AM819" t="inlineStr">
        <is>
          <t>h/E</t>
        </is>
      </c>
      <c r="AN819" t="inlineStr"/>
      <c r="AO819" t="inlineStr"/>
      <c r="AP819" t="inlineStr"/>
      <c r="AQ819" t="inlineStr"/>
      <c r="AR819" t="inlineStr"/>
      <c r="AS819" t="inlineStr">
        <is>
          <t>Pa</t>
        </is>
      </c>
      <c r="AT819" t="inlineStr"/>
      <c r="AU819" t="inlineStr"/>
      <c r="AV819" t="inlineStr"/>
      <c r="AW819" t="inlineStr"/>
      <c r="AX819" t="inlineStr"/>
      <c r="AY819" t="inlineStr"/>
      <c r="AZ819" t="inlineStr"/>
      <c r="BA819" t="inlineStr"/>
      <c r="BB819" t="inlineStr"/>
      <c r="BC819" t="inlineStr"/>
      <c r="BD819" t="inlineStr"/>
      <c r="BE819" t="inlineStr"/>
      <c r="BF819" t="inlineStr"/>
      <c r="BG819" t="n">
        <v>110</v>
      </c>
      <c r="BH819" t="inlineStr"/>
      <c r="BI819" t="inlineStr"/>
      <c r="BJ819" t="inlineStr"/>
      <c r="BK819" t="inlineStr"/>
      <c r="BL819" t="inlineStr"/>
      <c r="BM819" t="inlineStr">
        <is>
          <t>n</t>
        </is>
      </c>
      <c r="BN819" t="n">
        <v>0</v>
      </c>
      <c r="BO819" t="inlineStr"/>
      <c r="BP819" t="inlineStr"/>
      <c r="BQ819" t="inlineStr"/>
      <c r="BR819" t="inlineStr"/>
      <c r="BS819" t="inlineStr"/>
      <c r="BT819" t="inlineStr"/>
      <c r="BU819" t="inlineStr"/>
      <c r="BV819" t="inlineStr"/>
      <c r="BW819" t="inlineStr"/>
      <c r="BX819" t="inlineStr"/>
      <c r="BY819" t="inlineStr"/>
      <c r="BZ819" t="inlineStr"/>
      <c r="CA819" t="inlineStr"/>
      <c r="CB819" t="inlineStr"/>
      <c r="CC819" t="inlineStr"/>
      <c r="CD819" t="inlineStr"/>
      <c r="CE819" t="inlineStr"/>
      <c r="CF819" t="inlineStr"/>
      <c r="CG819" t="inlineStr"/>
      <c r="CH819" t="inlineStr"/>
      <c r="CI819" t="inlineStr"/>
      <c r="CJ819" t="inlineStr"/>
      <c r="CK819" t="inlineStr"/>
      <c r="CL819" t="inlineStr"/>
      <c r="CM819" t="inlineStr"/>
      <c r="CN819" t="inlineStr"/>
      <c r="CO819" t="inlineStr"/>
      <c r="CP819" t="inlineStr"/>
      <c r="CQ819" t="inlineStr"/>
      <c r="CR819" t="inlineStr"/>
      <c r="CS819" t="inlineStr"/>
      <c r="CT819" t="inlineStr"/>
      <c r="CU819" t="inlineStr"/>
      <c r="CV819" t="inlineStr"/>
      <c r="CW819" t="inlineStr"/>
      <c r="CX819" t="inlineStr"/>
      <c r="CY819" t="inlineStr"/>
      <c r="CZ819" t="inlineStr"/>
      <c r="DA819" t="inlineStr"/>
      <c r="DB819" t="inlineStr"/>
      <c r="DC819" t="inlineStr"/>
      <c r="DD819" t="inlineStr"/>
      <c r="DE819" t="inlineStr"/>
      <c r="DF819" t="inlineStr"/>
      <c r="DG819" t="inlineStr"/>
    </row>
    <row r="820">
      <c r="A820" t="inlineStr">
        <is>
          <t>III</t>
        </is>
      </c>
      <c r="B820" t="b">
        <v>1</v>
      </c>
      <c r="C820" t="inlineStr"/>
      <c r="D820" t="inlineStr"/>
      <c r="E820" t="n">
        <v>932</v>
      </c>
      <c r="F820">
        <f>HYPERLINK("https://portal.dnb.de/opac.htm?method=simpleSearch&amp;cqlMode=true&amp;query=idn%3D998855499", "Portal")</f>
        <v/>
      </c>
      <c r="G820" t="inlineStr">
        <is>
          <t>Aal</t>
        </is>
      </c>
      <c r="H820" t="inlineStr">
        <is>
          <t>L-1511-167077805</t>
        </is>
      </c>
      <c r="I820" t="inlineStr">
        <is>
          <t>998855499</t>
        </is>
      </c>
      <c r="J820" t="inlineStr">
        <is>
          <t>III 95, 25 e</t>
        </is>
      </c>
      <c r="K820" t="inlineStr">
        <is>
          <t>III 95, 25 e</t>
        </is>
      </c>
      <c r="L820" t="inlineStr">
        <is>
          <t>III 95, 25 e</t>
        </is>
      </c>
      <c r="M820" t="inlineStr"/>
      <c r="N820" t="inlineStr">
        <is>
          <t>De libertate ec||clesiastica: tractatus Jo||annis Lupi apo[stolice] se[dis]|| protonotarij|| : Eiusdem tracta||tus dialogic?[us] ; de cō[n]federa||tiō</t>
        </is>
      </c>
      <c r="O820" t="inlineStr">
        <is>
          <t xml:space="preserve"> : </t>
        </is>
      </c>
      <c r="P820" t="inlineStr"/>
      <c r="Q820" t="inlineStr"/>
      <c r="R820" t="inlineStr"/>
      <c r="S820" t="inlineStr">
        <is>
          <t>bis 25 cm</t>
        </is>
      </c>
      <c r="T820" t="inlineStr"/>
      <c r="U820" t="inlineStr"/>
      <c r="V820" t="inlineStr"/>
      <c r="W820" t="inlineStr"/>
      <c r="X820" t="inlineStr"/>
      <c r="Y820" t="inlineStr"/>
      <c r="Z820" t="inlineStr"/>
      <c r="AA820" t="inlineStr"/>
      <c r="AB820" t="inlineStr"/>
      <c r="AC820" t="inlineStr"/>
      <c r="AD820" t="inlineStr"/>
      <c r="AE820" t="inlineStr"/>
      <c r="AF820" t="inlineStr"/>
      <c r="AG820" t="inlineStr"/>
      <c r="AH820" t="inlineStr"/>
      <c r="AI820" t="inlineStr">
        <is>
          <t>HL</t>
        </is>
      </c>
      <c r="AJ820" t="inlineStr"/>
      <c r="AK820" t="inlineStr"/>
      <c r="AL820" t="inlineStr">
        <is>
          <t>x</t>
        </is>
      </c>
      <c r="AM820" t="inlineStr">
        <is>
          <t>f</t>
        </is>
      </c>
      <c r="AN820" t="inlineStr"/>
      <c r="AO820" t="inlineStr"/>
      <c r="AP820" t="inlineStr"/>
      <c r="AQ820" t="inlineStr"/>
      <c r="AR820" t="inlineStr"/>
      <c r="AS820" t="inlineStr">
        <is>
          <t>Pa</t>
        </is>
      </c>
      <c r="AT820" t="inlineStr"/>
      <c r="AU820" t="inlineStr"/>
      <c r="AV820" t="inlineStr"/>
      <c r="AW820" t="inlineStr"/>
      <c r="AX820" t="inlineStr"/>
      <c r="AY820" t="inlineStr"/>
      <c r="AZ820" t="inlineStr"/>
      <c r="BA820" t="inlineStr"/>
      <c r="BB820" t="inlineStr"/>
      <c r="BC820" t="inlineStr"/>
      <c r="BD820" t="inlineStr"/>
      <c r="BE820" t="inlineStr"/>
      <c r="BF820" t="inlineStr"/>
      <c r="BG820" t="n">
        <v>110</v>
      </c>
      <c r="BH820" t="inlineStr"/>
      <c r="BI820" t="inlineStr"/>
      <c r="BJ820" t="inlineStr"/>
      <c r="BK820" t="inlineStr"/>
      <c r="BL820" t="inlineStr"/>
      <c r="BM820" t="inlineStr">
        <is>
          <t>n</t>
        </is>
      </c>
      <c r="BN820" t="n">
        <v>0</v>
      </c>
      <c r="BO820" t="inlineStr"/>
      <c r="BP820" t="inlineStr"/>
      <c r="BQ820" t="inlineStr"/>
      <c r="BR820" t="inlineStr"/>
      <c r="BS820" t="inlineStr"/>
      <c r="BT820" t="inlineStr"/>
      <c r="BU820" t="inlineStr"/>
      <c r="BV820" t="inlineStr"/>
      <c r="BW820" t="inlineStr"/>
      <c r="BX820" t="inlineStr"/>
      <c r="BY820" t="inlineStr"/>
      <c r="BZ820" t="inlineStr"/>
      <c r="CA820" t="inlineStr"/>
      <c r="CB820" t="inlineStr"/>
      <c r="CC820" t="inlineStr"/>
      <c r="CD820" t="inlineStr"/>
      <c r="CE820" t="inlineStr"/>
      <c r="CF820" t="inlineStr"/>
      <c r="CG820" t="inlineStr"/>
      <c r="CH820" t="inlineStr"/>
      <c r="CI820" t="inlineStr"/>
      <c r="CJ820" t="inlineStr"/>
      <c r="CK820" t="inlineStr"/>
      <c r="CL820" t="inlineStr"/>
      <c r="CM820" t="inlineStr"/>
      <c r="CN820" t="inlineStr"/>
      <c r="CO820" t="inlineStr"/>
      <c r="CP820" t="inlineStr"/>
      <c r="CQ820" t="inlineStr"/>
      <c r="CR820" t="inlineStr"/>
      <c r="CS820" t="inlineStr"/>
      <c r="CT820" t="inlineStr"/>
      <c r="CU820" t="inlineStr"/>
      <c r="CV820" t="inlineStr"/>
      <c r="CW820" t="inlineStr"/>
      <c r="CX820" t="inlineStr"/>
      <c r="CY820" t="inlineStr"/>
      <c r="CZ820" t="inlineStr"/>
      <c r="DA820" t="inlineStr"/>
      <c r="DB820" t="inlineStr"/>
      <c r="DC820" t="inlineStr"/>
      <c r="DD820" t="inlineStr"/>
      <c r="DE820" t="inlineStr"/>
      <c r="DF820" t="inlineStr"/>
      <c r="DG820" t="inlineStr"/>
    </row>
    <row r="821">
      <c r="A821" t="inlineStr">
        <is>
          <t>III</t>
        </is>
      </c>
      <c r="B821" t="b">
        <v>1</v>
      </c>
      <c r="C821" t="inlineStr"/>
      <c r="D821" t="inlineStr"/>
      <c r="E821" t="n">
        <v>895</v>
      </c>
      <c r="F821">
        <f>HYPERLINK("https://portal.dnb.de/opac.htm?method=simpleSearch&amp;cqlMode=true&amp;query=idn%3D1066958092", "Portal")</f>
        <v/>
      </c>
      <c r="G821" t="inlineStr">
        <is>
          <t>Aaf</t>
        </is>
      </c>
      <c r="H821" t="inlineStr">
        <is>
          <t>L-1522-315488735</t>
        </is>
      </c>
      <c r="I821" t="inlineStr">
        <is>
          <t>1066958092</t>
        </is>
      </c>
      <c r="J821" t="inlineStr">
        <is>
          <t>III 95, 26</t>
        </is>
      </c>
      <c r="K821" t="inlineStr">
        <is>
          <t>III 95, 26</t>
        </is>
      </c>
      <c r="L821" t="inlineStr">
        <is>
          <t>III 95, 26</t>
        </is>
      </c>
      <c r="M821" t="inlineStr"/>
      <c r="N821" t="inlineStr">
        <is>
          <t>Eyn @missiue all? den so von wegen|| des wortt gottes verfolgug lyden tr#[oe]stlich/ võ|| doctor Martin Luther an den Erenuesten|| Harttmut von Cronbe</t>
        </is>
      </c>
      <c r="O821" t="inlineStr">
        <is>
          <t xml:space="preserve"> : </t>
        </is>
      </c>
      <c r="P821" t="inlineStr"/>
      <c r="Q821" t="inlineStr"/>
      <c r="R821" t="inlineStr"/>
      <c r="S821" t="inlineStr">
        <is>
          <t>bis 25 cm</t>
        </is>
      </c>
      <c r="T821" t="inlineStr"/>
      <c r="U821" t="inlineStr"/>
      <c r="V821" t="inlineStr"/>
      <c r="W821" t="inlineStr"/>
      <c r="X821" t="inlineStr"/>
      <c r="Y821" t="inlineStr"/>
      <c r="Z821" t="inlineStr"/>
      <c r="AA821" t="inlineStr"/>
      <c r="AB821" t="inlineStr"/>
      <c r="AC821" t="inlineStr"/>
      <c r="AD821" t="inlineStr"/>
      <c r="AE821" t="inlineStr"/>
      <c r="AF821" t="inlineStr"/>
      <c r="AG821" t="inlineStr"/>
      <c r="AH821" t="inlineStr"/>
      <c r="AI821" t="inlineStr">
        <is>
          <t>HPg</t>
        </is>
      </c>
      <c r="AJ821" t="inlineStr"/>
      <c r="AK821" t="inlineStr"/>
      <c r="AL821" t="inlineStr"/>
      <c r="AM821" t="inlineStr">
        <is>
          <t>h</t>
        </is>
      </c>
      <c r="AN821" t="inlineStr"/>
      <c r="AO821" t="inlineStr"/>
      <c r="AP821" t="inlineStr"/>
      <c r="AQ821" t="inlineStr"/>
      <c r="AR821" t="inlineStr"/>
      <c r="AS821" t="inlineStr">
        <is>
          <t>Pa</t>
        </is>
      </c>
      <c r="AT821" t="inlineStr"/>
      <c r="AU821" t="inlineStr"/>
      <c r="AV821" t="inlineStr"/>
      <c r="AW821" t="inlineStr"/>
      <c r="AX821" t="inlineStr"/>
      <c r="AY821" t="inlineStr"/>
      <c r="AZ821" t="inlineStr"/>
      <c r="BA821" t="inlineStr"/>
      <c r="BB821" t="inlineStr"/>
      <c r="BC821" t="inlineStr"/>
      <c r="BD821" t="inlineStr"/>
      <c r="BE821" t="inlineStr"/>
      <c r="BF821" t="inlineStr"/>
      <c r="BG821" t="n">
        <v>110</v>
      </c>
      <c r="BH821" t="inlineStr"/>
      <c r="BI821" t="inlineStr"/>
      <c r="BJ821" t="inlineStr"/>
      <c r="BK821" t="inlineStr"/>
      <c r="BL821" t="inlineStr"/>
      <c r="BM821" t="inlineStr">
        <is>
          <t>n</t>
        </is>
      </c>
      <c r="BN821" t="n">
        <v>0</v>
      </c>
      <c r="BO821" t="inlineStr"/>
      <c r="BP821" t="inlineStr"/>
      <c r="BQ821" t="inlineStr"/>
      <c r="BR821" t="inlineStr"/>
      <c r="BS821" t="inlineStr"/>
      <c r="BT821" t="inlineStr"/>
      <c r="BU821" t="inlineStr"/>
      <c r="BV821" t="inlineStr"/>
      <c r="BW821" t="inlineStr"/>
      <c r="BX821" t="inlineStr"/>
      <c r="BY821" t="inlineStr"/>
      <c r="BZ821" t="inlineStr"/>
      <c r="CA821" t="inlineStr"/>
      <c r="CB821" t="inlineStr"/>
      <c r="CC821" t="inlineStr"/>
      <c r="CD821" t="inlineStr"/>
      <c r="CE821" t="inlineStr"/>
      <c r="CF821" t="inlineStr"/>
      <c r="CG821" t="inlineStr"/>
      <c r="CH821" t="inlineStr"/>
      <c r="CI821" t="inlineStr"/>
      <c r="CJ821" t="inlineStr"/>
      <c r="CK821" t="inlineStr"/>
      <c r="CL821" t="inlineStr"/>
      <c r="CM821" t="inlineStr"/>
      <c r="CN821" t="inlineStr"/>
      <c r="CO821" t="inlineStr"/>
      <c r="CP821" t="inlineStr"/>
      <c r="CQ821" t="inlineStr"/>
      <c r="CR821" t="inlineStr"/>
      <c r="CS821" t="inlineStr"/>
      <c r="CT821" t="inlineStr"/>
      <c r="CU821" t="inlineStr"/>
      <c r="CV821" t="inlineStr"/>
      <c r="CW821" t="inlineStr"/>
      <c r="CX821" t="inlineStr"/>
      <c r="CY821" t="inlineStr"/>
      <c r="CZ821" t="inlineStr"/>
      <c r="DA821" t="inlineStr"/>
      <c r="DB821" t="inlineStr"/>
      <c r="DC821" t="inlineStr"/>
      <c r="DD821" t="inlineStr"/>
      <c r="DE821" t="inlineStr"/>
      <c r="DF821" t="inlineStr"/>
      <c r="DG821" t="inlineStr"/>
    </row>
    <row r="822">
      <c r="A822" t="inlineStr">
        <is>
          <t>III</t>
        </is>
      </c>
      <c r="B822" t="b">
        <v>1</v>
      </c>
      <c r="C822" t="inlineStr"/>
      <c r="D822" t="inlineStr"/>
      <c r="E822" t="n">
        <v>896</v>
      </c>
      <c r="F822">
        <f>HYPERLINK("https://portal.dnb.de/opac.htm?method=simpleSearch&amp;cqlMode=true&amp;query=idn%3D1066958025", "Portal")</f>
        <v/>
      </c>
      <c r="G822" t="inlineStr">
        <is>
          <t>Aaf</t>
        </is>
      </c>
      <c r="H822" t="inlineStr">
        <is>
          <t>L-1524-315488654</t>
        </is>
      </c>
      <c r="I822" t="inlineStr">
        <is>
          <t>1066958025</t>
        </is>
      </c>
      <c r="J822" t="inlineStr">
        <is>
          <t>III 95, 27</t>
        </is>
      </c>
      <c r="K822" t="inlineStr">
        <is>
          <t>III 95, 27</t>
        </is>
      </c>
      <c r="L822" t="inlineStr">
        <is>
          <t>III 95, 27</t>
        </is>
      </c>
      <c r="M822" t="inlineStr"/>
      <c r="N822" t="inlineStr">
        <is>
          <t xml:space="preserve">Die @weyse vnd Or=||denung der Meß, Vnnd|| wie man das Hoch=||wirdig Sacra=||ment niessen|| soll.|| D.Mart.Luthers.|| M.D.xxiiij.|| Wittenberg.|| : </t>
        </is>
      </c>
      <c r="O822" t="inlineStr">
        <is>
          <t xml:space="preserve"> : </t>
        </is>
      </c>
      <c r="P822" t="inlineStr"/>
      <c r="Q822" t="inlineStr"/>
      <c r="R822" t="inlineStr"/>
      <c r="S822" t="inlineStr">
        <is>
          <t>bis 25 cm</t>
        </is>
      </c>
      <c r="T822" t="inlineStr"/>
      <c r="U822" t="inlineStr"/>
      <c r="V822" t="inlineStr"/>
      <c r="W822" t="inlineStr"/>
      <c r="X822" t="inlineStr"/>
      <c r="Y822" t="inlineStr"/>
      <c r="Z822" t="inlineStr"/>
      <c r="AA822" t="inlineStr"/>
      <c r="AB822" t="inlineStr"/>
      <c r="AC822" t="inlineStr"/>
      <c r="AD822" t="inlineStr"/>
      <c r="AE822" t="inlineStr"/>
      <c r="AF822" t="inlineStr"/>
      <c r="AG822" t="inlineStr"/>
      <c r="AH822" t="inlineStr"/>
      <c r="AI822" t="inlineStr">
        <is>
          <t>Pg</t>
        </is>
      </c>
      <c r="AJ822" t="inlineStr"/>
      <c r="AK822" t="inlineStr">
        <is>
          <t>x</t>
        </is>
      </c>
      <c r="AL822" t="inlineStr"/>
      <c r="AM822" t="inlineStr">
        <is>
          <t>h</t>
        </is>
      </c>
      <c r="AN822" t="inlineStr"/>
      <c r="AO822" t="inlineStr"/>
      <c r="AP822" t="inlineStr"/>
      <c r="AQ822" t="inlineStr"/>
      <c r="AR822" t="inlineStr"/>
      <c r="AS822" t="inlineStr">
        <is>
          <t>Pa</t>
        </is>
      </c>
      <c r="AT822" t="inlineStr"/>
      <c r="AU822" t="inlineStr"/>
      <c r="AV822" t="inlineStr"/>
      <c r="AW822" t="inlineStr"/>
      <c r="AX822" t="inlineStr"/>
      <c r="AY822" t="inlineStr"/>
      <c r="AZ822" t="inlineStr"/>
      <c r="BA822" t="inlineStr"/>
      <c r="BB822" t="inlineStr"/>
      <c r="BC822" t="inlineStr"/>
      <c r="BD822" t="inlineStr"/>
      <c r="BE822" t="inlineStr"/>
      <c r="BF822" t="inlineStr"/>
      <c r="BG822" t="n">
        <v>110</v>
      </c>
      <c r="BH822" t="inlineStr"/>
      <c r="BI822" t="inlineStr"/>
      <c r="BJ822" t="inlineStr"/>
      <c r="BK822" t="inlineStr"/>
      <c r="BL822" t="inlineStr"/>
      <c r="BM822" t="inlineStr">
        <is>
          <t>n</t>
        </is>
      </c>
      <c r="BN822" t="n">
        <v>0</v>
      </c>
      <c r="BO822" t="inlineStr"/>
      <c r="BP822" t="inlineStr"/>
      <c r="BQ822" t="inlineStr"/>
      <c r="BR822" t="inlineStr"/>
      <c r="BS822" t="inlineStr"/>
      <c r="BT822" t="inlineStr"/>
      <c r="BU822" t="inlineStr"/>
      <c r="BV822" t="inlineStr"/>
      <c r="BW822" t="inlineStr"/>
      <c r="BX822" t="inlineStr"/>
      <c r="BY822" t="inlineStr"/>
      <c r="BZ822" t="inlineStr"/>
      <c r="CA822" t="inlineStr"/>
      <c r="CB822" t="inlineStr"/>
      <c r="CC822" t="inlineStr"/>
      <c r="CD822" t="inlineStr"/>
      <c r="CE822" t="inlineStr"/>
      <c r="CF822" t="inlineStr"/>
      <c r="CG822" t="inlineStr"/>
      <c r="CH822" t="inlineStr"/>
      <c r="CI822" t="inlineStr"/>
      <c r="CJ822" t="inlineStr"/>
      <c r="CK822" t="inlineStr"/>
      <c r="CL822" t="inlineStr"/>
      <c r="CM822" t="inlineStr"/>
      <c r="CN822" t="inlineStr"/>
      <c r="CO822" t="inlineStr"/>
      <c r="CP822" t="inlineStr"/>
      <c r="CQ822" t="inlineStr"/>
      <c r="CR822" t="inlineStr"/>
      <c r="CS822" t="inlineStr"/>
      <c r="CT822" t="inlineStr"/>
      <c r="CU822" t="inlineStr"/>
      <c r="CV822" t="inlineStr"/>
      <c r="CW822" t="inlineStr"/>
      <c r="CX822" t="inlineStr"/>
      <c r="CY822" t="inlineStr"/>
      <c r="CZ822" t="inlineStr"/>
      <c r="DA822" t="inlineStr"/>
      <c r="DB822" t="inlineStr"/>
      <c r="DC822" t="inlineStr"/>
      <c r="DD822" t="inlineStr"/>
      <c r="DE822" t="inlineStr"/>
      <c r="DF822" t="inlineStr"/>
      <c r="DG822" t="inlineStr"/>
    </row>
    <row r="823">
      <c r="A823" t="inlineStr">
        <is>
          <t>III</t>
        </is>
      </c>
      <c r="B823" t="b">
        <v>1</v>
      </c>
      <c r="C823" t="inlineStr"/>
      <c r="D823" t="inlineStr"/>
      <c r="E823" t="n">
        <v>897</v>
      </c>
      <c r="F823">
        <f>HYPERLINK("https://portal.dnb.de/opac.htm?method=simpleSearch&amp;cqlMode=true&amp;query=idn%3D1066956472", "Portal")</f>
        <v/>
      </c>
      <c r="G823" t="inlineStr">
        <is>
          <t>Aaf</t>
        </is>
      </c>
      <c r="H823" t="inlineStr">
        <is>
          <t>L-1525-315487143</t>
        </is>
      </c>
      <c r="I823" t="inlineStr">
        <is>
          <t>1066956472</t>
        </is>
      </c>
      <c r="J823" t="inlineStr">
        <is>
          <t>III 95, 28</t>
        </is>
      </c>
      <c r="K823" t="inlineStr">
        <is>
          <t>III 95, 28</t>
        </is>
      </c>
      <c r="L823" t="inlineStr">
        <is>
          <t>III 95, 28</t>
        </is>
      </c>
      <c r="M823" t="inlineStr"/>
      <c r="N823" t="inlineStr">
        <is>
          <t xml:space="preserve">IMPERA||TORVM ROMANORVM|| LIBELLVS.|| Vnà cum imaginibus,|| ad uiuam effigiem|| expreßis.|| : </t>
        </is>
      </c>
      <c r="O823" t="inlineStr">
        <is>
          <t xml:space="preserve"> : </t>
        </is>
      </c>
      <c r="P823" t="inlineStr"/>
      <c r="Q823" t="inlineStr"/>
      <c r="R823" t="inlineStr"/>
      <c r="S823" t="inlineStr">
        <is>
          <t>bis 25 cm</t>
        </is>
      </c>
      <c r="T823" t="inlineStr"/>
      <c r="U823" t="inlineStr"/>
      <c r="V823" t="inlineStr"/>
      <c r="W823" t="inlineStr"/>
      <c r="X823" t="inlineStr"/>
      <c r="Y823" t="inlineStr"/>
      <c r="Z823" t="inlineStr"/>
      <c r="AA823" t="inlineStr"/>
      <c r="AB823" t="inlineStr"/>
      <c r="AC823" t="inlineStr"/>
      <c r="AD823" t="inlineStr"/>
      <c r="AE823" t="inlineStr"/>
      <c r="AF823" t="inlineStr"/>
      <c r="AG823" t="inlineStr"/>
      <c r="AH823" t="inlineStr"/>
      <c r="AI823" t="inlineStr">
        <is>
          <t>G</t>
        </is>
      </c>
      <c r="AJ823" t="inlineStr"/>
      <c r="AK823" t="inlineStr">
        <is>
          <t>x</t>
        </is>
      </c>
      <c r="AL823" t="inlineStr"/>
      <c r="AM823" t="inlineStr">
        <is>
          <t>h/E</t>
        </is>
      </c>
      <c r="AN823" t="inlineStr"/>
      <c r="AO823" t="inlineStr"/>
      <c r="AP823" t="inlineStr"/>
      <c r="AQ823" t="inlineStr"/>
      <c r="AR823" t="inlineStr"/>
      <c r="AS823" t="inlineStr">
        <is>
          <t>Pa</t>
        </is>
      </c>
      <c r="AT823" t="inlineStr"/>
      <c r="AU823" t="inlineStr"/>
      <c r="AV823" t="inlineStr"/>
      <c r="AW823" t="inlineStr"/>
      <c r="AX823" t="inlineStr"/>
      <c r="AY823" t="inlineStr"/>
      <c r="AZ823" t="inlineStr"/>
      <c r="BA823" t="inlineStr"/>
      <c r="BB823" t="inlineStr"/>
      <c r="BC823" t="inlineStr"/>
      <c r="BD823" t="inlineStr"/>
      <c r="BE823" t="inlineStr"/>
      <c r="BF823" t="inlineStr"/>
      <c r="BG823" t="n">
        <v>110</v>
      </c>
      <c r="BH823" t="inlineStr"/>
      <c r="BI823" t="inlineStr"/>
      <c r="BJ823" t="inlineStr"/>
      <c r="BK823" t="inlineStr"/>
      <c r="BL823" t="inlineStr"/>
      <c r="BM823" t="inlineStr">
        <is>
          <t>n</t>
        </is>
      </c>
      <c r="BN823" t="n">
        <v>0</v>
      </c>
      <c r="BO823" t="inlineStr"/>
      <c r="BP823" t="inlineStr"/>
      <c r="BQ823" t="inlineStr"/>
      <c r="BR823" t="inlineStr"/>
      <c r="BS823" t="inlineStr"/>
      <c r="BT823" t="inlineStr"/>
      <c r="BU823" t="inlineStr"/>
      <c r="BV823" t="inlineStr"/>
      <c r="BW823" t="inlineStr"/>
      <c r="BX823" t="inlineStr"/>
      <c r="BY823" t="inlineStr"/>
      <c r="BZ823" t="inlineStr"/>
      <c r="CA823" t="inlineStr"/>
      <c r="CB823" t="inlineStr"/>
      <c r="CC823" t="inlineStr"/>
      <c r="CD823" t="inlineStr"/>
      <c r="CE823" t="inlineStr"/>
      <c r="CF823" t="inlineStr"/>
      <c r="CG823" t="inlineStr"/>
      <c r="CH823" t="inlineStr"/>
      <c r="CI823" t="inlineStr"/>
      <c r="CJ823" t="inlineStr"/>
      <c r="CK823" t="inlineStr"/>
      <c r="CL823" t="inlineStr"/>
      <c r="CM823" t="inlineStr"/>
      <c r="CN823" t="inlineStr"/>
      <c r="CO823" t="inlineStr"/>
      <c r="CP823" t="inlineStr"/>
      <c r="CQ823" t="inlineStr"/>
      <c r="CR823" t="inlineStr"/>
      <c r="CS823" t="inlineStr"/>
      <c r="CT823" t="inlineStr"/>
      <c r="CU823" t="inlineStr"/>
      <c r="CV823" t="inlineStr"/>
      <c r="CW823" t="inlineStr"/>
      <c r="CX823" t="inlineStr"/>
      <c r="CY823" t="inlineStr"/>
      <c r="CZ823" t="inlineStr"/>
      <c r="DA823" t="inlineStr"/>
      <c r="DB823" t="inlineStr"/>
      <c r="DC823" t="inlineStr"/>
      <c r="DD823" t="inlineStr"/>
      <c r="DE823" t="inlineStr"/>
      <c r="DF823" t="inlineStr"/>
      <c r="DG823" t="inlineStr"/>
    </row>
    <row r="824">
      <c r="A824" t="inlineStr">
        <is>
          <t>III</t>
        </is>
      </c>
      <c r="B824" t="b">
        <v>1</v>
      </c>
      <c r="C824" t="inlineStr"/>
      <c r="D824" t="inlineStr"/>
      <c r="E824" t="n">
        <v>933</v>
      </c>
      <c r="F824">
        <f>HYPERLINK("https://portal.dnb.de/opac.htm?method=simpleSearch&amp;cqlMode=true&amp;query=idn%3D997310707", "Portal")</f>
        <v/>
      </c>
      <c r="G824" t="inlineStr">
        <is>
          <t>Afl</t>
        </is>
      </c>
      <c r="H824" t="inlineStr">
        <is>
          <t>L-1525-163627339</t>
        </is>
      </c>
      <c r="I824" t="inlineStr">
        <is>
          <t>997310707</t>
        </is>
      </c>
      <c r="J824" t="inlineStr">
        <is>
          <t>III 95, 28 a</t>
        </is>
      </c>
      <c r="K824" t="inlineStr">
        <is>
          <t>III 95, 28 a</t>
        </is>
      </c>
      <c r="L824" t="inlineStr">
        <is>
          <t>III 95, 28 a</t>
        </is>
      </c>
      <c r="M824" t="inlineStr"/>
      <c r="N824" t="inlineStr">
        <is>
          <t>[Opera omnia, cum vita eius ex Herodoto, Plutarcho et Dione]</t>
        </is>
      </c>
      <c r="O824" t="inlineStr">
        <is>
          <t>[2.] : Odysseia, Batrachomyomachia, hymnoi ...</t>
        </is>
      </c>
      <c r="P824" t="inlineStr"/>
      <c r="Q824" t="inlineStr"/>
      <c r="R824" t="inlineStr"/>
      <c r="S824" t="inlineStr">
        <is>
          <t>bis 25 cm</t>
        </is>
      </c>
      <c r="T824" t="inlineStr"/>
      <c r="U824" t="inlineStr"/>
      <c r="V824" t="inlineStr"/>
      <c r="W824" t="inlineStr"/>
      <c r="X824" t="inlineStr"/>
      <c r="Y824" t="inlineStr"/>
      <c r="Z824" t="inlineStr"/>
      <c r="AA824" t="inlineStr"/>
      <c r="AB824" t="inlineStr"/>
      <c r="AC824" t="inlineStr"/>
      <c r="AD824" t="inlineStr"/>
      <c r="AE824" t="inlineStr"/>
      <c r="AF824" t="inlineStr"/>
      <c r="AG824" t="inlineStr"/>
      <c r="AH824" t="inlineStr"/>
      <c r="AI824" t="inlineStr">
        <is>
          <t>HPg</t>
        </is>
      </c>
      <c r="AJ824" t="inlineStr"/>
      <c r="AK824" t="inlineStr"/>
      <c r="AL824" t="inlineStr"/>
      <c r="AM824" t="inlineStr">
        <is>
          <t>h/E</t>
        </is>
      </c>
      <c r="AN824" t="inlineStr"/>
      <c r="AO824" t="inlineStr"/>
      <c r="AP824" t="inlineStr"/>
      <c r="AQ824" t="inlineStr"/>
      <c r="AR824" t="inlineStr"/>
      <c r="AS824" t="inlineStr">
        <is>
          <t>Pa</t>
        </is>
      </c>
      <c r="AT824" t="inlineStr"/>
      <c r="AU824" t="inlineStr"/>
      <c r="AV824" t="inlineStr"/>
      <c r="AW824" t="inlineStr"/>
      <c r="AX824" t="inlineStr"/>
      <c r="AY824" t="inlineStr"/>
      <c r="AZ824" t="inlineStr"/>
      <c r="BA824" t="inlineStr"/>
      <c r="BB824" t="inlineStr"/>
      <c r="BC824" t="inlineStr"/>
      <c r="BD824" t="inlineStr"/>
      <c r="BE824" t="inlineStr"/>
      <c r="BF824" t="inlineStr"/>
      <c r="BG824" t="n">
        <v>110</v>
      </c>
      <c r="BH824" t="inlineStr"/>
      <c r="BI824" t="inlineStr"/>
      <c r="BJ824" t="inlineStr"/>
      <c r="BK824" t="inlineStr"/>
      <c r="BL824" t="inlineStr"/>
      <c r="BM824" t="inlineStr">
        <is>
          <t>n</t>
        </is>
      </c>
      <c r="BN824" t="n">
        <v>0</v>
      </c>
      <c r="BO824" t="inlineStr"/>
      <c r="BP824" t="inlineStr"/>
      <c r="BQ824" t="inlineStr"/>
      <c r="BR824" t="inlineStr"/>
      <c r="BS824" t="inlineStr"/>
      <c r="BT824" t="inlineStr"/>
      <c r="BU824" t="inlineStr"/>
      <c r="BV824" t="inlineStr"/>
      <c r="BW824" t="inlineStr"/>
      <c r="BX824" t="inlineStr"/>
      <c r="BY824" t="inlineStr"/>
      <c r="BZ824" t="inlineStr"/>
      <c r="CA824" t="inlineStr"/>
      <c r="CB824" t="inlineStr"/>
      <c r="CC824" t="inlineStr"/>
      <c r="CD824" t="inlineStr"/>
      <c r="CE824" t="inlineStr"/>
      <c r="CF824" t="inlineStr"/>
      <c r="CG824" t="inlineStr"/>
      <c r="CH824" t="inlineStr"/>
      <c r="CI824" t="inlineStr"/>
      <c r="CJ824" t="inlineStr"/>
      <c r="CK824" t="inlineStr"/>
      <c r="CL824" t="inlineStr"/>
      <c r="CM824" t="inlineStr"/>
      <c r="CN824" t="inlineStr"/>
      <c r="CO824" t="inlineStr"/>
      <c r="CP824" t="inlineStr"/>
      <c r="CQ824" t="inlineStr"/>
      <c r="CR824" t="inlineStr"/>
      <c r="CS824" t="inlineStr"/>
      <c r="CT824" t="inlineStr"/>
      <c r="CU824" t="inlineStr"/>
      <c r="CV824" t="inlineStr"/>
      <c r="CW824" t="inlineStr"/>
      <c r="CX824" t="inlineStr"/>
      <c r="CY824" t="inlineStr"/>
      <c r="CZ824" t="inlineStr"/>
      <c r="DA824" t="inlineStr"/>
      <c r="DB824" t="inlineStr"/>
      <c r="DC824" t="inlineStr"/>
      <c r="DD824" t="inlineStr"/>
      <c r="DE824" t="inlineStr"/>
      <c r="DF824" t="inlineStr"/>
      <c r="DG824" t="inlineStr"/>
    </row>
    <row r="825">
      <c r="A825" t="inlineStr">
        <is>
          <t>III</t>
        </is>
      </c>
      <c r="B825" t="b">
        <v>1</v>
      </c>
      <c r="C825" t="inlineStr"/>
      <c r="D825" t="inlineStr"/>
      <c r="E825" t="n">
        <v>898</v>
      </c>
      <c r="F825">
        <f>HYPERLINK("https://portal.dnb.de/opac.htm?method=simpleSearch&amp;cqlMode=true&amp;query=idn%3D1066960003", "Portal")</f>
        <v/>
      </c>
      <c r="G825" t="inlineStr">
        <is>
          <t>Aaf</t>
        </is>
      </c>
      <c r="H825" t="inlineStr">
        <is>
          <t>L-1524-315490535</t>
        </is>
      </c>
      <c r="I825" t="inlineStr">
        <is>
          <t>1066960003</t>
        </is>
      </c>
      <c r="J825" t="inlineStr">
        <is>
          <t>III 95, 29</t>
        </is>
      </c>
      <c r="K825" t="inlineStr">
        <is>
          <t>III 95, 29</t>
        </is>
      </c>
      <c r="L825" t="inlineStr">
        <is>
          <t>III 95, 29</t>
        </is>
      </c>
      <c r="M825" t="inlineStr"/>
      <c r="N825" t="inlineStr">
        <is>
          <t>ANNO=||TATIONES PHILIPPI|| Melanchthonis in Epistolam Pauli|| ad Romanos unã. Et ad Corinthi||os duas, diligentiß. recognitae.|| ITEM PRAEPATIO|| Meth</t>
        </is>
      </c>
      <c r="O825" t="inlineStr">
        <is>
          <t xml:space="preserve"> : </t>
        </is>
      </c>
      <c r="P825" t="inlineStr"/>
      <c r="Q825" t="inlineStr"/>
      <c r="R825" t="inlineStr"/>
      <c r="S825" t="inlineStr">
        <is>
          <t>bis 25 cm</t>
        </is>
      </c>
      <c r="T825" t="inlineStr"/>
      <c r="U825" t="inlineStr"/>
      <c r="V825" t="inlineStr"/>
      <c r="W825" t="inlineStr"/>
      <c r="X825" t="inlineStr"/>
      <c r="Y825" t="inlineStr"/>
      <c r="Z825" t="inlineStr"/>
      <c r="AA825" t="inlineStr"/>
      <c r="AB825" t="inlineStr"/>
      <c r="AC825" t="inlineStr"/>
      <c r="AD825" t="inlineStr"/>
      <c r="AE825" t="inlineStr"/>
      <c r="AF825" t="inlineStr"/>
      <c r="AG825" t="inlineStr"/>
      <c r="AH825" t="inlineStr"/>
      <c r="AI825" t="inlineStr">
        <is>
          <t>G</t>
        </is>
      </c>
      <c r="AJ825" t="inlineStr"/>
      <c r="AK825" t="inlineStr">
        <is>
          <t>x</t>
        </is>
      </c>
      <c r="AL825" t="inlineStr"/>
      <c r="AM825" t="inlineStr">
        <is>
          <t>h/E</t>
        </is>
      </c>
      <c r="AN825" t="inlineStr"/>
      <c r="AO825" t="inlineStr"/>
      <c r="AP825" t="inlineStr"/>
      <c r="AQ825" t="inlineStr"/>
      <c r="AR825" t="inlineStr"/>
      <c r="AS825" t="inlineStr">
        <is>
          <t>Pa</t>
        </is>
      </c>
      <c r="AT825" t="inlineStr"/>
      <c r="AU825" t="inlineStr"/>
      <c r="AV825" t="inlineStr"/>
      <c r="AW825" t="inlineStr"/>
      <c r="AX825" t="inlineStr"/>
      <c r="AY825" t="inlineStr"/>
      <c r="AZ825" t="inlineStr"/>
      <c r="BA825" t="inlineStr"/>
      <c r="BB825" t="inlineStr"/>
      <c r="BC825" t="inlineStr"/>
      <c r="BD825" t="inlineStr"/>
      <c r="BE825" t="inlineStr"/>
      <c r="BF825" t="inlineStr"/>
      <c r="BG825" t="n">
        <v>110</v>
      </c>
      <c r="BH825" t="inlineStr"/>
      <c r="BI825" t="inlineStr"/>
      <c r="BJ825" t="inlineStr"/>
      <c r="BK825" t="inlineStr"/>
      <c r="BL825" t="inlineStr"/>
      <c r="BM825" t="inlineStr">
        <is>
          <t>n</t>
        </is>
      </c>
      <c r="BN825" t="n">
        <v>0</v>
      </c>
      <c r="BO825" t="inlineStr"/>
      <c r="BP825" t="inlineStr"/>
      <c r="BQ825" t="inlineStr"/>
      <c r="BR825" t="inlineStr">
        <is>
          <t>x</t>
        </is>
      </c>
      <c r="BS825" t="inlineStr"/>
      <c r="BT825" t="inlineStr"/>
      <c r="BU825" t="inlineStr"/>
      <c r="BV825" t="inlineStr"/>
      <c r="BW825" t="inlineStr"/>
      <c r="BX825" t="inlineStr"/>
      <c r="BY825" t="inlineStr"/>
      <c r="BZ825" t="inlineStr"/>
      <c r="CA825" t="inlineStr"/>
      <c r="CB825" t="inlineStr"/>
      <c r="CC825" t="inlineStr"/>
      <c r="CD825" t="inlineStr"/>
      <c r="CE825" t="inlineStr"/>
      <c r="CF825" t="inlineStr"/>
      <c r="CG825" t="inlineStr"/>
      <c r="CH825" t="inlineStr"/>
      <c r="CI825" t="inlineStr"/>
      <c r="CJ825" t="inlineStr"/>
      <c r="CK825" t="inlineStr"/>
      <c r="CL825" t="inlineStr"/>
      <c r="CM825" t="inlineStr"/>
      <c r="CN825" t="inlineStr"/>
      <c r="CO825" t="inlineStr"/>
      <c r="CP825" t="inlineStr"/>
      <c r="CQ825" t="inlineStr"/>
      <c r="CR825" t="inlineStr"/>
      <c r="CS825" t="inlineStr"/>
      <c r="CT825" t="inlineStr"/>
      <c r="CU825" t="inlineStr"/>
      <c r="CV825" t="inlineStr"/>
      <c r="CW825" t="inlineStr"/>
      <c r="CX825" t="inlineStr"/>
      <c r="CY825" t="inlineStr"/>
      <c r="CZ825" t="inlineStr"/>
      <c r="DA825" t="inlineStr"/>
      <c r="DB825" t="inlineStr"/>
      <c r="DC825" t="inlineStr"/>
      <c r="DD825" t="inlineStr"/>
      <c r="DE825" t="inlineStr"/>
      <c r="DF825" t="inlineStr"/>
      <c r="DG825" t="inlineStr"/>
    </row>
    <row r="826">
      <c r="A826" t="inlineStr">
        <is>
          <t>III</t>
        </is>
      </c>
      <c r="B826" t="b">
        <v>1</v>
      </c>
      <c r="C826" t="inlineStr">
        <is>
          <t>x</t>
        </is>
      </c>
      <c r="D826" t="inlineStr"/>
      <c r="E826" t="n">
        <v>899</v>
      </c>
      <c r="F826">
        <f>HYPERLINK("https://portal.dnb.de/opac.htm?method=simpleSearch&amp;cqlMode=true&amp;query=idn%3D106696324X", "Portal")</f>
        <v/>
      </c>
      <c r="G826" t="inlineStr">
        <is>
          <t>Aaf</t>
        </is>
      </c>
      <c r="H826" t="inlineStr">
        <is>
          <t>L-1524-315493518</t>
        </is>
      </c>
      <c r="I826" t="inlineStr">
        <is>
          <t>106696324X</t>
        </is>
      </c>
      <c r="J826" t="inlineStr">
        <is>
          <t>III 95, 30</t>
        </is>
      </c>
      <c r="K826" t="inlineStr">
        <is>
          <t>III 95, 30</t>
        </is>
      </c>
      <c r="L826" t="inlineStr">
        <is>
          <t>III 95, 30</t>
        </is>
      </c>
      <c r="M826" t="inlineStr"/>
      <c r="N826" t="inlineStr">
        <is>
          <t xml:space="preserve">Ein @kurtz Register : </t>
        </is>
      </c>
      <c r="O826" t="inlineStr">
        <is>
          <t xml:space="preserve"> : </t>
        </is>
      </c>
      <c r="P826" t="inlineStr"/>
      <c r="Q826" t="inlineStr"/>
      <c r="R826" t="inlineStr"/>
      <c r="S826" t="inlineStr">
        <is>
          <t>bis 25 cm</t>
        </is>
      </c>
      <c r="T826" t="inlineStr"/>
      <c r="U826" t="inlineStr"/>
      <c r="V826" t="inlineStr"/>
      <c r="W826" t="inlineStr"/>
      <c r="X826" t="inlineStr"/>
      <c r="Y826" t="inlineStr"/>
      <c r="Z826" t="inlineStr"/>
      <c r="AA826" t="inlineStr"/>
      <c r="AB826" t="inlineStr"/>
      <c r="AC826" t="inlineStr"/>
      <c r="AD826" t="inlineStr"/>
      <c r="AE826" t="inlineStr"/>
      <c r="AF826" t="inlineStr"/>
      <c r="AG826" t="inlineStr"/>
      <c r="AH826" t="inlineStr"/>
      <c r="AI826" t="inlineStr">
        <is>
          <t>G</t>
        </is>
      </c>
      <c r="AJ826" t="inlineStr"/>
      <c r="AK826" t="inlineStr">
        <is>
          <t>x</t>
        </is>
      </c>
      <c r="AL826" t="inlineStr"/>
      <c r="AM826" t="inlineStr">
        <is>
          <t>h/E</t>
        </is>
      </c>
      <c r="AN826" t="inlineStr"/>
      <c r="AO826" t="inlineStr"/>
      <c r="AP826" t="inlineStr"/>
      <c r="AQ826" t="inlineStr"/>
      <c r="AR826" t="inlineStr"/>
      <c r="AS826" t="inlineStr">
        <is>
          <t>Pa</t>
        </is>
      </c>
      <c r="AT826" t="inlineStr">
        <is>
          <t>x</t>
        </is>
      </c>
      <c r="AU826" t="inlineStr"/>
      <c r="AV826" t="inlineStr"/>
      <c r="AW826" t="inlineStr"/>
      <c r="AX826" t="inlineStr"/>
      <c r="AY826" t="inlineStr"/>
      <c r="AZ826" t="inlineStr"/>
      <c r="BA826" t="inlineStr"/>
      <c r="BB826" t="inlineStr"/>
      <c r="BC826" t="inlineStr"/>
      <c r="BD826" t="inlineStr"/>
      <c r="BE826" t="inlineStr"/>
      <c r="BF826" t="inlineStr"/>
      <c r="BG826" t="n">
        <v>110</v>
      </c>
      <c r="BH826" t="inlineStr"/>
      <c r="BI826" t="inlineStr"/>
      <c r="BJ826" t="inlineStr"/>
      <c r="BK826" t="inlineStr"/>
      <c r="BL826" t="inlineStr"/>
      <c r="BM826" t="inlineStr">
        <is>
          <t>ja vor</t>
        </is>
      </c>
      <c r="BN826" t="n">
        <v>1</v>
      </c>
      <c r="BO826" t="inlineStr"/>
      <c r="BP826" t="inlineStr"/>
      <c r="BQ826" t="inlineStr"/>
      <c r="BR826" t="inlineStr"/>
      <c r="BS826" t="inlineStr"/>
      <c r="BT826" t="inlineStr"/>
      <c r="BU826" t="inlineStr"/>
      <c r="BV826" t="inlineStr"/>
      <c r="BW826" t="inlineStr"/>
      <c r="BX826" t="inlineStr"/>
      <c r="BY826" t="inlineStr"/>
      <c r="BZ826" t="inlineStr"/>
      <c r="CA826" t="inlineStr"/>
      <c r="CB826" t="inlineStr"/>
      <c r="CC826" t="inlineStr"/>
      <c r="CD826" t="inlineStr">
        <is>
          <t>v</t>
        </is>
      </c>
      <c r="CE826" t="inlineStr"/>
      <c r="CF826" t="inlineStr"/>
      <c r="CG826" t="inlineStr"/>
      <c r="CH826" t="inlineStr"/>
      <c r="CI826" t="inlineStr"/>
      <c r="CJ826" t="inlineStr"/>
      <c r="CK826" t="inlineStr"/>
      <c r="CL826" t="inlineStr"/>
      <c r="CM826" t="n">
        <v>1</v>
      </c>
      <c r="CN826" t="inlineStr"/>
      <c r="CO826" t="inlineStr"/>
      <c r="CP826" t="inlineStr"/>
      <c r="CQ826" t="inlineStr"/>
      <c r="CR826" t="inlineStr"/>
      <c r="CS826" t="inlineStr"/>
      <c r="CT826" t="inlineStr"/>
      <c r="CU826" t="inlineStr"/>
      <c r="CV826" t="inlineStr"/>
      <c r="CW826" t="inlineStr"/>
      <c r="CX826" t="inlineStr"/>
      <c r="CY826" t="inlineStr"/>
      <c r="CZ826" t="inlineStr"/>
      <c r="DA826" t="inlineStr"/>
      <c r="DB826" t="inlineStr"/>
      <c r="DC826" t="inlineStr"/>
      <c r="DD826" t="inlineStr"/>
      <c r="DE826" t="inlineStr"/>
      <c r="DF826" t="inlineStr"/>
      <c r="DG826" t="inlineStr"/>
    </row>
    <row r="827">
      <c r="A827" t="inlineStr">
        <is>
          <t>III</t>
        </is>
      </c>
      <c r="B827" t="b">
        <v>1</v>
      </c>
      <c r="C827" t="inlineStr">
        <is>
          <t>x</t>
        </is>
      </c>
      <c r="D827" t="inlineStr"/>
      <c r="E827" t="n">
        <v>900</v>
      </c>
      <c r="F827">
        <f>HYPERLINK("https://portal.dnb.de/opac.htm?method=simpleSearch&amp;cqlMode=true&amp;query=idn%3D1066848556", "Portal")</f>
        <v/>
      </c>
      <c r="G827" t="inlineStr">
        <is>
          <t>Aaf</t>
        </is>
      </c>
      <c r="H827" t="inlineStr">
        <is>
          <t>L-1530-31530765X</t>
        </is>
      </c>
      <c r="I827" t="inlineStr">
        <is>
          <t>1066848556</t>
        </is>
      </c>
      <c r="J827" t="inlineStr">
        <is>
          <t>III 95, 31</t>
        </is>
      </c>
      <c r="K827" t="inlineStr">
        <is>
          <t>III 95, 31</t>
        </is>
      </c>
      <c r="L827" t="inlineStr">
        <is>
          <t>III 95, 31</t>
        </is>
      </c>
      <c r="M827" t="inlineStr"/>
      <c r="N827" t="inlineStr">
        <is>
          <t>Außgebrennte vnd Distillierte wasser, wie sie zů iedem gebresten des Menschen leibs, vnd warzů sunst deren gebrauch fürträglich, dienen. Jetzt newlich</t>
        </is>
      </c>
      <c r="O827" t="inlineStr">
        <is>
          <t xml:space="preserve"> : </t>
        </is>
      </c>
      <c r="P827" t="inlineStr"/>
      <c r="Q827" t="inlineStr"/>
      <c r="R827" t="inlineStr"/>
      <c r="S827" t="inlineStr">
        <is>
          <t>bis 25 cm</t>
        </is>
      </c>
      <c r="T827" t="inlineStr"/>
      <c r="U827" t="inlineStr"/>
      <c r="V827" t="inlineStr"/>
      <c r="W827" t="inlineStr"/>
      <c r="X827" t="inlineStr"/>
      <c r="Y827" t="inlineStr"/>
      <c r="Z827" t="inlineStr"/>
      <c r="AA827" t="inlineStr"/>
      <c r="AB827" t="inlineStr"/>
      <c r="AC827" t="inlineStr"/>
      <c r="AD827" t="inlineStr"/>
      <c r="AE827" t="inlineStr"/>
      <c r="AF827" t="inlineStr"/>
      <c r="AG827" t="inlineStr"/>
      <c r="AH827" t="inlineStr"/>
      <c r="AI827" t="inlineStr">
        <is>
          <t>HL</t>
        </is>
      </c>
      <c r="AJ827" t="inlineStr"/>
      <c r="AK827" t="inlineStr">
        <is>
          <t>x</t>
        </is>
      </c>
      <c r="AL827" t="inlineStr"/>
      <c r="AM827" t="inlineStr">
        <is>
          <t>h/E</t>
        </is>
      </c>
      <c r="AN827" t="inlineStr"/>
      <c r="AO827" t="inlineStr"/>
      <c r="AP827" t="inlineStr"/>
      <c r="AQ827" t="inlineStr"/>
      <c r="AR827" t="inlineStr"/>
      <c r="AS827" t="inlineStr">
        <is>
          <t>Pa</t>
        </is>
      </c>
      <c r="AT827" t="inlineStr">
        <is>
          <t>x</t>
        </is>
      </c>
      <c r="AU827" t="inlineStr"/>
      <c r="AV827" t="inlineStr"/>
      <c r="AW827" t="inlineStr"/>
      <c r="AX827" t="inlineStr"/>
      <c r="AY827" t="inlineStr"/>
      <c r="AZ827" t="inlineStr"/>
      <c r="BA827" t="inlineStr"/>
      <c r="BB827" t="inlineStr"/>
      <c r="BC827" t="inlineStr"/>
      <c r="BD827" t="inlineStr"/>
      <c r="BE827" t="inlineStr"/>
      <c r="BF827" t="inlineStr"/>
      <c r="BG827" t="n">
        <v>110</v>
      </c>
      <c r="BH827" t="inlineStr"/>
      <c r="BI827" t="inlineStr"/>
      <c r="BJ827" t="inlineStr"/>
      <c r="BK827" t="inlineStr"/>
      <c r="BL827" t="inlineStr"/>
      <c r="BM827" t="inlineStr">
        <is>
          <t>ja vor</t>
        </is>
      </c>
      <c r="BN827" t="n">
        <v>0.5</v>
      </c>
      <c r="BO827" t="inlineStr"/>
      <c r="BP827" t="inlineStr"/>
      <c r="BQ827" t="inlineStr"/>
      <c r="BR827" t="inlineStr">
        <is>
          <t>x</t>
        </is>
      </c>
      <c r="BS827" t="inlineStr"/>
      <c r="BT827" t="inlineStr"/>
      <c r="BU827" t="inlineStr"/>
      <c r="BV827" t="inlineStr"/>
      <c r="BW827" t="inlineStr"/>
      <c r="BX827" t="inlineStr"/>
      <c r="BY827" t="inlineStr"/>
      <c r="BZ827" t="inlineStr"/>
      <c r="CA827" t="inlineStr">
        <is>
          <t>x</t>
        </is>
      </c>
      <c r="CB827" t="inlineStr">
        <is>
          <t>x</t>
        </is>
      </c>
      <c r="CC827" t="inlineStr"/>
      <c r="CD827" t="inlineStr"/>
      <c r="CE827" t="inlineStr"/>
      <c r="CF827" t="inlineStr"/>
      <c r="CG827" t="inlineStr"/>
      <c r="CH827" t="inlineStr"/>
      <c r="CI827" t="inlineStr"/>
      <c r="CJ827" t="inlineStr"/>
      <c r="CK827" t="inlineStr"/>
      <c r="CL827" t="inlineStr"/>
      <c r="CM827" t="n">
        <v>0.5</v>
      </c>
      <c r="CN827" t="inlineStr"/>
      <c r="CO827" t="inlineStr"/>
      <c r="CP827" t="inlineStr"/>
      <c r="CQ827" t="inlineStr"/>
      <c r="CR827" t="inlineStr"/>
      <c r="CS827" t="inlineStr"/>
      <c r="CT827" t="inlineStr"/>
      <c r="CU827" t="inlineStr"/>
      <c r="CV827" t="inlineStr"/>
      <c r="CW827" t="inlineStr"/>
      <c r="CX827" t="inlineStr"/>
      <c r="CY827" t="inlineStr"/>
      <c r="CZ827" t="inlineStr"/>
      <c r="DA827" t="inlineStr"/>
      <c r="DB827" t="inlineStr"/>
      <c r="DC827" t="inlineStr"/>
      <c r="DD827" t="inlineStr"/>
      <c r="DE827" t="inlineStr"/>
      <c r="DF827" t="inlineStr"/>
      <c r="DG827" t="inlineStr"/>
    </row>
    <row r="828">
      <c r="A828" t="inlineStr">
        <is>
          <t>III</t>
        </is>
      </c>
      <c r="B828" t="b">
        <v>1</v>
      </c>
      <c r="C828" t="inlineStr">
        <is>
          <t>x</t>
        </is>
      </c>
      <c r="D828" t="inlineStr"/>
      <c r="E828" t="n">
        <v>901</v>
      </c>
      <c r="F828">
        <f>HYPERLINK("https://portal.dnb.de/opac.htm?method=simpleSearch&amp;cqlMode=true&amp;query=idn%3D1066874107", "Portal")</f>
        <v/>
      </c>
      <c r="G828" t="inlineStr">
        <is>
          <t>Aaf</t>
        </is>
      </c>
      <c r="H828" t="inlineStr">
        <is>
          <t>L-1531-315331909</t>
        </is>
      </c>
      <c r="I828" t="inlineStr">
        <is>
          <t>1066874107</t>
        </is>
      </c>
      <c r="J828" t="inlineStr">
        <is>
          <t>III 95, 32</t>
        </is>
      </c>
      <c r="K828" t="inlineStr">
        <is>
          <t>III 95, 32</t>
        </is>
      </c>
      <c r="L828" t="inlineStr">
        <is>
          <t>III 95, 32</t>
        </is>
      </c>
      <c r="M828" t="inlineStr"/>
      <c r="N828" t="inlineStr">
        <is>
          <t>Chronica,|| Zeÿtbuch vnd geschÿcht||bibel von anbegyn biß inn diß ge||genwertig M.D.xxxj. jar...|| verfaßt. Durch Sebastianum Frācken von|| Wörd ...||</t>
        </is>
      </c>
      <c r="O828" t="inlineStr">
        <is>
          <t xml:space="preserve"> : </t>
        </is>
      </c>
      <c r="P828" t="inlineStr"/>
      <c r="Q828" t="inlineStr"/>
      <c r="R828" t="inlineStr"/>
      <c r="S828" t="inlineStr">
        <is>
          <t>bis 35 cm</t>
        </is>
      </c>
      <c r="T828" t="inlineStr"/>
      <c r="U828" t="inlineStr"/>
      <c r="V828" t="inlineStr"/>
      <c r="W828" t="inlineStr"/>
      <c r="X828" t="inlineStr"/>
      <c r="Y828" t="inlineStr"/>
      <c r="Z828" t="inlineStr"/>
      <c r="AA828" t="inlineStr"/>
      <c r="AB828" t="inlineStr"/>
      <c r="AC828" t="inlineStr"/>
      <c r="AD828" t="inlineStr"/>
      <c r="AE828" t="inlineStr"/>
      <c r="AF828" t="inlineStr"/>
      <c r="AG828" t="inlineStr"/>
      <c r="AH828" t="inlineStr"/>
      <c r="AI828" t="inlineStr">
        <is>
          <t>HL</t>
        </is>
      </c>
      <c r="AJ828" t="inlineStr"/>
      <c r="AK828" t="inlineStr"/>
      <c r="AL828" t="inlineStr"/>
      <c r="AM828" t="inlineStr">
        <is>
          <t>h/E</t>
        </is>
      </c>
      <c r="AN828" t="inlineStr"/>
      <c r="AO828" t="inlineStr"/>
      <c r="AP828" t="inlineStr"/>
      <c r="AQ828" t="inlineStr"/>
      <c r="AR828" t="inlineStr"/>
      <c r="AS828" t="inlineStr">
        <is>
          <t>Pa</t>
        </is>
      </c>
      <c r="AT828" t="inlineStr"/>
      <c r="AU828" t="inlineStr"/>
      <c r="AV828" t="inlineStr"/>
      <c r="AW828" t="inlineStr"/>
      <c r="AX828" t="inlineStr"/>
      <c r="AY828" t="inlineStr"/>
      <c r="AZ828" t="inlineStr"/>
      <c r="BA828" t="inlineStr"/>
      <c r="BB828" t="inlineStr"/>
      <c r="BC828" t="inlineStr"/>
      <c r="BD828" t="inlineStr"/>
      <c r="BE828" t="inlineStr"/>
      <c r="BF828" t="inlineStr"/>
      <c r="BG828" t="n">
        <v>45</v>
      </c>
      <c r="BH828" t="inlineStr"/>
      <c r="BI828" t="inlineStr"/>
      <c r="BJ828" t="inlineStr"/>
      <c r="BK828" t="inlineStr"/>
      <c r="BL828" t="inlineStr"/>
      <c r="BM828" t="inlineStr">
        <is>
          <t>ja vor</t>
        </is>
      </c>
      <c r="BN828" t="n">
        <v>2</v>
      </c>
      <c r="BO828" t="inlineStr"/>
      <c r="BP828" t="inlineStr"/>
      <c r="BQ828" t="inlineStr"/>
      <c r="BR828" t="inlineStr"/>
      <c r="BS828" t="inlineStr"/>
      <c r="BT828" t="inlineStr"/>
      <c r="BU828" t="inlineStr"/>
      <c r="BV828" t="inlineStr"/>
      <c r="BW828" t="inlineStr"/>
      <c r="BX828" t="inlineStr"/>
      <c r="BY828" t="inlineStr"/>
      <c r="BZ828" t="inlineStr"/>
      <c r="CA828" t="inlineStr">
        <is>
          <t>x</t>
        </is>
      </c>
      <c r="CB828" t="inlineStr">
        <is>
          <t>x</t>
        </is>
      </c>
      <c r="CC828" t="inlineStr"/>
      <c r="CD828" t="inlineStr">
        <is>
          <t>v/h</t>
        </is>
      </c>
      <c r="CE828" t="inlineStr"/>
      <c r="CF828" t="inlineStr"/>
      <c r="CG828" t="inlineStr"/>
      <c r="CH828" t="inlineStr"/>
      <c r="CI828" t="inlineStr"/>
      <c r="CJ828" t="inlineStr"/>
      <c r="CK828" t="inlineStr"/>
      <c r="CL828" t="inlineStr"/>
      <c r="CM828" t="n">
        <v>2</v>
      </c>
      <c r="CN828" t="inlineStr"/>
      <c r="CO828" t="inlineStr"/>
      <c r="CP828" t="inlineStr"/>
      <c r="CQ828" t="inlineStr"/>
      <c r="CR828" t="inlineStr"/>
      <c r="CS828" t="inlineStr"/>
      <c r="CT828" t="inlineStr"/>
      <c r="CU828" t="inlineStr"/>
      <c r="CV828" t="inlineStr"/>
      <c r="CW828" t="inlineStr"/>
      <c r="CX828" t="inlineStr"/>
      <c r="CY828" t="inlineStr"/>
      <c r="CZ828" t="inlineStr"/>
      <c r="DA828" t="inlineStr"/>
      <c r="DB828" t="inlineStr"/>
      <c r="DC828" t="inlineStr"/>
      <c r="DD828" t="inlineStr"/>
      <c r="DE828" t="inlineStr"/>
      <c r="DF828" t="inlineStr"/>
      <c r="DG828" t="inlineStr"/>
    </row>
    <row r="829">
      <c r="A829" t="inlineStr">
        <is>
          <t>III</t>
        </is>
      </c>
      <c r="B829" t="b">
        <v>1</v>
      </c>
      <c r="C829" t="inlineStr"/>
      <c r="D829" t="inlineStr"/>
      <c r="E829" t="n">
        <v>902</v>
      </c>
      <c r="F829">
        <f>HYPERLINK("https://portal.dnb.de/opac.htm?method=simpleSearch&amp;cqlMode=true&amp;query=idn%3D1066956308", "Portal")</f>
        <v/>
      </c>
      <c r="G829" t="inlineStr">
        <is>
          <t>Aaf</t>
        </is>
      </c>
      <c r="H829" t="inlineStr">
        <is>
          <t>L-1535-315487003</t>
        </is>
      </c>
      <c r="I829" t="inlineStr">
        <is>
          <t>1066956308</t>
        </is>
      </c>
      <c r="J829" t="inlineStr">
        <is>
          <t>III 95, 33</t>
        </is>
      </c>
      <c r="K829" t="inlineStr">
        <is>
          <t>III 95, 33</t>
        </is>
      </c>
      <c r="L829" t="inlineStr">
        <is>
          <t>III 95, 33</t>
        </is>
      </c>
      <c r="M829" t="inlineStr"/>
      <c r="N829" t="inlineStr">
        <is>
          <t>JOsephi des hochbe||r#[ue]mpten vnd vast nutzlich=||en Historici.|| Zwentzig b#[ue]cher von den alten geschichten|| ... corrigiert vnd gebessert.|| Si</t>
        </is>
      </c>
      <c r="O829" t="inlineStr">
        <is>
          <t xml:space="preserve"> : </t>
        </is>
      </c>
      <c r="P829" t="inlineStr"/>
      <c r="Q829" t="inlineStr"/>
      <c r="R829" t="inlineStr"/>
      <c r="S829" t="inlineStr">
        <is>
          <t>bis 35 cm</t>
        </is>
      </c>
      <c r="T829" t="inlineStr"/>
      <c r="U829" t="inlineStr"/>
      <c r="V829" t="inlineStr"/>
      <c r="W829" t="inlineStr"/>
      <c r="X829" t="inlineStr"/>
      <c r="Y829" t="inlineStr"/>
      <c r="Z829" t="inlineStr"/>
      <c r="AA829" t="inlineStr"/>
      <c r="AB829" t="inlineStr"/>
      <c r="AC829" t="inlineStr"/>
      <c r="AD829" t="inlineStr"/>
      <c r="AE829" t="inlineStr"/>
      <c r="AF829" t="inlineStr"/>
      <c r="AG829" t="inlineStr"/>
      <c r="AH829" t="inlineStr"/>
      <c r="AI829" t="inlineStr">
        <is>
          <t>G</t>
        </is>
      </c>
      <c r="AJ829" t="inlineStr"/>
      <c r="AK829" t="inlineStr"/>
      <c r="AL829" t="inlineStr"/>
      <c r="AM829" t="inlineStr">
        <is>
          <t>h/E</t>
        </is>
      </c>
      <c r="AN829" t="inlineStr"/>
      <c r="AO829" t="inlineStr"/>
      <c r="AP829" t="inlineStr"/>
      <c r="AQ829" t="inlineStr"/>
      <c r="AR829" t="inlineStr"/>
      <c r="AS829" t="inlineStr">
        <is>
          <t>Pa</t>
        </is>
      </c>
      <c r="AT829" t="inlineStr"/>
      <c r="AU829" t="inlineStr"/>
      <c r="AV829" t="inlineStr"/>
      <c r="AW829" t="inlineStr"/>
      <c r="AX829" t="inlineStr"/>
      <c r="AY829" t="inlineStr"/>
      <c r="AZ829" t="inlineStr"/>
      <c r="BA829" t="inlineStr"/>
      <c r="BB829" t="inlineStr"/>
      <c r="BC829" t="inlineStr"/>
      <c r="BD829" t="inlineStr"/>
      <c r="BE829" t="inlineStr"/>
      <c r="BF829" t="inlineStr"/>
      <c r="BG829" t="n">
        <v>110</v>
      </c>
      <c r="BH829" t="inlineStr"/>
      <c r="BI829" t="inlineStr"/>
      <c r="BJ829" t="inlineStr"/>
      <c r="BK829" t="inlineStr"/>
      <c r="BL829" t="inlineStr"/>
      <c r="BM829" t="inlineStr">
        <is>
          <t>n</t>
        </is>
      </c>
      <c r="BN829" t="n">
        <v>0</v>
      </c>
      <c r="BO829" t="inlineStr"/>
      <c r="BP829" t="inlineStr"/>
      <c r="BQ829" t="inlineStr"/>
      <c r="BR829" t="inlineStr"/>
      <c r="BS829" t="inlineStr"/>
      <c r="BT829" t="inlineStr"/>
      <c r="BU829" t="inlineStr"/>
      <c r="BV829" t="inlineStr"/>
      <c r="BW829" t="inlineStr"/>
      <c r="BX829" t="inlineStr"/>
      <c r="BY829" t="inlineStr"/>
      <c r="BZ829" t="inlineStr"/>
      <c r="CA829" t="inlineStr"/>
      <c r="CB829" t="inlineStr"/>
      <c r="CC829" t="inlineStr"/>
      <c r="CD829" t="inlineStr"/>
      <c r="CE829" t="inlineStr"/>
      <c r="CF829" t="inlineStr"/>
      <c r="CG829" t="inlineStr"/>
      <c r="CH829" t="inlineStr"/>
      <c r="CI829" t="inlineStr"/>
      <c r="CJ829" t="inlineStr"/>
      <c r="CK829" t="inlineStr"/>
      <c r="CL829" t="inlineStr"/>
      <c r="CM829" t="inlineStr"/>
      <c r="CN829" t="inlineStr"/>
      <c r="CO829" t="inlineStr"/>
      <c r="CP829" t="inlineStr"/>
      <c r="CQ829" t="inlineStr"/>
      <c r="CR829" t="inlineStr"/>
      <c r="CS829" t="inlineStr"/>
      <c r="CT829" t="inlineStr"/>
      <c r="CU829" t="inlineStr"/>
      <c r="CV829" t="inlineStr"/>
      <c r="CW829" t="inlineStr"/>
      <c r="CX829" t="inlineStr"/>
      <c r="CY829" t="inlineStr"/>
      <c r="CZ829" t="inlineStr"/>
      <c r="DA829" t="inlineStr"/>
      <c r="DB829" t="inlineStr"/>
      <c r="DC829" t="inlineStr"/>
      <c r="DD829" t="inlineStr"/>
      <c r="DE829" t="inlineStr"/>
      <c r="DF829" t="inlineStr"/>
      <c r="DG829" t="inlineStr"/>
    </row>
    <row r="830">
      <c r="A830" t="inlineStr">
        <is>
          <t>III</t>
        </is>
      </c>
      <c r="B830" t="b">
        <v>1</v>
      </c>
      <c r="C830" t="inlineStr">
        <is>
          <t>x</t>
        </is>
      </c>
      <c r="D830" t="inlineStr"/>
      <c r="E830" t="n">
        <v>903</v>
      </c>
      <c r="F830">
        <f>HYPERLINK("https://portal.dnb.de/opac.htm?method=simpleSearch&amp;cqlMode=true&amp;query=idn%3D1066956413", "Portal")</f>
        <v/>
      </c>
      <c r="G830" t="inlineStr">
        <is>
          <t>Aaf</t>
        </is>
      </c>
      <c r="H830" t="inlineStr">
        <is>
          <t>L-1536-315487097</t>
        </is>
      </c>
      <c r="I830" t="inlineStr">
        <is>
          <t>1066956413</t>
        </is>
      </c>
      <c r="J830" t="inlineStr">
        <is>
          <t>III 95, 34</t>
        </is>
      </c>
      <c r="K830" t="inlineStr">
        <is>
          <t>III 95, 34</t>
        </is>
      </c>
      <c r="L830" t="inlineStr">
        <is>
          <t>III 95, 34</t>
        </is>
      </c>
      <c r="M830" t="inlineStr"/>
      <c r="N830" t="inlineStr">
        <is>
          <t xml:space="preserve">Gart der gesuntheit|| Zu latein|| HORTVS|| SANITATIS. Sagt in vier|| B#[ue]cheren wie hernach volget.|| [Sp.1]Von : </t>
        </is>
      </c>
      <c r="O830" t="inlineStr">
        <is>
          <t xml:space="preserve"> : </t>
        </is>
      </c>
      <c r="P830" t="inlineStr"/>
      <c r="Q830" t="inlineStr"/>
      <c r="R830" t="inlineStr"/>
      <c r="S830" t="inlineStr">
        <is>
          <t>bis 35 cm</t>
        </is>
      </c>
      <c r="T830" t="inlineStr"/>
      <c r="U830" t="inlineStr"/>
      <c r="V830" t="inlineStr"/>
      <c r="W830" t="inlineStr"/>
      <c r="X830" t="inlineStr"/>
      <c r="Y830" t="inlineStr"/>
      <c r="Z830" t="inlineStr"/>
      <c r="AA830" t="inlineStr"/>
      <c r="AB830" t="inlineStr"/>
      <c r="AC830" t="inlineStr"/>
      <c r="AD830" t="inlineStr"/>
      <c r="AE830" t="inlineStr"/>
      <c r="AF830" t="inlineStr"/>
      <c r="AG830" t="inlineStr"/>
      <c r="AH830" t="inlineStr"/>
      <c r="AI830" t="inlineStr">
        <is>
          <t>HPg</t>
        </is>
      </c>
      <c r="AJ830" t="inlineStr"/>
      <c r="AK830" t="inlineStr">
        <is>
          <t>x</t>
        </is>
      </c>
      <c r="AL830" t="inlineStr"/>
      <c r="AM830" t="inlineStr">
        <is>
          <t>h/E</t>
        </is>
      </c>
      <c r="AN830" t="inlineStr"/>
      <c r="AO830" t="inlineStr"/>
      <c r="AP830" t="inlineStr"/>
      <c r="AQ830" t="inlineStr"/>
      <c r="AR830" t="inlineStr"/>
      <c r="AS830" t="inlineStr">
        <is>
          <t>Pa</t>
        </is>
      </c>
      <c r="AT830" t="inlineStr"/>
      <c r="AU830" t="inlineStr"/>
      <c r="AV830" t="inlineStr"/>
      <c r="AW830" t="inlineStr"/>
      <c r="AX830" t="inlineStr"/>
      <c r="AY830" t="inlineStr"/>
      <c r="AZ830" t="inlineStr"/>
      <c r="BA830" t="inlineStr"/>
      <c r="BB830" t="inlineStr"/>
      <c r="BC830" t="inlineStr"/>
      <c r="BD830" t="inlineStr"/>
      <c r="BE830" t="inlineStr"/>
      <c r="BF830" t="inlineStr"/>
      <c r="BG830" t="n">
        <v>110</v>
      </c>
      <c r="BH830" t="inlineStr"/>
      <c r="BI830" t="inlineStr"/>
      <c r="BJ830" t="inlineStr"/>
      <c r="BK830" t="inlineStr"/>
      <c r="BL830" t="inlineStr"/>
      <c r="BM830" t="inlineStr">
        <is>
          <t>ja vor</t>
        </is>
      </c>
      <c r="BN830" t="n">
        <v>0.5</v>
      </c>
      <c r="BO830" t="inlineStr"/>
      <c r="BP830" t="inlineStr"/>
      <c r="BQ830" t="inlineStr"/>
      <c r="BR830" t="inlineStr"/>
      <c r="BS830" t="inlineStr"/>
      <c r="BT830" t="inlineStr"/>
      <c r="BU830" t="inlineStr"/>
      <c r="BV830" t="inlineStr"/>
      <c r="BW830" t="inlineStr"/>
      <c r="BX830" t="inlineStr"/>
      <c r="BY830" t="inlineStr"/>
      <c r="BZ830" t="inlineStr"/>
      <c r="CA830" t="inlineStr"/>
      <c r="CB830" t="inlineStr">
        <is>
          <t>x</t>
        </is>
      </c>
      <c r="CC830" t="inlineStr"/>
      <c r="CD830" t="inlineStr"/>
      <c r="CE830" t="inlineStr"/>
      <c r="CF830" t="inlineStr"/>
      <c r="CG830" t="inlineStr"/>
      <c r="CH830" t="inlineStr"/>
      <c r="CI830" t="inlineStr"/>
      <c r="CJ830" t="inlineStr"/>
      <c r="CK830" t="inlineStr"/>
      <c r="CL830" t="inlineStr"/>
      <c r="CM830" t="n">
        <v>0.5</v>
      </c>
      <c r="CN830" t="inlineStr"/>
      <c r="CO830" t="inlineStr"/>
      <c r="CP830" t="inlineStr"/>
      <c r="CQ830" t="inlineStr"/>
      <c r="CR830" t="inlineStr"/>
      <c r="CS830" t="inlineStr"/>
      <c r="CT830" t="inlineStr"/>
      <c r="CU830" t="inlineStr"/>
      <c r="CV830" t="inlineStr"/>
      <c r="CW830" t="inlineStr"/>
      <c r="CX830" t="inlineStr"/>
      <c r="CY830" t="inlineStr"/>
      <c r="CZ830" t="inlineStr"/>
      <c r="DA830" t="inlineStr"/>
      <c r="DB830" t="inlineStr"/>
      <c r="DC830" t="inlineStr"/>
      <c r="DD830" t="inlineStr"/>
      <c r="DE830" t="inlineStr"/>
      <c r="DF830" t="inlineStr"/>
      <c r="DG830" t="inlineStr"/>
    </row>
    <row r="831">
      <c r="A831" t="inlineStr">
        <is>
          <t>III</t>
        </is>
      </c>
      <c r="B831" t="b">
        <v>1</v>
      </c>
      <c r="C831" t="inlineStr">
        <is>
          <t>x</t>
        </is>
      </c>
      <c r="D831" t="inlineStr"/>
      <c r="E831" t="inlineStr"/>
      <c r="F831">
        <f>HYPERLINK("https://portal.dnb.de/opac.htm?method=simpleSearch&amp;cqlMode=true&amp;query=idn%3D1137895888", "Portal")</f>
        <v/>
      </c>
      <c r="G831" t="inlineStr">
        <is>
          <t>Qd</t>
        </is>
      </c>
      <c r="H831" t="inlineStr">
        <is>
          <t>L-9999-414174798</t>
        </is>
      </c>
      <c r="I831" t="inlineStr">
        <is>
          <t>1137895888</t>
        </is>
      </c>
      <c r="J831" t="inlineStr">
        <is>
          <t>III 95, 35</t>
        </is>
      </c>
      <c r="K831" t="inlineStr">
        <is>
          <t>III 95, 35</t>
        </is>
      </c>
      <c r="L831" t="inlineStr">
        <is>
          <t>III 95, 35</t>
        </is>
      </c>
      <c r="M831" t="inlineStr"/>
      <c r="N831" t="inlineStr">
        <is>
          <t xml:space="preserve">Sammelband : </t>
        </is>
      </c>
      <c r="O831" t="inlineStr">
        <is>
          <t xml:space="preserve"> : </t>
        </is>
      </c>
      <c r="P831" t="inlineStr"/>
      <c r="Q831" t="inlineStr">
        <is>
          <t>6300,00 EUR</t>
        </is>
      </c>
      <c r="R831" t="inlineStr"/>
      <c r="S831" t="inlineStr">
        <is>
          <t>bis 35 cm</t>
        </is>
      </c>
      <c r="T831" t="inlineStr"/>
      <c r="U831" t="inlineStr"/>
      <c r="V831" t="inlineStr"/>
      <c r="W831" t="inlineStr"/>
      <c r="X831" t="inlineStr"/>
      <c r="Y831" t="inlineStr"/>
      <c r="Z831" t="inlineStr"/>
      <c r="AA831" t="inlineStr"/>
      <c r="AB831" t="inlineStr"/>
      <c r="AC831" t="inlineStr"/>
      <c r="AD831" t="inlineStr"/>
      <c r="AE831" t="inlineStr"/>
      <c r="AF831" t="inlineStr"/>
      <c r="AG831" t="inlineStr"/>
      <c r="AH831" t="inlineStr"/>
      <c r="AI831" t="inlineStr">
        <is>
          <t>HD</t>
        </is>
      </c>
      <c r="AJ831" t="inlineStr"/>
      <c r="AK831" t="inlineStr">
        <is>
          <t>x</t>
        </is>
      </c>
      <c r="AL831" t="inlineStr"/>
      <c r="AM831" t="inlineStr">
        <is>
          <t>f/V</t>
        </is>
      </c>
      <c r="AN831" t="inlineStr"/>
      <c r="AO831" t="inlineStr"/>
      <c r="AP831" t="inlineStr"/>
      <c r="AQ831" t="inlineStr"/>
      <c r="AR831" t="inlineStr"/>
      <c r="AS831" t="inlineStr">
        <is>
          <t>Pa</t>
        </is>
      </c>
      <c r="AT831" t="inlineStr"/>
      <c r="AU831" t="inlineStr"/>
      <c r="AV831" t="inlineStr"/>
      <c r="AW831" t="inlineStr"/>
      <c r="AX831" t="inlineStr"/>
      <c r="AY831" t="inlineStr"/>
      <c r="AZ831" t="inlineStr"/>
      <c r="BA831" t="inlineStr"/>
      <c r="BB831" t="inlineStr"/>
      <c r="BC831" t="inlineStr"/>
      <c r="BD831" t="inlineStr"/>
      <c r="BE831" t="inlineStr"/>
      <c r="BF831" t="inlineStr"/>
      <c r="BG831" t="n">
        <v>60</v>
      </c>
      <c r="BH831" t="inlineStr"/>
      <c r="BI831" t="inlineStr"/>
      <c r="BJ831" t="inlineStr"/>
      <c r="BK831" t="inlineStr"/>
      <c r="BL831" t="inlineStr"/>
      <c r="BM831" t="inlineStr">
        <is>
          <t>ja vor</t>
        </is>
      </c>
      <c r="BN831" t="n">
        <v>0.5</v>
      </c>
      <c r="BO831" t="inlineStr"/>
      <c r="BP831" t="inlineStr"/>
      <c r="BQ831" t="inlineStr"/>
      <c r="BR831" t="inlineStr">
        <is>
          <t>x</t>
        </is>
      </c>
      <c r="BS831" t="inlineStr"/>
      <c r="BT831" t="inlineStr"/>
      <c r="BU831" t="inlineStr"/>
      <c r="BV831" t="inlineStr"/>
      <c r="BW831" t="inlineStr"/>
      <c r="BX831" t="inlineStr"/>
      <c r="BY831" t="inlineStr"/>
      <c r="BZ831" t="inlineStr"/>
      <c r="CA831" t="inlineStr">
        <is>
          <t>x</t>
        </is>
      </c>
      <c r="CB831" t="inlineStr">
        <is>
          <t>x</t>
        </is>
      </c>
      <c r="CC831" t="inlineStr"/>
      <c r="CD831" t="inlineStr"/>
      <c r="CE831" t="inlineStr"/>
      <c r="CF831" t="inlineStr"/>
      <c r="CG831" t="inlineStr"/>
      <c r="CH831" t="inlineStr"/>
      <c r="CI831" t="inlineStr"/>
      <c r="CJ831" t="inlineStr"/>
      <c r="CK831" t="inlineStr"/>
      <c r="CL831" t="inlineStr"/>
      <c r="CM831" t="n">
        <v>0.5</v>
      </c>
      <c r="CN831" t="inlineStr"/>
      <c r="CO831" t="inlineStr"/>
      <c r="CP831" t="inlineStr"/>
      <c r="CQ831" t="inlineStr"/>
      <c r="CR831" t="inlineStr"/>
      <c r="CS831" t="inlineStr"/>
      <c r="CT831" t="inlineStr"/>
      <c r="CU831" t="inlineStr"/>
      <c r="CV831" t="inlineStr"/>
      <c r="CW831" t="inlineStr"/>
      <c r="CX831" t="inlineStr"/>
      <c r="CY831" t="inlineStr"/>
      <c r="CZ831" t="inlineStr"/>
      <c r="DA831" t="inlineStr"/>
      <c r="DB831" t="inlineStr"/>
      <c r="DC831" t="inlineStr"/>
      <c r="DD831" t="inlineStr"/>
      <c r="DE831" t="inlineStr"/>
      <c r="DF831" t="inlineStr"/>
      <c r="DG831" t="inlineStr"/>
    </row>
    <row r="832">
      <c r="A832" t="inlineStr">
        <is>
          <t>III</t>
        </is>
      </c>
      <c r="B832" t="b">
        <v>1</v>
      </c>
      <c r="C832" t="inlineStr"/>
      <c r="D832" t="inlineStr"/>
      <c r="E832" t="n">
        <v>936</v>
      </c>
      <c r="F832">
        <f>HYPERLINK("https://portal.dnb.de/opac.htm?method=simpleSearch&amp;cqlMode=true&amp;query=idn%3D994508492", "Portal")</f>
        <v/>
      </c>
      <c r="G832" t="inlineStr">
        <is>
          <t>Aal</t>
        </is>
      </c>
      <c r="H832" t="inlineStr">
        <is>
          <t>L-1541-156066491</t>
        </is>
      </c>
      <c r="I832" t="inlineStr">
        <is>
          <t>994508492</t>
        </is>
      </c>
      <c r="J832" t="inlineStr">
        <is>
          <t>III 95, 35 a</t>
        </is>
      </c>
      <c r="K832" t="inlineStr">
        <is>
          <t>III 95, 35 a</t>
        </is>
      </c>
      <c r="L832" t="inlineStr">
        <is>
          <t>III 95, 35 a</t>
        </is>
      </c>
      <c r="M832" t="inlineStr"/>
      <c r="N832" t="inlineStr">
        <is>
          <t>M. Tvllii Ciceronis alterum epistolarum volumen : Ad T. Atticum ; Ad M. Brutum ; ad Q. fratrem , Cum praefatione Joannis Sturmij ad Vuolfgangum Abbate</t>
        </is>
      </c>
      <c r="O832" t="inlineStr">
        <is>
          <t xml:space="preserve"> : </t>
        </is>
      </c>
      <c r="P832" t="inlineStr"/>
      <c r="Q832" t="inlineStr"/>
      <c r="R832" t="inlineStr"/>
      <c r="S832" t="inlineStr">
        <is>
          <t>bis 25 cm</t>
        </is>
      </c>
      <c r="T832" t="inlineStr"/>
      <c r="U832" t="inlineStr"/>
      <c r="V832" t="inlineStr"/>
      <c r="W832" t="inlineStr"/>
      <c r="X832" t="inlineStr"/>
      <c r="Y832" t="inlineStr"/>
      <c r="Z832" t="inlineStr"/>
      <c r="AA832" t="inlineStr"/>
      <c r="AB832" t="inlineStr"/>
      <c r="AC832" t="inlineStr"/>
      <c r="AD832" t="inlineStr"/>
      <c r="AE832" t="inlineStr"/>
      <c r="AF832" t="inlineStr"/>
      <c r="AG832" t="inlineStr"/>
      <c r="AH832" t="inlineStr"/>
      <c r="AI832" t="inlineStr">
        <is>
          <t>HD</t>
        </is>
      </c>
      <c r="AJ832" t="inlineStr"/>
      <c r="AK832" t="inlineStr"/>
      <c r="AL832" t="inlineStr"/>
      <c r="AM832" t="inlineStr">
        <is>
          <t>f</t>
        </is>
      </c>
      <c r="AN832" t="inlineStr"/>
      <c r="AO832" t="inlineStr"/>
      <c r="AP832" t="inlineStr"/>
      <c r="AQ832" t="inlineStr"/>
      <c r="AR832" t="inlineStr"/>
      <c r="AS832" t="inlineStr">
        <is>
          <t>Pa</t>
        </is>
      </c>
      <c r="AT832" t="inlineStr"/>
      <c r="AU832" t="inlineStr"/>
      <c r="AV832" t="inlineStr"/>
      <c r="AW832" t="inlineStr"/>
      <c r="AX832" t="inlineStr"/>
      <c r="AY832" t="inlineStr"/>
      <c r="AZ832" t="inlineStr"/>
      <c r="BA832" t="inlineStr"/>
      <c r="BB832" t="inlineStr"/>
      <c r="BC832" t="inlineStr"/>
      <c r="BD832" t="inlineStr"/>
      <c r="BE832" t="inlineStr"/>
      <c r="BF832" t="inlineStr"/>
      <c r="BG832" t="n">
        <v>60</v>
      </c>
      <c r="BH832" t="inlineStr"/>
      <c r="BI832" t="inlineStr"/>
      <c r="BJ832" t="inlineStr"/>
      <c r="BK832" t="inlineStr"/>
      <c r="BL832" t="inlineStr"/>
      <c r="BM832" t="inlineStr">
        <is>
          <t>n</t>
        </is>
      </c>
      <c r="BN832" t="n">
        <v>0</v>
      </c>
      <c r="BO832" t="inlineStr"/>
      <c r="BP832" t="inlineStr">
        <is>
          <t>Halbgewebe mit Papier</t>
        </is>
      </c>
      <c r="BQ832" t="inlineStr"/>
      <c r="BR832" t="inlineStr"/>
      <c r="BS832" t="inlineStr"/>
      <c r="BT832" t="inlineStr"/>
      <c r="BU832" t="inlineStr"/>
      <c r="BV832" t="inlineStr"/>
      <c r="BW832" t="inlineStr"/>
      <c r="BX832" t="inlineStr"/>
      <c r="BY832" t="inlineStr"/>
      <c r="BZ832" t="inlineStr"/>
      <c r="CA832" t="inlineStr"/>
      <c r="CB832" t="inlineStr"/>
      <c r="CC832" t="inlineStr"/>
      <c r="CD832" t="inlineStr"/>
      <c r="CE832" t="inlineStr"/>
      <c r="CF832" t="inlineStr"/>
      <c r="CG832" t="inlineStr"/>
      <c r="CH832" t="inlineStr"/>
      <c r="CI832" t="inlineStr"/>
      <c r="CJ832" t="inlineStr"/>
      <c r="CK832" t="inlineStr"/>
      <c r="CL832" t="inlineStr"/>
      <c r="CM832" t="inlineStr"/>
      <c r="CN832" t="inlineStr"/>
      <c r="CO832" t="inlineStr"/>
      <c r="CP832" t="inlineStr"/>
      <c r="CQ832" t="inlineStr"/>
      <c r="CR832" t="inlineStr"/>
      <c r="CS832" t="inlineStr"/>
      <c r="CT832" t="inlineStr"/>
      <c r="CU832" t="inlineStr"/>
      <c r="CV832" t="inlineStr"/>
      <c r="CW832" t="inlineStr"/>
      <c r="CX832" t="inlineStr"/>
      <c r="CY832" t="inlineStr"/>
      <c r="CZ832" t="inlineStr"/>
      <c r="DA832" t="inlineStr"/>
      <c r="DB832" t="inlineStr"/>
      <c r="DC832" t="inlineStr"/>
      <c r="DD832" t="inlineStr"/>
      <c r="DE832" t="inlineStr"/>
      <c r="DF832" t="inlineStr"/>
      <c r="DG832" t="inlineStr"/>
    </row>
    <row r="833">
      <c r="A833" t="inlineStr">
        <is>
          <t>III</t>
        </is>
      </c>
      <c r="B833" t="b">
        <v>1</v>
      </c>
      <c r="C833" t="inlineStr"/>
      <c r="D833" t="inlineStr"/>
      <c r="E833" t="n">
        <v>905</v>
      </c>
      <c r="F833">
        <f>HYPERLINK("https://portal.dnb.de/opac.htm?method=simpleSearch&amp;cqlMode=true&amp;query=idn%3D1066957061", "Portal")</f>
        <v/>
      </c>
      <c r="G833" t="inlineStr">
        <is>
          <t>Aaf</t>
        </is>
      </c>
      <c r="H833" t="inlineStr">
        <is>
          <t>L-1549-315487682</t>
        </is>
      </c>
      <c r="I833" t="inlineStr">
        <is>
          <t>1066957061</t>
        </is>
      </c>
      <c r="J833" t="inlineStr">
        <is>
          <t>III 95, 36</t>
        </is>
      </c>
      <c r="K833" t="inlineStr">
        <is>
          <t>III 95, 36</t>
        </is>
      </c>
      <c r="L833" t="inlineStr">
        <is>
          <t>III 95, 36</t>
        </is>
      </c>
      <c r="M833" t="inlineStr"/>
      <c r="N833" t="inlineStr">
        <is>
          <t>Spiegel der Mensch=||lichen bl#[oe]digkeit.|| Warhafftige abcontrafactur al=||ler menschlichen stenden auff Erden/ vnnd das || vnder allen/ kein wanck</t>
        </is>
      </c>
      <c r="O833" t="inlineStr">
        <is>
          <t xml:space="preserve"> : </t>
        </is>
      </c>
      <c r="P833" t="inlineStr"/>
      <c r="Q833" t="inlineStr"/>
      <c r="R833" t="inlineStr"/>
      <c r="S833" t="inlineStr">
        <is>
          <t>bis 25 cm</t>
        </is>
      </c>
      <c r="T833" t="inlineStr"/>
      <c r="U833" t="inlineStr"/>
      <c r="V833" t="inlineStr"/>
      <c r="W833" t="inlineStr"/>
      <c r="X833" t="inlineStr"/>
      <c r="Y833" t="inlineStr"/>
      <c r="Z833" t="inlineStr"/>
      <c r="AA833" t="inlineStr"/>
      <c r="AB833" t="inlineStr"/>
      <c r="AC833" t="inlineStr"/>
      <c r="AD833" t="inlineStr"/>
      <c r="AE833" t="inlineStr"/>
      <c r="AF833" t="inlineStr"/>
      <c r="AG833" t="inlineStr"/>
      <c r="AH833" t="inlineStr"/>
      <c r="AI833" t="inlineStr">
        <is>
          <t>HG</t>
        </is>
      </c>
      <c r="AJ833" t="inlineStr"/>
      <c r="AK833" t="inlineStr">
        <is>
          <t>x</t>
        </is>
      </c>
      <c r="AL833" t="inlineStr"/>
      <c r="AM833" t="inlineStr">
        <is>
          <t>h/E</t>
        </is>
      </c>
      <c r="AN833" t="inlineStr"/>
      <c r="AO833" t="inlineStr"/>
      <c r="AP833" t="inlineStr"/>
      <c r="AQ833" t="inlineStr"/>
      <c r="AR833" t="inlineStr"/>
      <c r="AS833" t="inlineStr">
        <is>
          <t>Pa</t>
        </is>
      </c>
      <c r="AT833" t="inlineStr">
        <is>
          <t>x</t>
        </is>
      </c>
      <c r="AU833" t="inlineStr"/>
      <c r="AV833" t="inlineStr"/>
      <c r="AW833" t="inlineStr"/>
      <c r="AX833" t="inlineStr"/>
      <c r="AY833" t="inlineStr"/>
      <c r="AZ833" t="inlineStr"/>
      <c r="BA833" t="inlineStr"/>
      <c r="BB833" t="inlineStr"/>
      <c r="BC833" t="inlineStr"/>
      <c r="BD833" t="inlineStr"/>
      <c r="BE833" t="inlineStr"/>
      <c r="BF833" t="inlineStr"/>
      <c r="BG833" t="n">
        <v>110</v>
      </c>
      <c r="BH833" t="inlineStr"/>
      <c r="BI833" t="inlineStr"/>
      <c r="BJ833" t="inlineStr"/>
      <c r="BK833" t="inlineStr"/>
      <c r="BL833" t="inlineStr"/>
      <c r="BM833" t="inlineStr">
        <is>
          <t>n</t>
        </is>
      </c>
      <c r="BN833" t="n">
        <v>0</v>
      </c>
      <c r="BO833" t="inlineStr"/>
      <c r="BP833" t="inlineStr"/>
      <c r="BQ833" t="inlineStr"/>
      <c r="BR833" t="inlineStr">
        <is>
          <t>x</t>
        </is>
      </c>
      <c r="BS833" t="inlineStr"/>
      <c r="BT833" t="inlineStr"/>
      <c r="BU833" t="inlineStr"/>
      <c r="BV833" t="inlineStr"/>
      <c r="BW833" t="inlineStr">
        <is>
          <t>x 110</t>
        </is>
      </c>
      <c r="BX833" t="inlineStr"/>
      <c r="BY833" t="inlineStr"/>
      <c r="BZ833" t="inlineStr"/>
      <c r="CA833" t="inlineStr"/>
      <c r="CB833" t="inlineStr"/>
      <c r="CC833" t="inlineStr"/>
      <c r="CD833" t="inlineStr"/>
      <c r="CE833" t="inlineStr"/>
      <c r="CF833" t="inlineStr"/>
      <c r="CG833" t="inlineStr"/>
      <c r="CH833" t="inlineStr"/>
      <c r="CI833" t="inlineStr"/>
      <c r="CJ833" t="inlineStr"/>
      <c r="CK833" t="inlineStr"/>
      <c r="CL833" t="inlineStr"/>
      <c r="CM833" t="inlineStr"/>
      <c r="CN833" t="inlineStr"/>
      <c r="CO833" t="inlineStr"/>
      <c r="CP833" t="inlineStr"/>
      <c r="CQ833" t="inlineStr"/>
      <c r="CR833" t="inlineStr"/>
      <c r="CS833" t="inlineStr"/>
      <c r="CT833" t="inlineStr"/>
      <c r="CU833" t="inlineStr"/>
      <c r="CV833" t="inlineStr"/>
      <c r="CW833" t="inlineStr"/>
      <c r="CX833" t="inlineStr"/>
      <c r="CY833" t="inlineStr"/>
      <c r="CZ833" t="inlineStr"/>
      <c r="DA833" t="inlineStr"/>
      <c r="DB833" t="inlineStr"/>
      <c r="DC833" t="inlineStr"/>
      <c r="DD833" t="inlineStr"/>
      <c r="DE833" t="inlineStr"/>
      <c r="DF833" t="inlineStr"/>
      <c r="DG833" t="inlineStr"/>
    </row>
    <row r="834">
      <c r="A834" t="inlineStr">
        <is>
          <t>III</t>
        </is>
      </c>
      <c r="B834" t="b">
        <v>1</v>
      </c>
      <c r="C834" t="inlineStr"/>
      <c r="D834" t="inlineStr"/>
      <c r="E834" t="n">
        <v>937</v>
      </c>
      <c r="F834">
        <f>HYPERLINK("https://portal.dnb.de/opac.htm?method=simpleSearch&amp;cqlMode=true&amp;query=idn%3D1001684656", "Portal")</f>
        <v/>
      </c>
      <c r="G834" t="inlineStr">
        <is>
          <t>Aal</t>
        </is>
      </c>
      <c r="H834" t="inlineStr">
        <is>
          <t>L-1559-175394415</t>
        </is>
      </c>
      <c r="I834" t="inlineStr">
        <is>
          <t>1001684656</t>
        </is>
      </c>
      <c r="J834" t="inlineStr">
        <is>
          <t>III 95, 36a</t>
        </is>
      </c>
      <c r="K834" t="inlineStr">
        <is>
          <t>III 95, 36a</t>
        </is>
      </c>
      <c r="L834" t="inlineStr">
        <is>
          <t>III 95, 36 a</t>
        </is>
      </c>
      <c r="M834" t="inlineStr"/>
      <c r="N834" t="inlineStr">
        <is>
          <t>Ioannis Sleidani commentariorum de statu religionis et reipublicae, Carolo Quinto Caesare, libri 26 : una cum apologia ab ipso authore conscripta et i</t>
        </is>
      </c>
      <c r="O834" t="inlineStr">
        <is>
          <t xml:space="preserve"> : </t>
        </is>
      </c>
      <c r="P834" t="inlineStr"/>
      <c r="Q834" t="inlineStr">
        <is>
          <t>3.450,00 EUR</t>
        </is>
      </c>
      <c r="R834" t="inlineStr"/>
      <c r="S834" t="inlineStr">
        <is>
          <t>bis 25 cm</t>
        </is>
      </c>
      <c r="T834" t="inlineStr"/>
      <c r="U834" t="inlineStr"/>
      <c r="V834" t="inlineStr"/>
      <c r="W834" t="inlineStr"/>
      <c r="X834" t="inlineStr"/>
      <c r="Y834" t="inlineStr"/>
      <c r="Z834" t="inlineStr"/>
      <c r="AA834" t="inlineStr"/>
      <c r="AB834" t="inlineStr"/>
      <c r="AC834" t="inlineStr"/>
      <c r="AD834" t="inlineStr"/>
      <c r="AE834" t="inlineStr"/>
      <c r="AF834" t="inlineStr"/>
      <c r="AG834" t="inlineStr"/>
      <c r="AH834" t="inlineStr"/>
      <c r="AI834" t="inlineStr">
        <is>
          <t>L</t>
        </is>
      </c>
      <c r="AJ834" t="inlineStr"/>
      <c r="AK834" t="inlineStr"/>
      <c r="AL834" t="inlineStr"/>
      <c r="AM834" t="inlineStr">
        <is>
          <t>f</t>
        </is>
      </c>
      <c r="AN834" t="inlineStr"/>
      <c r="AO834" t="inlineStr"/>
      <c r="AP834" t="inlineStr"/>
      <c r="AQ834" t="inlineStr"/>
      <c r="AR834" t="inlineStr"/>
      <c r="AS834" t="inlineStr">
        <is>
          <t>Pa</t>
        </is>
      </c>
      <c r="AT834" t="inlineStr"/>
      <c r="AU834" t="inlineStr"/>
      <c r="AV834" t="inlineStr"/>
      <c r="AW834" t="inlineStr"/>
      <c r="AX834" t="inlineStr"/>
      <c r="AY834" t="inlineStr"/>
      <c r="AZ834" t="inlineStr"/>
      <c r="BA834" t="inlineStr"/>
      <c r="BB834" t="inlineStr"/>
      <c r="BC834" t="inlineStr"/>
      <c r="BD834" t="inlineStr"/>
      <c r="BE834" t="inlineStr"/>
      <c r="BF834" t="inlineStr"/>
      <c r="BG834" t="n">
        <v>60</v>
      </c>
      <c r="BH834" t="inlineStr"/>
      <c r="BI834" t="inlineStr"/>
      <c r="BJ834" t="inlineStr"/>
      <c r="BK834" t="inlineStr"/>
      <c r="BL834" t="inlineStr"/>
      <c r="BM834" t="inlineStr">
        <is>
          <t>n</t>
        </is>
      </c>
      <c r="BN834" t="n">
        <v>0</v>
      </c>
      <c r="BO834" t="inlineStr"/>
      <c r="BP834" t="inlineStr">
        <is>
          <t>Gewebe</t>
        </is>
      </c>
      <c r="BQ834" t="inlineStr"/>
      <c r="BR834" t="inlineStr"/>
      <c r="BS834" t="inlineStr"/>
      <c r="BT834" t="inlineStr"/>
      <c r="BU834" t="inlineStr"/>
      <c r="BV834" t="inlineStr"/>
      <c r="BW834" t="inlineStr"/>
      <c r="BX834" t="inlineStr"/>
      <c r="BY834" t="inlineStr"/>
      <c r="BZ834" t="inlineStr"/>
      <c r="CA834" t="inlineStr"/>
      <c r="CB834" t="inlineStr"/>
      <c r="CC834" t="inlineStr"/>
      <c r="CD834" t="inlineStr"/>
      <c r="CE834" t="inlineStr"/>
      <c r="CF834" t="inlineStr"/>
      <c r="CG834" t="inlineStr"/>
      <c r="CH834" t="inlineStr"/>
      <c r="CI834" t="inlineStr"/>
      <c r="CJ834" t="inlineStr"/>
      <c r="CK834" t="inlineStr"/>
      <c r="CL834" t="inlineStr"/>
      <c r="CM834" t="inlineStr"/>
      <c r="CN834" t="inlineStr"/>
      <c r="CO834" t="inlineStr"/>
      <c r="CP834" t="inlineStr"/>
      <c r="CQ834" t="inlineStr"/>
      <c r="CR834" t="inlineStr"/>
      <c r="CS834" t="inlineStr"/>
      <c r="CT834" t="inlineStr"/>
      <c r="CU834" t="inlineStr"/>
      <c r="CV834" t="inlineStr"/>
      <c r="CW834" t="inlineStr"/>
      <c r="CX834" t="inlineStr"/>
      <c r="CY834" t="inlineStr"/>
      <c r="CZ834" t="inlineStr"/>
      <c r="DA834" t="inlineStr"/>
      <c r="DB834" t="inlineStr"/>
      <c r="DC834" t="inlineStr"/>
      <c r="DD834" t="inlineStr"/>
      <c r="DE834" t="inlineStr"/>
      <c r="DF834" t="inlineStr"/>
      <c r="DG834" t="inlineStr"/>
    </row>
    <row r="835">
      <c r="A835" t="inlineStr">
        <is>
          <t>III</t>
        </is>
      </c>
      <c r="B835" t="b">
        <v>1</v>
      </c>
      <c r="C835" t="inlineStr">
        <is>
          <t>x</t>
        </is>
      </c>
      <c r="D835" t="inlineStr"/>
      <c r="E835" t="n">
        <v>906</v>
      </c>
      <c r="F835">
        <f>HYPERLINK("https://portal.dnb.de/opac.htm?method=simpleSearch&amp;cqlMode=true&amp;query=idn%3D1066842213", "Portal")</f>
        <v/>
      </c>
      <c r="G835" t="inlineStr">
        <is>
          <t>Aaf</t>
        </is>
      </c>
      <c r="H835" t="inlineStr">
        <is>
          <t>L-1538-315301953</t>
        </is>
      </c>
      <c r="I835" t="inlineStr">
        <is>
          <t>1066842213</t>
        </is>
      </c>
      <c r="J835" t="inlineStr">
        <is>
          <t>III 95, 37</t>
        </is>
      </c>
      <c r="K835" t="inlineStr">
        <is>
          <t>III 95, 37</t>
        </is>
      </c>
      <c r="L835" t="inlineStr">
        <is>
          <t>III 95, 37</t>
        </is>
      </c>
      <c r="M835" t="inlineStr"/>
      <c r="N835" t="inlineStr">
        <is>
          <t xml:space="preserve">DEr @Richterlich Clagspiegel.|| ... : </t>
        </is>
      </c>
      <c r="O835" t="inlineStr">
        <is>
          <t xml:space="preserve"> : </t>
        </is>
      </c>
      <c r="P835" t="inlineStr"/>
      <c r="Q835" t="inlineStr"/>
      <c r="R835" t="inlineStr"/>
      <c r="S835" t="inlineStr">
        <is>
          <t>bis 35 cm</t>
        </is>
      </c>
      <c r="T835" t="inlineStr"/>
      <c r="U835" t="inlineStr"/>
      <c r="V835" t="inlineStr"/>
      <c r="W835" t="inlineStr"/>
      <c r="X835" t="inlineStr"/>
      <c r="Y835" t="inlineStr"/>
      <c r="Z835" t="inlineStr"/>
      <c r="AA835" t="inlineStr"/>
      <c r="AB835" t="inlineStr"/>
      <c r="AC835" t="inlineStr"/>
      <c r="AD835" t="inlineStr"/>
      <c r="AE835" t="inlineStr"/>
      <c r="AF835" t="inlineStr"/>
      <c r="AG835" t="inlineStr"/>
      <c r="AH835" t="inlineStr"/>
      <c r="AI835" t="inlineStr">
        <is>
          <t>Pg</t>
        </is>
      </c>
      <c r="AJ835" t="inlineStr"/>
      <c r="AK835" t="inlineStr">
        <is>
          <t>x</t>
        </is>
      </c>
      <c r="AL835" t="inlineStr"/>
      <c r="AM835" t="inlineStr">
        <is>
          <t>h/E</t>
        </is>
      </c>
      <c r="AN835" t="inlineStr"/>
      <c r="AO835" t="inlineStr"/>
      <c r="AP835" t="inlineStr"/>
      <c r="AQ835" t="inlineStr"/>
      <c r="AR835" t="inlineStr"/>
      <c r="AS835" t="inlineStr">
        <is>
          <t>Pa</t>
        </is>
      </c>
      <c r="AT835" t="inlineStr"/>
      <c r="AU835" t="inlineStr"/>
      <c r="AV835" t="inlineStr"/>
      <c r="AW835" t="inlineStr"/>
      <c r="AX835" t="inlineStr"/>
      <c r="AY835" t="inlineStr"/>
      <c r="AZ835" t="inlineStr"/>
      <c r="BA835" t="inlineStr"/>
      <c r="BB835" t="inlineStr"/>
      <c r="BC835" t="inlineStr"/>
      <c r="BD835" t="inlineStr"/>
      <c r="BE835" t="inlineStr"/>
      <c r="BF835" t="inlineStr"/>
      <c r="BG835" t="n">
        <v>110</v>
      </c>
      <c r="BH835" t="inlineStr"/>
      <c r="BI835" t="inlineStr"/>
      <c r="BJ835" t="inlineStr"/>
      <c r="BK835" t="inlineStr"/>
      <c r="BL835" t="inlineStr"/>
      <c r="BM835" t="inlineStr">
        <is>
          <t>ja vor</t>
        </is>
      </c>
      <c r="BN835" t="n">
        <v>1</v>
      </c>
      <c r="BO835" t="inlineStr"/>
      <c r="BP835" t="inlineStr"/>
      <c r="BQ835" t="inlineStr"/>
      <c r="BR835" t="inlineStr">
        <is>
          <t>x</t>
        </is>
      </c>
      <c r="BS835" t="inlineStr"/>
      <c r="BT835" t="inlineStr"/>
      <c r="BU835" t="inlineStr"/>
      <c r="BV835" t="inlineStr"/>
      <c r="BW835" t="inlineStr"/>
      <c r="BX835" t="inlineStr"/>
      <c r="BY835" t="inlineStr"/>
      <c r="BZ835" t="inlineStr"/>
      <c r="CA835" t="inlineStr"/>
      <c r="CB835" t="inlineStr"/>
      <c r="CC835" t="inlineStr"/>
      <c r="CD835" t="inlineStr">
        <is>
          <t>v</t>
        </is>
      </c>
      <c r="CE835" t="inlineStr"/>
      <c r="CF835" t="inlineStr"/>
      <c r="CG835" t="inlineStr"/>
      <c r="CH835" t="inlineStr"/>
      <c r="CI835" t="inlineStr"/>
      <c r="CJ835" t="inlineStr"/>
      <c r="CK835" t="inlineStr"/>
      <c r="CL835" t="inlineStr"/>
      <c r="CM835" t="n">
        <v>1</v>
      </c>
      <c r="CN835" t="inlineStr">
        <is>
          <t>mit JP+Gewebe unterlegen</t>
        </is>
      </c>
      <c r="CO835" t="inlineStr"/>
      <c r="CP835" t="inlineStr"/>
      <c r="CQ835" t="inlineStr"/>
      <c r="CR835" t="inlineStr"/>
      <c r="CS835" t="inlineStr"/>
      <c r="CT835" t="inlineStr"/>
      <c r="CU835" t="inlineStr"/>
      <c r="CV835" t="inlineStr"/>
      <c r="CW835" t="inlineStr"/>
      <c r="CX835" t="inlineStr"/>
      <c r="CY835" t="inlineStr"/>
      <c r="CZ835" t="inlineStr"/>
      <c r="DA835" t="inlineStr"/>
      <c r="DB835" t="inlineStr"/>
      <c r="DC835" t="inlineStr"/>
      <c r="DD835" t="inlineStr"/>
      <c r="DE835" t="inlineStr"/>
      <c r="DF835" t="inlineStr"/>
      <c r="DG835" t="inlineStr"/>
    </row>
    <row r="836">
      <c r="A836" t="inlineStr">
        <is>
          <t>III</t>
        </is>
      </c>
      <c r="B836" t="b">
        <v>1</v>
      </c>
      <c r="C836" t="inlineStr"/>
      <c r="D836" t="inlineStr"/>
      <c r="E836" t="inlineStr"/>
      <c r="F836">
        <f>HYPERLINK("https://portal.dnb.de/opac.htm?method=simpleSearch&amp;cqlMode=true&amp;query=idn%3D1138244139", "Portal")</f>
        <v/>
      </c>
      <c r="G836" t="inlineStr">
        <is>
          <t>Qd</t>
        </is>
      </c>
      <c r="H836" t="inlineStr">
        <is>
          <t>L-9999-414748298</t>
        </is>
      </c>
      <c r="I836" t="inlineStr">
        <is>
          <t>1138244139</t>
        </is>
      </c>
      <c r="J836" t="inlineStr">
        <is>
          <t>III 95, 38</t>
        </is>
      </c>
      <c r="K836" t="inlineStr">
        <is>
          <t>III 95, 38</t>
        </is>
      </c>
      <c r="L836" t="inlineStr">
        <is>
          <t>III 95, 38</t>
        </is>
      </c>
      <c r="M836" t="inlineStr"/>
      <c r="N836" t="inlineStr">
        <is>
          <t xml:space="preserve">Sammelband : </t>
        </is>
      </c>
      <c r="O836" t="inlineStr">
        <is>
          <t xml:space="preserve"> : </t>
        </is>
      </c>
      <c r="P836" t="inlineStr"/>
      <c r="Q836" t="inlineStr"/>
      <c r="R836" t="inlineStr"/>
      <c r="S836" t="inlineStr">
        <is>
          <t>bis 25 cm</t>
        </is>
      </c>
      <c r="T836" t="inlineStr"/>
      <c r="U836" t="inlineStr"/>
      <c r="V836" t="inlineStr"/>
      <c r="W836" t="inlineStr"/>
      <c r="X836" t="inlineStr"/>
      <c r="Y836" t="inlineStr"/>
      <c r="Z836" t="inlineStr"/>
      <c r="AA836" t="inlineStr"/>
      <c r="AB836" t="inlineStr"/>
      <c r="AC836" t="inlineStr"/>
      <c r="AD836" t="inlineStr"/>
      <c r="AE836" t="inlineStr"/>
      <c r="AF836" t="inlineStr"/>
      <c r="AG836" t="inlineStr"/>
      <c r="AH836" t="inlineStr"/>
      <c r="AI836" t="inlineStr">
        <is>
          <t>HD</t>
        </is>
      </c>
      <c r="AJ836" t="inlineStr"/>
      <c r="AK836" t="inlineStr">
        <is>
          <t>x</t>
        </is>
      </c>
      <c r="AL836" t="inlineStr"/>
      <c r="AM836" t="inlineStr">
        <is>
          <t>h</t>
        </is>
      </c>
      <c r="AN836" t="inlineStr"/>
      <c r="AO836" t="inlineStr"/>
      <c r="AP836" t="inlineStr"/>
      <c r="AQ836" t="inlineStr"/>
      <c r="AR836" t="inlineStr"/>
      <c r="AS836" t="inlineStr">
        <is>
          <t>Pa</t>
        </is>
      </c>
      <c r="AT836" t="inlineStr"/>
      <c r="AU836" t="inlineStr"/>
      <c r="AV836" t="inlineStr"/>
      <c r="AW836" t="inlineStr"/>
      <c r="AX836" t="inlineStr"/>
      <c r="AY836" t="inlineStr"/>
      <c r="AZ836" t="inlineStr"/>
      <c r="BA836" t="inlineStr"/>
      <c r="BB836" t="inlineStr"/>
      <c r="BC836" t="inlineStr"/>
      <c r="BD836" t="inlineStr"/>
      <c r="BE836" t="inlineStr"/>
      <c r="BF836" t="inlineStr"/>
      <c r="BG836" t="n">
        <v>80</v>
      </c>
      <c r="BH836" t="inlineStr"/>
      <c r="BI836" t="inlineStr"/>
      <c r="BJ836" t="inlineStr"/>
      <c r="BK836" t="inlineStr"/>
      <c r="BL836" t="inlineStr"/>
      <c r="BM836" t="inlineStr">
        <is>
          <t>n</t>
        </is>
      </c>
      <c r="BN836" t="n">
        <v>0</v>
      </c>
      <c r="BO836" t="inlineStr"/>
      <c r="BP836" t="inlineStr"/>
      <c r="BQ836" t="inlineStr"/>
      <c r="BR836" t="inlineStr">
        <is>
          <t>x</t>
        </is>
      </c>
      <c r="BS836" t="inlineStr"/>
      <c r="BT836" t="inlineStr"/>
      <c r="BU836" t="inlineStr"/>
      <c r="BV836" t="inlineStr"/>
      <c r="BW836" t="inlineStr"/>
      <c r="BX836" t="inlineStr"/>
      <c r="BY836" t="inlineStr"/>
      <c r="BZ836" t="inlineStr"/>
      <c r="CA836" t="inlineStr"/>
      <c r="CB836" t="inlineStr"/>
      <c r="CC836" t="inlineStr"/>
      <c r="CD836" t="inlineStr"/>
      <c r="CE836" t="inlineStr"/>
      <c r="CF836" t="inlineStr"/>
      <c r="CG836" t="inlineStr"/>
      <c r="CH836" t="inlineStr"/>
      <c r="CI836" t="inlineStr"/>
      <c r="CJ836" t="inlineStr"/>
      <c r="CK836" t="inlineStr"/>
      <c r="CL836" t="inlineStr"/>
      <c r="CM836" t="inlineStr"/>
      <c r="CN836" t="inlineStr"/>
      <c r="CO836" t="inlineStr"/>
      <c r="CP836" t="inlineStr"/>
      <c r="CQ836" t="inlineStr"/>
      <c r="CR836" t="inlineStr"/>
      <c r="CS836" t="inlineStr"/>
      <c r="CT836" t="inlineStr"/>
      <c r="CU836" t="inlineStr"/>
      <c r="CV836" t="inlineStr"/>
      <c r="CW836" t="inlineStr"/>
      <c r="CX836" t="inlineStr"/>
      <c r="CY836" t="inlineStr"/>
      <c r="CZ836" t="inlineStr"/>
      <c r="DA836" t="inlineStr"/>
      <c r="DB836" t="inlineStr"/>
      <c r="DC836" t="inlineStr"/>
      <c r="DD836" t="inlineStr"/>
      <c r="DE836" t="inlineStr"/>
      <c r="DF836" t="inlineStr"/>
      <c r="DG836" t="inlineStr"/>
    </row>
    <row r="837">
      <c r="A837" t="inlineStr">
        <is>
          <t>III</t>
        </is>
      </c>
      <c r="B837" t="b">
        <v>1</v>
      </c>
      <c r="C837" t="inlineStr"/>
      <c r="D837" t="inlineStr"/>
      <c r="E837" t="n">
        <v>908</v>
      </c>
      <c r="F837">
        <f>HYPERLINK("https://portal.dnb.de/opac.htm?method=simpleSearch&amp;cqlMode=true&amp;query=idn%3D1066962901", "Portal")</f>
        <v/>
      </c>
      <c r="G837" t="inlineStr">
        <is>
          <t>Aaf</t>
        </is>
      </c>
      <c r="H837" t="inlineStr">
        <is>
          <t>L-1541-315493178</t>
        </is>
      </c>
      <c r="I837" t="inlineStr">
        <is>
          <t>1066962901</t>
        </is>
      </c>
      <c r="J837" t="inlineStr">
        <is>
          <t>III 95, 39</t>
        </is>
      </c>
      <c r="K837" t="inlineStr">
        <is>
          <t>III 95, 39</t>
        </is>
      </c>
      <c r="L837" t="inlineStr">
        <is>
          <t>III 95, 39</t>
        </is>
      </c>
      <c r="M837" t="inlineStr"/>
      <c r="N837" t="inlineStr">
        <is>
          <t>Valerius Maxi=||mus von geschichten der|| R#[oe]mer vnd aussers Volcks/ Per=||ser/ Medier/ Griechen/ Aphern/|| Flem̃ing vnd Teutschen ...|| Jtzunt von</t>
        </is>
      </c>
      <c r="O837" t="inlineStr">
        <is>
          <t xml:space="preserve"> : </t>
        </is>
      </c>
      <c r="P837" t="inlineStr"/>
      <c r="Q837" t="inlineStr"/>
      <c r="R837" t="inlineStr"/>
      <c r="S837" t="inlineStr">
        <is>
          <t>bis 35 cm</t>
        </is>
      </c>
      <c r="T837" t="inlineStr"/>
      <c r="U837" t="inlineStr"/>
      <c r="V837" t="inlineStr"/>
      <c r="W837" t="inlineStr"/>
      <c r="X837" t="inlineStr"/>
      <c r="Y837" t="inlineStr"/>
      <c r="Z837" t="inlineStr"/>
      <c r="AA837" t="inlineStr"/>
      <c r="AB837" t="inlineStr"/>
      <c r="AC837" t="inlineStr"/>
      <c r="AD837" t="inlineStr"/>
      <c r="AE837" t="inlineStr"/>
      <c r="AF837" t="inlineStr"/>
      <c r="AG837" t="inlineStr"/>
      <c r="AH837" t="inlineStr"/>
      <c r="AI837" t="inlineStr">
        <is>
          <t>G</t>
        </is>
      </c>
      <c r="AJ837" t="inlineStr"/>
      <c r="AK837" t="inlineStr">
        <is>
          <t>x</t>
        </is>
      </c>
      <c r="AL837" t="inlineStr"/>
      <c r="AM837" t="inlineStr">
        <is>
          <t>h/E</t>
        </is>
      </c>
      <c r="AN837" t="inlineStr"/>
      <c r="AO837" t="inlineStr"/>
      <c r="AP837" t="inlineStr"/>
      <c r="AQ837" t="inlineStr"/>
      <c r="AR837" t="inlineStr"/>
      <c r="AS837" t="inlineStr">
        <is>
          <t>Pa</t>
        </is>
      </c>
      <c r="AT837" t="inlineStr"/>
      <c r="AU837" t="inlineStr"/>
      <c r="AV837" t="inlineStr"/>
      <c r="AW837" t="inlineStr"/>
      <c r="AX837" t="inlineStr"/>
      <c r="AY837" t="inlineStr"/>
      <c r="AZ837" t="inlineStr"/>
      <c r="BA837" t="inlineStr"/>
      <c r="BB837" t="inlineStr"/>
      <c r="BC837" t="inlineStr"/>
      <c r="BD837" t="inlineStr"/>
      <c r="BE837" t="inlineStr"/>
      <c r="BF837" t="inlineStr"/>
      <c r="BG837" t="n">
        <v>110</v>
      </c>
      <c r="BH837" t="inlineStr"/>
      <c r="BI837" t="inlineStr"/>
      <c r="BJ837" t="inlineStr"/>
      <c r="BK837" t="inlineStr"/>
      <c r="BL837" t="inlineStr"/>
      <c r="BM837" t="inlineStr">
        <is>
          <t>n</t>
        </is>
      </c>
      <c r="BN837" t="n">
        <v>0</v>
      </c>
      <c r="BO837" t="inlineStr"/>
      <c r="BP837" t="inlineStr"/>
      <c r="BQ837" t="inlineStr"/>
      <c r="BR837" t="inlineStr">
        <is>
          <t>x</t>
        </is>
      </c>
      <c r="BS837" t="inlineStr"/>
      <c r="BT837" t="inlineStr"/>
      <c r="BU837" t="inlineStr"/>
      <c r="BV837" t="inlineStr"/>
      <c r="BW837" t="inlineStr"/>
      <c r="BX837" t="inlineStr"/>
      <c r="BY837" t="inlineStr"/>
      <c r="BZ837" t="inlineStr"/>
      <c r="CA837" t="inlineStr"/>
      <c r="CB837" t="inlineStr"/>
      <c r="CC837" t="inlineStr"/>
      <c r="CD837" t="inlineStr"/>
      <c r="CE837" t="inlineStr"/>
      <c r="CF837" t="inlineStr"/>
      <c r="CG837" t="inlineStr"/>
      <c r="CH837" t="inlineStr"/>
      <c r="CI837" t="inlineStr"/>
      <c r="CJ837" t="inlineStr"/>
      <c r="CK837" t="inlineStr"/>
      <c r="CL837" t="inlineStr"/>
      <c r="CM837" t="inlineStr"/>
      <c r="CN837" t="inlineStr"/>
      <c r="CO837" t="inlineStr"/>
      <c r="CP837" t="inlineStr"/>
      <c r="CQ837" t="inlineStr"/>
      <c r="CR837" t="inlineStr"/>
      <c r="CS837" t="inlineStr"/>
      <c r="CT837" t="inlineStr"/>
      <c r="CU837" t="inlineStr"/>
      <c r="CV837" t="inlineStr"/>
      <c r="CW837" t="inlineStr"/>
      <c r="CX837" t="inlineStr"/>
      <c r="CY837" t="inlineStr"/>
      <c r="CZ837" t="inlineStr"/>
      <c r="DA837" t="inlineStr"/>
      <c r="DB837" t="inlineStr"/>
      <c r="DC837" t="inlineStr"/>
      <c r="DD837" t="inlineStr"/>
      <c r="DE837" t="inlineStr"/>
      <c r="DF837" t="inlineStr"/>
      <c r="DG837" t="inlineStr"/>
    </row>
    <row r="838">
      <c r="A838" t="inlineStr">
        <is>
          <t>III</t>
        </is>
      </c>
      <c r="B838" t="b">
        <v>1</v>
      </c>
      <c r="C838" t="inlineStr"/>
      <c r="D838" t="inlineStr"/>
      <c r="E838" t="n">
        <v>909</v>
      </c>
      <c r="F838">
        <f>HYPERLINK("https://portal.dnb.de/opac.htm?method=simpleSearch&amp;cqlMode=true&amp;query=idn%3D1066964106", "Portal")</f>
        <v/>
      </c>
      <c r="G838" t="inlineStr">
        <is>
          <t>Aaf</t>
        </is>
      </c>
      <c r="H838" t="inlineStr">
        <is>
          <t>L-1538-315494328</t>
        </is>
      </c>
      <c r="I838" t="inlineStr">
        <is>
          <t>1066964106</t>
        </is>
      </c>
      <c r="J838" t="inlineStr">
        <is>
          <t>III 95, 40</t>
        </is>
      </c>
      <c r="K838" t="inlineStr">
        <is>
          <t>III 95, 40</t>
        </is>
      </c>
      <c r="L838" t="inlineStr">
        <is>
          <t>III 95, 40</t>
        </is>
      </c>
      <c r="M838" t="inlineStr"/>
      <c r="N838" t="inlineStr">
        <is>
          <t>Eine @trewe Warnung/|| Wie die b#[ae]pst allwegen wider die Teut||schen Keyser geweßt/ auff das kürtzest auß allen Chro=||nicken gezogen. K.M. fürzubr</t>
        </is>
      </c>
      <c r="O838" t="inlineStr">
        <is>
          <t xml:space="preserve"> : </t>
        </is>
      </c>
      <c r="P838" t="inlineStr"/>
      <c r="Q838" t="inlineStr"/>
      <c r="R838" t="inlineStr"/>
      <c r="S838" t="inlineStr">
        <is>
          <t>bis 25 cm</t>
        </is>
      </c>
      <c r="T838" t="inlineStr"/>
      <c r="U838" t="inlineStr"/>
      <c r="V838" t="inlineStr"/>
      <c r="W838" t="inlineStr"/>
      <c r="X838" t="inlineStr"/>
      <c r="Y838" t="inlineStr"/>
      <c r="Z838" t="inlineStr"/>
      <c r="AA838" t="inlineStr"/>
      <c r="AB838" t="inlineStr"/>
      <c r="AC838" t="inlineStr"/>
      <c r="AD838" t="inlineStr"/>
      <c r="AE838" t="inlineStr"/>
      <c r="AF838" t="inlineStr"/>
      <c r="AG838" t="inlineStr"/>
      <c r="AH838" t="inlineStr"/>
      <c r="AI838" t="inlineStr">
        <is>
          <t>G</t>
        </is>
      </c>
      <c r="AJ838" t="inlineStr"/>
      <c r="AK838" t="inlineStr">
        <is>
          <t>x</t>
        </is>
      </c>
      <c r="AL838" t="inlineStr"/>
      <c r="AM838" t="inlineStr">
        <is>
          <t>h/E</t>
        </is>
      </c>
      <c r="AN838" t="inlineStr"/>
      <c r="AO838" t="inlineStr"/>
      <c r="AP838" t="inlineStr"/>
      <c r="AQ838" t="inlineStr"/>
      <c r="AR838" t="inlineStr"/>
      <c r="AS838" t="inlineStr">
        <is>
          <t>Pa</t>
        </is>
      </c>
      <c r="AT838" t="inlineStr">
        <is>
          <t>x</t>
        </is>
      </c>
      <c r="AU838" t="inlineStr"/>
      <c r="AV838" t="inlineStr"/>
      <c r="AW838" t="inlineStr"/>
      <c r="AX838" t="inlineStr"/>
      <c r="AY838" t="inlineStr"/>
      <c r="AZ838" t="inlineStr"/>
      <c r="BA838" t="inlineStr"/>
      <c r="BB838" t="inlineStr"/>
      <c r="BC838" t="inlineStr"/>
      <c r="BD838" t="inlineStr"/>
      <c r="BE838" t="inlineStr"/>
      <c r="BF838" t="inlineStr"/>
      <c r="BG838" t="n">
        <v>110</v>
      </c>
      <c r="BH838" t="inlineStr"/>
      <c r="BI838" t="inlineStr"/>
      <c r="BJ838" t="inlineStr"/>
      <c r="BK838" t="inlineStr"/>
      <c r="BL838" t="inlineStr"/>
      <c r="BM838" t="inlineStr">
        <is>
          <t>n</t>
        </is>
      </c>
      <c r="BN838" t="n">
        <v>0</v>
      </c>
      <c r="BO838" t="inlineStr"/>
      <c r="BP838" t="inlineStr"/>
      <c r="BQ838" t="inlineStr"/>
      <c r="BR838" t="inlineStr"/>
      <c r="BS838" t="inlineStr"/>
      <c r="BT838" t="inlineStr"/>
      <c r="BU838" t="inlineStr"/>
      <c r="BV838" t="inlineStr"/>
      <c r="BW838" t="inlineStr"/>
      <c r="BX838" t="inlineStr"/>
      <c r="BY838" t="inlineStr"/>
      <c r="BZ838" t="inlineStr"/>
      <c r="CA838" t="inlineStr"/>
      <c r="CB838" t="inlineStr"/>
      <c r="CC838" t="inlineStr"/>
      <c r="CD838" t="inlineStr"/>
      <c r="CE838" t="inlineStr"/>
      <c r="CF838" t="inlineStr"/>
      <c r="CG838" t="inlineStr"/>
      <c r="CH838" t="inlineStr"/>
      <c r="CI838" t="inlineStr"/>
      <c r="CJ838" t="inlineStr"/>
      <c r="CK838" t="inlineStr"/>
      <c r="CL838" t="inlineStr"/>
      <c r="CM838" t="inlineStr"/>
      <c r="CN838" t="inlineStr"/>
      <c r="CO838" t="inlineStr"/>
      <c r="CP838" t="inlineStr"/>
      <c r="CQ838" t="inlineStr"/>
      <c r="CR838" t="inlineStr"/>
      <c r="CS838" t="inlineStr"/>
      <c r="CT838" t="inlineStr"/>
      <c r="CU838" t="inlineStr"/>
      <c r="CV838" t="inlineStr"/>
      <c r="CW838" t="inlineStr"/>
      <c r="CX838" t="inlineStr"/>
      <c r="CY838" t="inlineStr"/>
      <c r="CZ838" t="inlineStr"/>
      <c r="DA838" t="inlineStr"/>
      <c r="DB838" t="inlineStr"/>
      <c r="DC838" t="inlineStr"/>
      <c r="DD838" t="inlineStr"/>
      <c r="DE838" t="inlineStr"/>
      <c r="DF838" t="inlineStr"/>
      <c r="DG838" t="inlineStr"/>
    </row>
    <row r="839">
      <c r="A839" t="inlineStr">
        <is>
          <t>III</t>
        </is>
      </c>
      <c r="B839" t="b">
        <v>1</v>
      </c>
      <c r="C839" t="inlineStr"/>
      <c r="D839" t="inlineStr"/>
      <c r="E839" t="n">
        <v>910</v>
      </c>
      <c r="F839">
        <f>HYPERLINK("https://portal.dnb.de/opac.htm?method=simpleSearch&amp;cqlMode=true&amp;query=idn%3D1066960224", "Portal")</f>
        <v/>
      </c>
      <c r="G839" t="inlineStr">
        <is>
          <t>Aaf</t>
        </is>
      </c>
      <c r="H839" t="inlineStr">
        <is>
          <t>L-1540-31549073X</t>
        </is>
      </c>
      <c r="I839" t="inlineStr">
        <is>
          <t>1066960224</t>
        </is>
      </c>
      <c r="J839" t="inlineStr">
        <is>
          <t>III 95, 41</t>
        </is>
      </c>
      <c r="K839" t="inlineStr">
        <is>
          <t>III 95, 41</t>
        </is>
      </c>
      <c r="L839" t="inlineStr">
        <is>
          <t>III 95, 41</t>
        </is>
      </c>
      <c r="M839" t="inlineStr"/>
      <c r="N839" t="inlineStr">
        <is>
          <t xml:space="preserve">Die @alt vnd new Schel=||men Zunfft.|| Ein sch#[oe]ne Satyra// das ist// straffbüch||lein viler handt laster// die allenthalben in der welt : </t>
        </is>
      </c>
      <c r="O839" t="inlineStr">
        <is>
          <t xml:space="preserve"> : </t>
        </is>
      </c>
      <c r="P839" t="inlineStr"/>
      <c r="Q839" t="inlineStr"/>
      <c r="R839" t="inlineStr"/>
      <c r="S839" t="inlineStr">
        <is>
          <t>bis 25 cm</t>
        </is>
      </c>
      <c r="T839" t="inlineStr"/>
      <c r="U839" t="inlineStr"/>
      <c r="V839" t="inlineStr"/>
      <c r="W839" t="inlineStr"/>
      <c r="X839" t="inlineStr"/>
      <c r="Y839" t="inlineStr"/>
      <c r="Z839" t="inlineStr"/>
      <c r="AA839" t="inlineStr"/>
      <c r="AB839" t="inlineStr"/>
      <c r="AC839" t="inlineStr"/>
      <c r="AD839" t="inlineStr"/>
      <c r="AE839" t="inlineStr"/>
      <c r="AF839" t="inlineStr"/>
      <c r="AG839" t="inlineStr"/>
      <c r="AH839" t="inlineStr"/>
      <c r="AI839" t="inlineStr">
        <is>
          <t>L</t>
        </is>
      </c>
      <c r="AJ839" t="inlineStr"/>
      <c r="AK839" t="inlineStr">
        <is>
          <t>x</t>
        </is>
      </c>
      <c r="AL839" t="inlineStr"/>
      <c r="AM839" t="inlineStr">
        <is>
          <t>h/E</t>
        </is>
      </c>
      <c r="AN839" t="inlineStr"/>
      <c r="AO839" t="inlineStr"/>
      <c r="AP839" t="inlineStr"/>
      <c r="AQ839" t="inlineStr"/>
      <c r="AR839" t="inlineStr"/>
      <c r="AS839" t="inlineStr">
        <is>
          <t>Pa</t>
        </is>
      </c>
      <c r="AT839" t="inlineStr">
        <is>
          <t>x</t>
        </is>
      </c>
      <c r="AU839" t="inlineStr"/>
      <c r="AV839" t="inlineStr"/>
      <c r="AW839" t="inlineStr"/>
      <c r="AX839" t="inlineStr"/>
      <c r="AY839" t="inlineStr"/>
      <c r="AZ839" t="inlineStr"/>
      <c r="BA839" t="inlineStr"/>
      <c r="BB839" t="inlineStr"/>
      <c r="BC839" t="inlineStr"/>
      <c r="BD839" t="inlineStr"/>
      <c r="BE839" t="inlineStr"/>
      <c r="BF839" t="inlineStr"/>
      <c r="BG839" t="n">
        <v>110</v>
      </c>
      <c r="BH839" t="inlineStr"/>
      <c r="BI839" t="inlineStr"/>
      <c r="BJ839" t="inlineStr"/>
      <c r="BK839" t="inlineStr"/>
      <c r="BL839" t="inlineStr"/>
      <c r="BM839" t="inlineStr">
        <is>
          <t>n</t>
        </is>
      </c>
      <c r="BN839" t="n">
        <v>0</v>
      </c>
      <c r="BO839" t="inlineStr"/>
      <c r="BP839" t="inlineStr"/>
      <c r="BQ839" t="inlineStr"/>
      <c r="BR839" t="inlineStr">
        <is>
          <t>x</t>
        </is>
      </c>
      <c r="BS839" t="inlineStr"/>
      <c r="BT839" t="inlineStr"/>
      <c r="BU839" t="inlineStr"/>
      <c r="BV839" t="inlineStr"/>
      <c r="BW839" t="inlineStr"/>
      <c r="BX839" t="inlineStr"/>
      <c r="BY839" t="inlineStr"/>
      <c r="BZ839" t="inlineStr"/>
      <c r="CA839" t="inlineStr"/>
      <c r="CB839" t="inlineStr"/>
      <c r="CC839" t="inlineStr"/>
      <c r="CD839" t="inlineStr"/>
      <c r="CE839" t="inlineStr"/>
      <c r="CF839" t="inlineStr"/>
      <c r="CG839" t="inlineStr"/>
      <c r="CH839" t="inlineStr"/>
      <c r="CI839" t="inlineStr"/>
      <c r="CJ839" t="inlineStr"/>
      <c r="CK839" t="inlineStr"/>
      <c r="CL839" t="inlineStr"/>
      <c r="CM839" t="inlineStr"/>
      <c r="CN839" t="inlineStr"/>
      <c r="CO839" t="inlineStr"/>
      <c r="CP839" t="inlineStr"/>
      <c r="CQ839" t="inlineStr"/>
      <c r="CR839" t="inlineStr"/>
      <c r="CS839" t="inlineStr"/>
      <c r="CT839" t="inlineStr"/>
      <c r="CU839" t="inlineStr"/>
      <c r="CV839" t="inlineStr"/>
      <c r="CW839" t="inlineStr"/>
      <c r="CX839" t="inlineStr"/>
      <c r="CY839" t="inlineStr"/>
      <c r="CZ839" t="inlineStr"/>
      <c r="DA839" t="inlineStr"/>
      <c r="DB839" t="inlineStr"/>
      <c r="DC839" t="inlineStr"/>
      <c r="DD839" t="inlineStr"/>
      <c r="DE839" t="inlineStr"/>
      <c r="DF839" t="inlineStr"/>
      <c r="DG839" t="inlineStr"/>
    </row>
    <row r="840">
      <c r="A840" t="inlineStr">
        <is>
          <t>III</t>
        </is>
      </c>
      <c r="B840" t="b">
        <v>1</v>
      </c>
      <c r="C840" t="inlineStr"/>
      <c r="D840" t="inlineStr"/>
      <c r="E840" t="n">
        <v>911</v>
      </c>
      <c r="F840">
        <f>HYPERLINK("https://portal.dnb.de/opac.htm?method=simpleSearch&amp;cqlMode=true&amp;query=idn%3D1066957703", "Portal")</f>
        <v/>
      </c>
      <c r="G840" t="inlineStr">
        <is>
          <t>Aaf</t>
        </is>
      </c>
      <c r="H840" t="inlineStr">
        <is>
          <t>L-1545-315488328</t>
        </is>
      </c>
      <c r="I840" t="inlineStr">
        <is>
          <t>1066957703</t>
        </is>
      </c>
      <c r="J840" t="inlineStr">
        <is>
          <t>III 95, 42</t>
        </is>
      </c>
      <c r="K840" t="inlineStr">
        <is>
          <t>III 95, 42</t>
        </is>
      </c>
      <c r="L840" t="inlineStr">
        <is>
          <t>III 95, 42</t>
        </is>
      </c>
      <c r="M840" t="inlineStr"/>
      <c r="N840" t="inlineStr">
        <is>
          <t xml:space="preserve">WJder das Ba~b||stu~m zu Rom vom : </t>
        </is>
      </c>
      <c r="O840" t="inlineStr">
        <is>
          <t xml:space="preserve"> : </t>
        </is>
      </c>
      <c r="P840" t="inlineStr"/>
      <c r="Q840" t="inlineStr"/>
      <c r="R840" t="inlineStr"/>
      <c r="S840" t="inlineStr">
        <is>
          <t>bis 25 cm</t>
        </is>
      </c>
      <c r="T840" t="inlineStr"/>
      <c r="U840" t="inlineStr"/>
      <c r="V840" t="inlineStr"/>
      <c r="W840" t="inlineStr"/>
      <c r="X840" t="inlineStr"/>
      <c r="Y840" t="inlineStr"/>
      <c r="Z840" t="inlineStr"/>
      <c r="AA840" t="inlineStr"/>
      <c r="AB840" t="inlineStr"/>
      <c r="AC840" t="inlineStr"/>
      <c r="AD840" t="inlineStr"/>
      <c r="AE840" t="inlineStr"/>
      <c r="AF840" t="inlineStr"/>
      <c r="AG840" t="inlineStr"/>
      <c r="AH840" t="inlineStr"/>
      <c r="AI840" t="inlineStr">
        <is>
          <t>Pg</t>
        </is>
      </c>
      <c r="AJ840" t="inlineStr"/>
      <c r="AK840" t="inlineStr">
        <is>
          <t>x</t>
        </is>
      </c>
      <c r="AL840" t="inlineStr"/>
      <c r="AM840" t="inlineStr">
        <is>
          <t>h/E</t>
        </is>
      </c>
      <c r="AN840" t="inlineStr"/>
      <c r="AO840" t="inlineStr"/>
      <c r="AP840" t="inlineStr"/>
      <c r="AQ840" t="inlineStr"/>
      <c r="AR840" t="inlineStr"/>
      <c r="AS840" t="inlineStr">
        <is>
          <t>Pa</t>
        </is>
      </c>
      <c r="AT840" t="inlineStr"/>
      <c r="AU840" t="inlineStr"/>
      <c r="AV840" t="inlineStr"/>
      <c r="AW840" t="inlineStr"/>
      <c r="AX840" t="inlineStr"/>
      <c r="AY840" t="inlineStr"/>
      <c r="AZ840" t="inlineStr"/>
      <c r="BA840" t="inlineStr"/>
      <c r="BB840" t="inlineStr"/>
      <c r="BC840" t="inlineStr"/>
      <c r="BD840" t="inlineStr"/>
      <c r="BE840" t="inlineStr"/>
      <c r="BF840" t="inlineStr"/>
      <c r="BG840" t="n">
        <v>110</v>
      </c>
      <c r="BH840" t="inlineStr"/>
      <c r="BI840" t="inlineStr"/>
      <c r="BJ840" t="inlineStr"/>
      <c r="BK840" t="inlineStr"/>
      <c r="BL840" t="inlineStr"/>
      <c r="BM840" t="inlineStr">
        <is>
          <t>n</t>
        </is>
      </c>
      <c r="BN840" t="n">
        <v>0</v>
      </c>
      <c r="BO840" t="inlineStr"/>
      <c r="BP840" t="inlineStr"/>
      <c r="BQ840" t="inlineStr"/>
      <c r="BR840" t="inlineStr">
        <is>
          <t>x</t>
        </is>
      </c>
      <c r="BS840" t="inlineStr"/>
      <c r="BT840" t="inlineStr"/>
      <c r="BU840" t="inlineStr"/>
      <c r="BV840" t="inlineStr"/>
      <c r="BW840" t="inlineStr"/>
      <c r="BX840" t="inlineStr"/>
      <c r="BY840" t="inlineStr"/>
      <c r="BZ840" t="inlineStr"/>
      <c r="CA840" t="inlineStr"/>
      <c r="CB840" t="inlineStr"/>
      <c r="CC840" t="inlineStr"/>
      <c r="CD840" t="inlineStr"/>
      <c r="CE840" t="inlineStr"/>
      <c r="CF840" t="inlineStr"/>
      <c r="CG840" t="inlineStr"/>
      <c r="CH840" t="inlineStr"/>
      <c r="CI840" t="inlineStr"/>
      <c r="CJ840" t="inlineStr"/>
      <c r="CK840" t="inlineStr"/>
      <c r="CL840" t="inlineStr"/>
      <c r="CM840" t="inlineStr"/>
      <c r="CN840" t="inlineStr"/>
      <c r="CO840" t="inlineStr"/>
      <c r="CP840" t="inlineStr"/>
      <c r="CQ840" t="inlineStr"/>
      <c r="CR840" t="inlineStr"/>
      <c r="CS840" t="inlineStr"/>
      <c r="CT840" t="inlineStr"/>
      <c r="CU840" t="inlineStr"/>
      <c r="CV840" t="inlineStr"/>
      <c r="CW840" t="inlineStr"/>
      <c r="CX840" t="inlineStr"/>
      <c r="CY840" t="inlineStr"/>
      <c r="CZ840" t="inlineStr"/>
      <c r="DA840" t="inlineStr"/>
      <c r="DB840" t="inlineStr"/>
      <c r="DC840" t="inlineStr"/>
      <c r="DD840" t="inlineStr"/>
      <c r="DE840" t="inlineStr"/>
      <c r="DF840" t="inlineStr"/>
      <c r="DG840" t="inlineStr"/>
    </row>
    <row r="841">
      <c r="A841" t="inlineStr">
        <is>
          <t>III</t>
        </is>
      </c>
      <c r="B841" t="b">
        <v>1</v>
      </c>
      <c r="C841" t="inlineStr">
        <is>
          <t>x</t>
        </is>
      </c>
      <c r="D841" t="inlineStr"/>
      <c r="E841" t="n">
        <v>912</v>
      </c>
      <c r="F841">
        <f>HYPERLINK("https://portal.dnb.de/opac.htm?method=simpleSearch&amp;cqlMode=true&amp;query=idn%3D1066960437", "Portal")</f>
        <v/>
      </c>
      <c r="G841" t="inlineStr">
        <is>
          <t>Aaf</t>
        </is>
      </c>
      <c r="H841" t="inlineStr">
        <is>
          <t>L-1522-315490918</t>
        </is>
      </c>
      <c r="I841" t="inlineStr">
        <is>
          <t>1066960437</t>
        </is>
      </c>
      <c r="J841" t="inlineStr">
        <is>
          <t>III 95, 43</t>
        </is>
      </c>
      <c r="K841" t="inlineStr">
        <is>
          <t>III 95, 43</t>
        </is>
      </c>
      <c r="L841" t="inlineStr">
        <is>
          <t>III 95, 43</t>
        </is>
      </c>
      <c r="M841" t="inlineStr"/>
      <c r="N841" t="inlineStr">
        <is>
          <t>QVOD|| EXPEDIAT EPISTOLAE|| et Euangelij lectionem in Mis=||sa, uernaculo sermone plebi|| promulgari, Oecolampa||dij ad Hedionem|| Epistola.|| ...|| :</t>
        </is>
      </c>
      <c r="O841" t="inlineStr">
        <is>
          <t xml:space="preserve"> : </t>
        </is>
      </c>
      <c r="P841" t="inlineStr"/>
      <c r="Q841" t="inlineStr"/>
      <c r="R841" t="inlineStr"/>
      <c r="S841" t="inlineStr">
        <is>
          <t>bis 25 cm</t>
        </is>
      </c>
      <c r="T841" t="inlineStr"/>
      <c r="U841" t="inlineStr"/>
      <c r="V841" t="inlineStr"/>
      <c r="W841" t="inlineStr"/>
      <c r="X841" t="inlineStr"/>
      <c r="Y841" t="inlineStr"/>
      <c r="Z841" t="inlineStr"/>
      <c r="AA841" t="inlineStr"/>
      <c r="AB841" t="inlineStr"/>
      <c r="AC841" t="inlineStr"/>
      <c r="AD841" t="inlineStr"/>
      <c r="AE841" t="inlineStr"/>
      <c r="AF841" t="inlineStr"/>
      <c r="AG841" t="inlineStr"/>
      <c r="AH841" t="inlineStr">
        <is>
          <t>x</t>
        </is>
      </c>
      <c r="AI841" t="inlineStr">
        <is>
          <t>Pa</t>
        </is>
      </c>
      <c r="AJ841" t="inlineStr"/>
      <c r="AK841" t="inlineStr"/>
      <c r="AL841" t="inlineStr"/>
      <c r="AM841" t="inlineStr">
        <is>
          <t>h</t>
        </is>
      </c>
      <c r="AN841" t="inlineStr"/>
      <c r="AO841" t="inlineStr"/>
      <c r="AP841" t="inlineStr"/>
      <c r="AQ841" t="inlineStr"/>
      <c r="AR841" t="inlineStr"/>
      <c r="AS841" t="inlineStr">
        <is>
          <t>Pa</t>
        </is>
      </c>
      <c r="AT841" t="inlineStr"/>
      <c r="AU841" t="inlineStr"/>
      <c r="AV841" t="inlineStr"/>
      <c r="AW841" t="inlineStr"/>
      <c r="AX841" t="inlineStr"/>
      <c r="AY841" t="inlineStr"/>
      <c r="AZ841" t="inlineStr"/>
      <c r="BA841" t="inlineStr"/>
      <c r="BB841" t="inlineStr"/>
      <c r="BC841" t="inlineStr"/>
      <c r="BD841" t="inlineStr"/>
      <c r="BE841" t="inlineStr"/>
      <c r="BF841" t="inlineStr"/>
      <c r="BG841" t="n">
        <v>110</v>
      </c>
      <c r="BH841" t="inlineStr"/>
      <c r="BI841" t="inlineStr"/>
      <c r="BJ841" t="inlineStr"/>
      <c r="BK841" t="inlineStr"/>
      <c r="BL841" t="inlineStr"/>
      <c r="BM841" t="inlineStr">
        <is>
          <t>ja vor</t>
        </is>
      </c>
      <c r="BN841" t="n">
        <v>1</v>
      </c>
      <c r="BO841" t="inlineStr"/>
      <c r="BP841" t="inlineStr"/>
      <c r="BQ841" t="inlineStr"/>
      <c r="BR841" t="inlineStr"/>
      <c r="BS841" t="inlineStr"/>
      <c r="BT841" t="inlineStr"/>
      <c r="BU841" t="inlineStr"/>
      <c r="BV841" t="inlineStr"/>
      <c r="BW841" t="inlineStr">
        <is>
          <t>x 110</t>
        </is>
      </c>
      <c r="BX841" t="inlineStr"/>
      <c r="BY841" t="inlineStr"/>
      <c r="BZ841" t="inlineStr"/>
      <c r="CA841" t="inlineStr"/>
      <c r="CB841" t="inlineStr">
        <is>
          <t>x</t>
        </is>
      </c>
      <c r="CC841" t="inlineStr"/>
      <c r="CD841" t="inlineStr">
        <is>
          <t>v</t>
        </is>
      </c>
      <c r="CE841" t="inlineStr"/>
      <c r="CF841" t="inlineStr"/>
      <c r="CG841" t="inlineStr"/>
      <c r="CH841" t="inlineStr"/>
      <c r="CI841" t="inlineStr"/>
      <c r="CJ841" t="inlineStr"/>
      <c r="CK841" t="inlineStr"/>
      <c r="CL841" t="inlineStr"/>
      <c r="CM841" t="n">
        <v>1</v>
      </c>
      <c r="CN841" t="inlineStr"/>
      <c r="CO841" t="inlineStr"/>
      <c r="CP841" t="inlineStr"/>
      <c r="CQ841" t="inlineStr"/>
      <c r="CR841" t="inlineStr"/>
      <c r="CS841" t="inlineStr"/>
      <c r="CT841" t="inlineStr"/>
      <c r="CU841" t="inlineStr"/>
      <c r="CV841" t="inlineStr"/>
      <c r="CW841" t="inlineStr"/>
      <c r="CX841" t="inlineStr"/>
      <c r="CY841" t="inlineStr"/>
      <c r="CZ841" t="inlineStr"/>
      <c r="DA841" t="inlineStr"/>
      <c r="DB841" t="inlineStr"/>
      <c r="DC841" t="inlineStr"/>
      <c r="DD841" t="inlineStr"/>
      <c r="DE841" t="inlineStr"/>
      <c r="DF841" t="inlineStr"/>
      <c r="DG841" t="inlineStr"/>
    </row>
    <row r="842">
      <c r="A842" t="inlineStr">
        <is>
          <t>III</t>
        </is>
      </c>
      <c r="B842" t="b">
        <v>1</v>
      </c>
      <c r="C842" t="inlineStr"/>
      <c r="D842" t="inlineStr"/>
      <c r="E842" t="n">
        <v>913</v>
      </c>
      <c r="F842">
        <f>HYPERLINK("https://portal.dnb.de/opac.htm?method=simpleSearch&amp;cqlMode=true&amp;query=idn%3D99701475X", "Portal")</f>
        <v/>
      </c>
      <c r="G842" t="inlineStr">
        <is>
          <t>Aal</t>
        </is>
      </c>
      <c r="H842" t="inlineStr">
        <is>
          <t>L-1545-163209340</t>
        </is>
      </c>
      <c r="I842" t="inlineStr">
        <is>
          <t>99701475X</t>
        </is>
      </c>
      <c r="J842" t="inlineStr">
        <is>
          <t>III 95, 44</t>
        </is>
      </c>
      <c r="K842" t="inlineStr">
        <is>
          <t>III 95, 44</t>
        </is>
      </c>
      <c r="L842" t="inlineStr">
        <is>
          <t>III 95, 44</t>
        </is>
      </c>
      <c r="M842" t="inlineStr"/>
      <c r="N842" t="inlineStr">
        <is>
          <t>CHRONICA|| der Alten Christ||lichen Kirchen.|| j. Hystoria Ecclesiastica Euse||bij Pamphili Caesariensis xj. Bücher.||.ij. Hystoria Ecclesiastica Tri=</t>
        </is>
      </c>
      <c r="O842" t="inlineStr">
        <is>
          <t xml:space="preserve"> : </t>
        </is>
      </c>
      <c r="P842" t="inlineStr"/>
      <c r="Q842" t="inlineStr"/>
      <c r="R842" t="inlineStr"/>
      <c r="S842" t="inlineStr">
        <is>
          <t>bis 35 cm</t>
        </is>
      </c>
      <c r="T842" t="inlineStr"/>
      <c r="U842" t="inlineStr"/>
      <c r="V842" t="inlineStr"/>
      <c r="W842" t="inlineStr"/>
      <c r="X842" t="inlineStr"/>
      <c r="Y842" t="inlineStr"/>
      <c r="Z842" t="inlineStr"/>
      <c r="AA842" t="inlineStr"/>
      <c r="AB842" t="inlineStr"/>
      <c r="AC842" t="inlineStr"/>
      <c r="AD842" t="inlineStr"/>
      <c r="AE842" t="inlineStr"/>
      <c r="AF842" t="inlineStr"/>
      <c r="AG842" t="inlineStr"/>
      <c r="AH842" t="inlineStr"/>
      <c r="AI842" t="inlineStr">
        <is>
          <t>HD</t>
        </is>
      </c>
      <c r="AJ842" t="inlineStr"/>
      <c r="AK842" t="inlineStr"/>
      <c r="AL842" t="inlineStr">
        <is>
          <t>x</t>
        </is>
      </c>
      <c r="AM842" t="inlineStr">
        <is>
          <t>f</t>
        </is>
      </c>
      <c r="AN842" t="inlineStr"/>
      <c r="AO842" t="inlineStr"/>
      <c r="AP842" t="inlineStr"/>
      <c r="AQ842" t="inlineStr"/>
      <c r="AR842" t="inlineStr"/>
      <c r="AS842" t="inlineStr">
        <is>
          <t>Pa</t>
        </is>
      </c>
      <c r="AT842" t="inlineStr"/>
      <c r="AU842" t="inlineStr"/>
      <c r="AV842" t="inlineStr"/>
      <c r="AW842" t="inlineStr"/>
      <c r="AX842" t="inlineStr">
        <is>
          <t>x</t>
        </is>
      </c>
      <c r="AY842" t="inlineStr"/>
      <c r="AZ842" t="inlineStr"/>
      <c r="BA842" t="inlineStr"/>
      <c r="BB842" t="inlineStr"/>
      <c r="BC842" t="inlineStr"/>
      <c r="BD842" t="inlineStr"/>
      <c r="BE842" t="n">
        <v>0</v>
      </c>
      <c r="BF842" t="inlineStr">
        <is>
          <t>x</t>
        </is>
      </c>
      <c r="BG842" t="n">
        <v>110</v>
      </c>
      <c r="BH842" t="inlineStr"/>
      <c r="BI842" t="inlineStr"/>
      <c r="BJ842" t="inlineStr"/>
      <c r="BK842" t="inlineStr"/>
      <c r="BL842" t="inlineStr"/>
      <c r="BM842" t="inlineStr">
        <is>
          <t>n</t>
        </is>
      </c>
      <c r="BN842" t="n">
        <v>0</v>
      </c>
      <c r="BO842" t="inlineStr"/>
      <c r="BP842" t="inlineStr">
        <is>
          <t>Gewebe</t>
        </is>
      </c>
      <c r="BQ842" t="inlineStr"/>
      <c r="BR842" t="inlineStr"/>
      <c r="BS842" t="inlineStr"/>
      <c r="BT842" t="inlineStr"/>
      <c r="BU842" t="inlineStr"/>
      <c r="BV842" t="inlineStr"/>
      <c r="BW842" t="inlineStr">
        <is>
          <t>x 110</t>
        </is>
      </c>
      <c r="BX842" t="inlineStr"/>
      <c r="BY842" t="inlineStr"/>
      <c r="BZ842" t="inlineStr"/>
      <c r="CA842" t="inlineStr"/>
      <c r="CB842" t="inlineStr"/>
      <c r="CC842" t="inlineStr"/>
      <c r="CD842" t="inlineStr"/>
      <c r="CE842" t="inlineStr"/>
      <c r="CF842" t="inlineStr"/>
      <c r="CG842" t="inlineStr"/>
      <c r="CH842" t="inlineStr"/>
      <c r="CI842" t="inlineStr"/>
      <c r="CJ842" t="inlineStr"/>
      <c r="CK842" t="inlineStr"/>
      <c r="CL842" t="inlineStr"/>
      <c r="CM842" t="inlineStr"/>
      <c r="CN842" t="inlineStr"/>
      <c r="CO842" t="inlineStr"/>
      <c r="CP842" t="inlineStr"/>
      <c r="CQ842" t="inlineStr"/>
      <c r="CR842" t="inlineStr"/>
      <c r="CS842" t="inlineStr"/>
      <c r="CT842" t="inlineStr"/>
      <c r="CU842" t="inlineStr"/>
      <c r="CV842" t="inlineStr"/>
      <c r="CW842" t="inlineStr"/>
      <c r="CX842" t="inlineStr"/>
      <c r="CY842" t="inlineStr"/>
      <c r="CZ842" t="inlineStr"/>
      <c r="DA842" t="inlineStr"/>
      <c r="DB842" t="inlineStr"/>
      <c r="DC842" t="inlineStr"/>
      <c r="DD842" t="inlineStr"/>
      <c r="DE842" t="inlineStr"/>
      <c r="DF842" t="inlineStr"/>
      <c r="DG842" t="inlineStr"/>
    </row>
    <row r="843">
      <c r="A843" t="inlineStr">
        <is>
          <t>III</t>
        </is>
      </c>
      <c r="B843" t="b">
        <v>1</v>
      </c>
      <c r="C843" t="inlineStr"/>
      <c r="D843" t="inlineStr"/>
      <c r="E843" t="n">
        <v>939</v>
      </c>
      <c r="F843">
        <f>HYPERLINK("https://portal.dnb.de/opac.htm?method=simpleSearch&amp;cqlMode=true&amp;query=idn%3D1066942102", "Portal")</f>
        <v/>
      </c>
      <c r="G843" t="inlineStr">
        <is>
          <t>Aaf</t>
        </is>
      </c>
      <c r="H843" t="inlineStr">
        <is>
          <t>L-1521-315469749</t>
        </is>
      </c>
      <c r="I843" t="inlineStr">
        <is>
          <t>1066942102</t>
        </is>
      </c>
      <c r="J843" t="inlineStr">
        <is>
          <t>III 96, 1</t>
        </is>
      </c>
      <c r="K843" t="inlineStr">
        <is>
          <t>III 96, 1</t>
        </is>
      </c>
      <c r="L843" t="inlineStr">
        <is>
          <t>III 96, 1</t>
        </is>
      </c>
      <c r="M843" t="inlineStr"/>
      <c r="N843" t="inlineStr">
        <is>
          <t xml:space="preserve">Opvs Merlini Cocaii Poete Mantuani Macaronicorum : </t>
        </is>
      </c>
      <c r="O843" t="inlineStr">
        <is>
          <t xml:space="preserve"> : </t>
        </is>
      </c>
      <c r="P843" t="inlineStr"/>
      <c r="Q843" t="inlineStr"/>
      <c r="R843" t="inlineStr"/>
      <c r="S843" t="inlineStr">
        <is>
          <t>bis 25 cm</t>
        </is>
      </c>
      <c r="T843" t="inlineStr"/>
      <c r="U843" t="inlineStr"/>
      <c r="V843" t="inlineStr"/>
      <c r="W843" t="inlineStr"/>
      <c r="X843" t="inlineStr"/>
      <c r="Y843" t="inlineStr"/>
      <c r="Z843" t="inlineStr"/>
      <c r="AA843" t="inlineStr"/>
      <c r="AB843" t="inlineStr"/>
      <c r="AC843" t="inlineStr"/>
      <c r="AD843" t="inlineStr"/>
      <c r="AE843" t="inlineStr"/>
      <c r="AF843" t="inlineStr"/>
      <c r="AG843" t="inlineStr"/>
      <c r="AH843" t="inlineStr">
        <is>
          <t>x</t>
        </is>
      </c>
      <c r="AI843" t="inlineStr">
        <is>
          <t>L</t>
        </is>
      </c>
      <c r="AJ843" t="inlineStr"/>
      <c r="AK843" t="inlineStr"/>
      <c r="AL843" t="inlineStr"/>
      <c r="AM843" t="inlineStr">
        <is>
          <t>f/V</t>
        </is>
      </c>
      <c r="AN843" t="inlineStr"/>
      <c r="AO843" t="inlineStr"/>
      <c r="AP843" t="inlineStr"/>
      <c r="AQ843" t="inlineStr"/>
      <c r="AR843" t="inlineStr"/>
      <c r="AS843" t="inlineStr">
        <is>
          <t>Pa</t>
        </is>
      </c>
      <c r="AT843" t="inlineStr"/>
      <c r="AU843" t="inlineStr"/>
      <c r="AV843" t="inlineStr"/>
      <c r="AW843" t="inlineStr"/>
      <c r="AX843" t="inlineStr"/>
      <c r="AY843" t="inlineStr"/>
      <c r="AZ843" t="inlineStr"/>
      <c r="BA843" t="inlineStr"/>
      <c r="BB843" t="inlineStr"/>
      <c r="BC843" t="inlineStr"/>
      <c r="BD843" t="inlineStr"/>
      <c r="BE843" t="n">
        <v>2</v>
      </c>
      <c r="BF843" t="inlineStr">
        <is>
          <t>x</t>
        </is>
      </c>
      <c r="BG843" t="n">
        <v>60</v>
      </c>
      <c r="BH843" t="inlineStr"/>
      <c r="BI843" t="inlineStr"/>
      <c r="BJ843" t="inlineStr"/>
      <c r="BK843" t="inlineStr"/>
      <c r="BL843" t="inlineStr"/>
      <c r="BM843" t="inlineStr">
        <is>
          <t>n</t>
        </is>
      </c>
      <c r="BN843" t="n">
        <v>0</v>
      </c>
      <c r="BO843" t="inlineStr"/>
      <c r="BP843" t="inlineStr"/>
      <c r="BQ843" t="inlineStr"/>
      <c r="BR843" t="inlineStr">
        <is>
          <t>x</t>
        </is>
      </c>
      <c r="BS843" t="inlineStr"/>
      <c r="BT843" t="inlineStr"/>
      <c r="BU843" t="inlineStr"/>
      <c r="BV843" t="inlineStr"/>
      <c r="BW843" t="inlineStr"/>
      <c r="BX843" t="inlineStr"/>
      <c r="BY843" t="inlineStr"/>
      <c r="BZ843" t="inlineStr"/>
      <c r="CA843" t="inlineStr"/>
      <c r="CB843" t="inlineStr"/>
      <c r="CC843" t="inlineStr"/>
      <c r="CD843" t="inlineStr"/>
      <c r="CE843" t="inlineStr"/>
      <c r="CF843" t="inlineStr"/>
      <c r="CG843" t="inlineStr"/>
      <c r="CH843" t="inlineStr"/>
      <c r="CI843" t="inlineStr"/>
      <c r="CJ843" t="inlineStr"/>
      <c r="CK843" t="inlineStr"/>
      <c r="CL843" t="inlineStr"/>
      <c r="CM843" t="inlineStr"/>
      <c r="CN843" t="inlineStr"/>
      <c r="CO843" t="inlineStr"/>
      <c r="CP843" t="inlineStr"/>
      <c r="CQ843" t="inlineStr"/>
      <c r="CR843" t="inlineStr"/>
      <c r="CS843" t="inlineStr"/>
      <c r="CT843" t="inlineStr"/>
      <c r="CU843" t="inlineStr"/>
      <c r="CV843" t="inlineStr"/>
      <c r="CW843" t="inlineStr"/>
      <c r="CX843" t="inlineStr"/>
      <c r="CY843" t="inlineStr"/>
      <c r="CZ843" t="inlineStr"/>
      <c r="DA843" t="inlineStr"/>
      <c r="DB843" t="inlineStr"/>
      <c r="DC843" t="inlineStr"/>
      <c r="DD843" t="inlineStr"/>
      <c r="DE843" t="inlineStr"/>
      <c r="DF843" t="inlineStr"/>
      <c r="DG843" t="inlineStr"/>
    </row>
    <row r="844">
      <c r="A844" t="inlineStr">
        <is>
          <t>III</t>
        </is>
      </c>
      <c r="B844" t="b">
        <v>1</v>
      </c>
      <c r="C844" t="inlineStr"/>
      <c r="D844" t="inlineStr"/>
      <c r="E844" t="n">
        <v>940</v>
      </c>
      <c r="F844">
        <f>HYPERLINK("https://portal.dnb.de/opac.htm?method=simpleSearch&amp;cqlMode=true&amp;query=idn%3D1002571936", "Portal")</f>
        <v/>
      </c>
      <c r="G844" t="inlineStr">
        <is>
          <t>Aal</t>
        </is>
      </c>
      <c r="H844" t="inlineStr">
        <is>
          <t>L-1532-177606290</t>
        </is>
      </c>
      <c r="I844" t="inlineStr">
        <is>
          <t>1002571936</t>
        </is>
      </c>
      <c r="J844" t="inlineStr">
        <is>
          <t>III 96, 2</t>
        </is>
      </c>
      <c r="K844" t="inlineStr">
        <is>
          <t>III 96, 2</t>
        </is>
      </c>
      <c r="L844" t="inlineStr">
        <is>
          <t>III 96, 2</t>
        </is>
      </c>
      <c r="M844" t="inlineStr"/>
      <c r="N844" t="inlineStr">
        <is>
          <t xml:space="preserve">Synodia|| vgonia|| episcopi|| Phamavgv=||stani|| De conciliis : </t>
        </is>
      </c>
      <c r="O844" t="inlineStr">
        <is>
          <t xml:space="preserve"> : </t>
        </is>
      </c>
      <c r="P844" t="inlineStr"/>
      <c r="Q844" t="inlineStr"/>
      <c r="R844" t="inlineStr"/>
      <c r="S844" t="inlineStr">
        <is>
          <t>bis 35 cm</t>
        </is>
      </c>
      <c r="T844" t="inlineStr"/>
      <c r="U844" t="inlineStr"/>
      <c r="V844" t="inlineStr"/>
      <c r="W844" t="inlineStr"/>
      <c r="X844" t="inlineStr"/>
      <c r="Y844" t="inlineStr"/>
      <c r="Z844" t="inlineStr"/>
      <c r="AA844" t="inlineStr"/>
      <c r="AB844" t="inlineStr"/>
      <c r="AC844" t="inlineStr"/>
      <c r="AD844" t="inlineStr"/>
      <c r="AE844" t="inlineStr"/>
      <c r="AF844" t="inlineStr"/>
      <c r="AG844" t="inlineStr"/>
      <c r="AH844" t="inlineStr"/>
      <c r="AI844" t="inlineStr">
        <is>
          <t>Br</t>
        </is>
      </c>
      <c r="AJ844" t="inlineStr">
        <is>
          <t xml:space="preserve">
Verlegereinband</t>
        </is>
      </c>
      <c r="AK844" t="inlineStr"/>
      <c r="AL844" t="inlineStr"/>
      <c r="AM844" t="inlineStr">
        <is>
          <t>h</t>
        </is>
      </c>
      <c r="AN844" t="inlineStr"/>
      <c r="AO844" t="inlineStr"/>
      <c r="AP844" t="inlineStr"/>
      <c r="AQ844" t="inlineStr"/>
      <c r="AR844" t="inlineStr"/>
      <c r="AS844" t="inlineStr">
        <is>
          <t>Pa</t>
        </is>
      </c>
      <c r="AT844" t="inlineStr"/>
      <c r="AU844" t="inlineStr"/>
      <c r="AV844" t="inlineStr"/>
      <c r="AW844" t="inlineStr"/>
      <c r="AX844" t="inlineStr"/>
      <c r="AY844" t="inlineStr"/>
      <c r="AZ844" t="inlineStr"/>
      <c r="BA844" t="inlineStr"/>
      <c r="BB844" t="inlineStr"/>
      <c r="BC844" t="inlineStr"/>
      <c r="BD844" t="inlineStr"/>
      <c r="BE844" t="inlineStr"/>
      <c r="BF844" t="inlineStr"/>
      <c r="BG844" t="inlineStr">
        <is>
          <t>nur 110</t>
        </is>
      </c>
      <c r="BH844" t="inlineStr"/>
      <c r="BI844" t="inlineStr"/>
      <c r="BJ844" t="inlineStr"/>
      <c r="BK844" t="inlineStr"/>
      <c r="BL844" t="inlineStr"/>
      <c r="BM844" t="inlineStr">
        <is>
          <t>n</t>
        </is>
      </c>
      <c r="BN844" t="n">
        <v>0</v>
      </c>
      <c r="BO844" t="inlineStr"/>
      <c r="BP844" t="inlineStr">
        <is>
          <t>Gewebe</t>
        </is>
      </c>
      <c r="BQ844" t="inlineStr"/>
      <c r="BR844" t="inlineStr"/>
      <c r="BS844" t="inlineStr"/>
      <c r="BT844" t="inlineStr"/>
      <c r="BU844" t="inlineStr"/>
      <c r="BV844" t="inlineStr">
        <is>
          <t>Schaden ist stabil genug --&gt; belassen; mit Büttenrand</t>
        </is>
      </c>
      <c r="BW844" t="inlineStr">
        <is>
          <t>x nur 110</t>
        </is>
      </c>
      <c r="BX844" t="inlineStr"/>
      <c r="BY844" t="inlineStr"/>
      <c r="BZ844" t="inlineStr"/>
      <c r="CA844" t="inlineStr"/>
      <c r="CB844" t="inlineStr"/>
      <c r="CC844" t="inlineStr"/>
      <c r="CD844" t="inlineStr"/>
      <c r="CE844" t="inlineStr"/>
      <c r="CF844" t="inlineStr"/>
      <c r="CG844" t="inlineStr"/>
      <c r="CH844" t="inlineStr"/>
      <c r="CI844" t="inlineStr"/>
      <c r="CJ844" t="inlineStr"/>
      <c r="CK844" t="inlineStr"/>
      <c r="CL844" t="inlineStr"/>
      <c r="CM844" t="inlineStr"/>
      <c r="CN844" t="inlineStr"/>
      <c r="CO844" t="inlineStr"/>
      <c r="CP844" t="inlineStr"/>
      <c r="CQ844" t="inlineStr"/>
      <c r="CR844" t="inlineStr"/>
      <c r="CS844" t="inlineStr"/>
      <c r="CT844" t="inlineStr"/>
      <c r="CU844" t="inlineStr"/>
      <c r="CV844" t="inlineStr"/>
      <c r="CW844" t="inlineStr"/>
      <c r="CX844" t="inlineStr"/>
      <c r="CY844" t="inlineStr"/>
      <c r="CZ844" t="inlineStr"/>
      <c r="DA844" t="inlineStr"/>
      <c r="DB844" t="inlineStr"/>
      <c r="DC844" t="inlineStr"/>
      <c r="DD844" t="inlineStr"/>
      <c r="DE844" t="inlineStr"/>
      <c r="DF844" t="inlineStr"/>
      <c r="DG844" t="inlineStr"/>
    </row>
    <row r="845">
      <c r="A845" t="inlineStr">
        <is>
          <t>III</t>
        </is>
      </c>
      <c r="B845" t="b">
        <v>1</v>
      </c>
      <c r="C845" t="inlineStr"/>
      <c r="D845" t="inlineStr"/>
      <c r="E845" t="n">
        <v>941</v>
      </c>
      <c r="F845">
        <f>HYPERLINK("https://portal.dnb.de/opac.htm?method=simpleSearch&amp;cqlMode=true&amp;query=idn%3D1066876614", "Portal")</f>
        <v/>
      </c>
      <c r="G845" t="inlineStr">
        <is>
          <t>Aaf</t>
        </is>
      </c>
      <c r="H845" t="inlineStr">
        <is>
          <t>L-1521-315334355</t>
        </is>
      </c>
      <c r="I845" t="inlineStr">
        <is>
          <t>1066876614</t>
        </is>
      </c>
      <c r="J845" t="inlineStr">
        <is>
          <t>III 97, 1</t>
        </is>
      </c>
      <c r="K845" t="inlineStr">
        <is>
          <t>III 97, 1</t>
        </is>
      </c>
      <c r="L845" t="inlineStr">
        <is>
          <t>III 97, 1</t>
        </is>
      </c>
      <c r="M845" t="inlineStr"/>
      <c r="N845" t="inlineStr">
        <is>
          <t xml:space="preserve">Montisferrati Marchionum &amp; Principum Regie propaginis: successionumque series nuper elucidata : </t>
        </is>
      </c>
      <c r="O845" t="inlineStr">
        <is>
          <t xml:space="preserve"> : </t>
        </is>
      </c>
      <c r="P845" t="inlineStr"/>
      <c r="Q845" t="inlineStr"/>
      <c r="R845" t="inlineStr"/>
      <c r="S845" t="inlineStr">
        <is>
          <t>bis 25 cm</t>
        </is>
      </c>
      <c r="T845" t="inlineStr"/>
      <c r="U845" t="inlineStr"/>
      <c r="V845" t="inlineStr"/>
      <c r="W845" t="inlineStr"/>
      <c r="X845" t="inlineStr"/>
      <c r="Y845" t="inlineStr"/>
      <c r="Z845" t="inlineStr"/>
      <c r="AA845" t="inlineStr"/>
      <c r="AB845" t="inlineStr"/>
      <c r="AC845" t="inlineStr"/>
      <c r="AD845" t="inlineStr"/>
      <c r="AE845" t="inlineStr"/>
      <c r="AF845" t="inlineStr"/>
      <c r="AG845" t="inlineStr"/>
      <c r="AH845" t="inlineStr"/>
      <c r="AI845" t="inlineStr">
        <is>
          <t>Pg</t>
        </is>
      </c>
      <c r="AJ845" t="inlineStr"/>
      <c r="AK845" t="inlineStr"/>
      <c r="AL845" t="inlineStr">
        <is>
          <t>x</t>
        </is>
      </c>
      <c r="AM845" t="inlineStr">
        <is>
          <t>h/E</t>
        </is>
      </c>
      <c r="AN845" t="inlineStr"/>
      <c r="AO845" t="inlineStr"/>
      <c r="AP845" t="inlineStr"/>
      <c r="AQ845" t="inlineStr"/>
      <c r="AR845" t="inlineStr"/>
      <c r="AS845" t="inlineStr">
        <is>
          <t>Pa</t>
        </is>
      </c>
      <c r="AT845" t="inlineStr"/>
      <c r="AU845" t="inlineStr"/>
      <c r="AV845" t="inlineStr"/>
      <c r="AW845" t="inlineStr"/>
      <c r="AX845" t="inlineStr"/>
      <c r="AY845" t="inlineStr"/>
      <c r="AZ845" t="inlineStr"/>
      <c r="BA845" t="inlineStr"/>
      <c r="BB845" t="inlineStr"/>
      <c r="BC845" t="inlineStr"/>
      <c r="BD845" t="inlineStr"/>
      <c r="BE845" t="inlineStr"/>
      <c r="BF845" t="inlineStr"/>
      <c r="BG845" t="n">
        <v>80</v>
      </c>
      <c r="BH845" t="inlineStr"/>
      <c r="BI845" t="inlineStr"/>
      <c r="BJ845" t="inlineStr"/>
      <c r="BK845" t="inlineStr"/>
      <c r="BL845" t="inlineStr"/>
      <c r="BM845" t="inlineStr">
        <is>
          <t>n</t>
        </is>
      </c>
      <c r="BN845" t="n">
        <v>0</v>
      </c>
      <c r="BO845" t="inlineStr"/>
      <c r="BP845" t="inlineStr">
        <is>
          <t>Gewebe</t>
        </is>
      </c>
      <c r="BQ845" t="inlineStr"/>
      <c r="BR845" t="inlineStr"/>
      <c r="BS845" t="inlineStr"/>
      <c r="BT845" t="inlineStr"/>
      <c r="BU845" t="inlineStr"/>
      <c r="BV845" t="inlineStr"/>
      <c r="BW845" t="inlineStr"/>
      <c r="BX845" t="inlineStr"/>
      <c r="BY845" t="inlineStr"/>
      <c r="BZ845" t="inlineStr"/>
      <c r="CA845" t="inlineStr"/>
      <c r="CB845" t="inlineStr"/>
      <c r="CC845" t="inlineStr"/>
      <c r="CD845" t="inlineStr"/>
      <c r="CE845" t="inlineStr"/>
      <c r="CF845" t="inlineStr"/>
      <c r="CG845" t="inlineStr"/>
      <c r="CH845" t="inlineStr"/>
      <c r="CI845" t="inlineStr"/>
      <c r="CJ845" t="inlineStr"/>
      <c r="CK845" t="inlineStr"/>
      <c r="CL845" t="inlineStr"/>
      <c r="CM845" t="inlineStr"/>
      <c r="CN845" t="inlineStr"/>
      <c r="CO845" t="inlineStr"/>
      <c r="CP845" t="inlineStr"/>
      <c r="CQ845" t="inlineStr"/>
      <c r="CR845" t="inlineStr"/>
      <c r="CS845" t="inlineStr"/>
      <c r="CT845" t="inlineStr"/>
      <c r="CU845" t="inlineStr"/>
      <c r="CV845" t="inlineStr"/>
      <c r="CW845" t="inlineStr"/>
      <c r="CX845" t="inlineStr"/>
      <c r="CY845" t="inlineStr"/>
      <c r="CZ845" t="inlineStr"/>
      <c r="DA845" t="inlineStr"/>
      <c r="DB845" t="inlineStr"/>
      <c r="DC845" t="inlineStr"/>
      <c r="DD845" t="inlineStr"/>
      <c r="DE845" t="inlineStr"/>
      <c r="DF845" t="inlineStr"/>
      <c r="DG845" t="inlineStr"/>
    </row>
    <row r="846">
      <c r="A846" t="inlineStr">
        <is>
          <t>III</t>
        </is>
      </c>
      <c r="B846" t="b">
        <v>1</v>
      </c>
      <c r="C846" t="inlineStr">
        <is>
          <t>x</t>
        </is>
      </c>
      <c r="D846" t="inlineStr"/>
      <c r="E846" t="n">
        <v>942</v>
      </c>
      <c r="F846">
        <f>HYPERLINK("https://portal.dnb.de/opac.htm?method=simpleSearch&amp;cqlMode=true&amp;query=idn%3D1066934762", "Portal")</f>
        <v/>
      </c>
      <c r="G846" t="inlineStr">
        <is>
          <t>Aa</t>
        </is>
      </c>
      <c r="H846" t="inlineStr">
        <is>
          <t>L-1518-315462760</t>
        </is>
      </c>
      <c r="I846" t="inlineStr">
        <is>
          <t>1066934762</t>
        </is>
      </c>
      <c r="J846" t="inlineStr">
        <is>
          <t>III 98, 1</t>
        </is>
      </c>
      <c r="K846" t="inlineStr">
        <is>
          <t>III 98, 1</t>
        </is>
      </c>
      <c r="L846" t="inlineStr">
        <is>
          <t>III 98, 1</t>
        </is>
      </c>
      <c r="M846" t="inlineStr"/>
      <c r="N846" t="inlineStr">
        <is>
          <t>P. Vergilius Maro cum Magnete suo Seruio Mario grammatico : interprete quam castigatissimo : &amp; pristinae lectioni : sibique demum plene restituto: cui</t>
        </is>
      </c>
      <c r="O846" t="inlineStr">
        <is>
          <t xml:space="preserve"> : </t>
        </is>
      </c>
      <c r="P846" t="inlineStr"/>
      <c r="Q846" t="inlineStr"/>
      <c r="R846" t="inlineStr"/>
      <c r="S846" t="inlineStr">
        <is>
          <t>bis 35 cm</t>
        </is>
      </c>
      <c r="T846" t="inlineStr"/>
      <c r="U846" t="inlineStr"/>
      <c r="V846" t="inlineStr"/>
      <c r="W846" t="inlineStr"/>
      <c r="X846" t="inlineStr"/>
      <c r="Y846" t="inlineStr"/>
      <c r="Z846" t="inlineStr"/>
      <c r="AA846" t="inlineStr"/>
      <c r="AB846" t="inlineStr"/>
      <c r="AC846" t="inlineStr"/>
      <c r="AD846" t="inlineStr"/>
      <c r="AE846" t="inlineStr"/>
      <c r="AF846" t="inlineStr"/>
      <c r="AG846" t="inlineStr"/>
      <c r="AH846" t="inlineStr"/>
      <c r="AI846" t="inlineStr">
        <is>
          <t>G</t>
        </is>
      </c>
      <c r="AJ846" t="inlineStr"/>
      <c r="AK846" t="inlineStr">
        <is>
          <t>x</t>
        </is>
      </c>
      <c r="AL846" t="inlineStr"/>
      <c r="AM846" t="inlineStr">
        <is>
          <t>h/E</t>
        </is>
      </c>
      <c r="AN846" t="inlineStr"/>
      <c r="AO846" t="inlineStr"/>
      <c r="AP846" t="inlineStr"/>
      <c r="AQ846" t="inlineStr"/>
      <c r="AR846" t="inlineStr"/>
      <c r="AS846" t="inlineStr">
        <is>
          <t>Pa</t>
        </is>
      </c>
      <c r="AT846" t="inlineStr"/>
      <c r="AU846" t="inlineStr"/>
      <c r="AV846" t="inlineStr"/>
      <c r="AW846" t="inlineStr"/>
      <c r="AX846" t="inlineStr"/>
      <c r="AY846" t="inlineStr"/>
      <c r="AZ846" t="inlineStr"/>
      <c r="BA846" t="inlineStr"/>
      <c r="BB846" t="inlineStr"/>
      <c r="BC846" t="inlineStr"/>
      <c r="BD846" t="inlineStr"/>
      <c r="BE846" t="inlineStr"/>
      <c r="BF846" t="inlineStr"/>
      <c r="BG846" t="inlineStr">
        <is>
          <t>max 110</t>
        </is>
      </c>
      <c r="BH846" t="inlineStr"/>
      <c r="BI846" t="inlineStr"/>
      <c r="BJ846" t="inlineStr"/>
      <c r="BK846" t="inlineStr"/>
      <c r="BL846" t="inlineStr"/>
      <c r="BM846" t="inlineStr">
        <is>
          <t>ja vor</t>
        </is>
      </c>
      <c r="BN846" t="n">
        <v>2</v>
      </c>
      <c r="BO846" t="inlineStr"/>
      <c r="BP846" t="inlineStr"/>
      <c r="BQ846" t="inlineStr"/>
      <c r="BR846" t="inlineStr">
        <is>
          <t>x</t>
        </is>
      </c>
      <c r="BS846" t="inlineStr"/>
      <c r="BT846" t="inlineStr"/>
      <c r="BU846" t="inlineStr"/>
      <c r="BV846" t="inlineStr"/>
      <c r="BW846" t="inlineStr"/>
      <c r="BX846" t="inlineStr"/>
      <c r="BY846" t="inlineStr"/>
      <c r="BZ846" t="inlineStr"/>
      <c r="CA846" t="inlineStr"/>
      <c r="CB846" t="inlineStr">
        <is>
          <t>x</t>
        </is>
      </c>
      <c r="CC846" t="inlineStr"/>
      <c r="CD846" t="inlineStr">
        <is>
          <t>v</t>
        </is>
      </c>
      <c r="CE846" t="inlineStr"/>
      <c r="CF846" t="inlineStr"/>
      <c r="CG846" t="inlineStr"/>
      <c r="CH846" t="inlineStr"/>
      <c r="CI846" t="inlineStr"/>
      <c r="CJ846" t="inlineStr"/>
      <c r="CK846" t="inlineStr"/>
      <c r="CL846" t="inlineStr"/>
      <c r="CM846" t="n">
        <v>2</v>
      </c>
      <c r="CN846" t="inlineStr">
        <is>
          <t>Gelenk vorn ganz durchtrennen?, mit JP+Gewebe unterlegen</t>
        </is>
      </c>
      <c r="CO846" t="inlineStr"/>
      <c r="CP846" t="inlineStr"/>
      <c r="CQ846" t="inlineStr"/>
      <c r="CR846" t="inlineStr"/>
      <c r="CS846" t="inlineStr"/>
      <c r="CT846" t="inlineStr"/>
      <c r="CU846" t="inlineStr"/>
      <c r="CV846" t="inlineStr"/>
      <c r="CW846" t="inlineStr"/>
      <c r="CX846" t="inlineStr"/>
      <c r="CY846" t="inlineStr"/>
      <c r="CZ846" t="inlineStr"/>
      <c r="DA846" t="inlineStr"/>
      <c r="DB846" t="inlineStr"/>
      <c r="DC846" t="inlineStr"/>
      <c r="DD846" t="inlineStr"/>
      <c r="DE846" t="inlineStr"/>
      <c r="DF846" t="inlineStr"/>
      <c r="DG846" t="inlineStr"/>
    </row>
    <row r="847">
      <c r="A847" t="inlineStr">
        <is>
          <t>III</t>
        </is>
      </c>
      <c r="B847" t="b">
        <v>1</v>
      </c>
      <c r="C847" t="inlineStr"/>
      <c r="D847" t="inlineStr"/>
      <c r="E847" t="n">
        <v>1207</v>
      </c>
      <c r="F847">
        <f>HYPERLINK("https://portal.dnb.de/opac.htm?method=simpleSearch&amp;cqlMode=true&amp;query=idn%3D994053215", "Portal")</f>
        <v/>
      </c>
      <c r="G847" t="inlineStr">
        <is>
          <t>Aal</t>
        </is>
      </c>
      <c r="H847" t="inlineStr">
        <is>
          <t>L-1558-154381950</t>
        </is>
      </c>
      <c r="I847" t="inlineStr">
        <is>
          <t>994053215</t>
        </is>
      </c>
      <c r="J847" t="inlineStr">
        <is>
          <t>III 99 D, 1</t>
        </is>
      </c>
      <c r="K847" t="inlineStr">
        <is>
          <t>III 99 D, 1</t>
        </is>
      </c>
      <c r="L847" t="inlineStr">
        <is>
          <t>III 99 D, 1</t>
        </is>
      </c>
      <c r="M847" t="inlineStr"/>
      <c r="N847" t="inlineStr">
        <is>
          <t>SENTEN=||TIAE EX DOCTORIBVS COLLECTAE, PER|| DOCTISS: VIRVM R. BARNI|| ANGLVM, ...|| Nunc longè quàm antea emendatius edi=||tae, ac id genus illustrib</t>
        </is>
      </c>
      <c r="O847" t="inlineStr">
        <is>
          <t xml:space="preserve"> : </t>
        </is>
      </c>
      <c r="P847" t="inlineStr"/>
      <c r="Q847" t="inlineStr"/>
      <c r="R847" t="inlineStr"/>
      <c r="S847" t="inlineStr">
        <is>
          <t>bis 25 cm</t>
        </is>
      </c>
      <c r="T847" t="inlineStr"/>
      <c r="U847" t="inlineStr"/>
      <c r="V847" t="inlineStr"/>
      <c r="W847" t="inlineStr"/>
      <c r="X847" t="inlineStr"/>
      <c r="Y847" t="inlineStr"/>
      <c r="Z847" t="inlineStr"/>
      <c r="AA847" t="inlineStr"/>
      <c r="AB847" t="inlineStr"/>
      <c r="AC847" t="inlineStr"/>
      <c r="AD847" t="inlineStr"/>
      <c r="AE847" t="inlineStr"/>
      <c r="AF847" t="inlineStr"/>
      <c r="AG847" t="inlineStr"/>
      <c r="AH847" t="inlineStr">
        <is>
          <t>x</t>
        </is>
      </c>
      <c r="AI847" t="inlineStr">
        <is>
          <t>Pg</t>
        </is>
      </c>
      <c r="AJ847" t="inlineStr">
        <is>
          <t xml:space="preserve">
flexibel mit Klappe (Kopert)</t>
        </is>
      </c>
      <c r="AK847" t="inlineStr"/>
      <c r="AL847" t="inlineStr">
        <is>
          <t>x</t>
        </is>
      </c>
      <c r="AM847" t="inlineStr">
        <is>
          <t>h</t>
        </is>
      </c>
      <c r="AN847" t="inlineStr"/>
      <c r="AO847" t="inlineStr"/>
      <c r="AP847" t="inlineStr"/>
      <c r="AQ847" t="inlineStr"/>
      <c r="AR847" t="inlineStr"/>
      <c r="AS847" t="inlineStr">
        <is>
          <t>Pa</t>
        </is>
      </c>
      <c r="AT847" t="inlineStr"/>
      <c r="AU847" t="inlineStr"/>
      <c r="AV847" t="inlineStr"/>
      <c r="AW847" t="inlineStr"/>
      <c r="AX847" t="inlineStr"/>
      <c r="AY847" t="inlineStr"/>
      <c r="AZ847" t="inlineStr"/>
      <c r="BA847" t="inlineStr"/>
      <c r="BB847" t="inlineStr"/>
      <c r="BC847" t="inlineStr"/>
      <c r="BD847" t="inlineStr"/>
      <c r="BE847" t="n">
        <v>4</v>
      </c>
      <c r="BF847" t="inlineStr"/>
      <c r="BG847" t="inlineStr">
        <is>
          <t>max 110</t>
        </is>
      </c>
      <c r="BH847" t="inlineStr"/>
      <c r="BI847" t="inlineStr"/>
      <c r="BJ847" t="inlineStr"/>
      <c r="BK847" t="inlineStr"/>
      <c r="BL847" t="inlineStr"/>
      <c r="BM847" t="inlineStr">
        <is>
          <t>n</t>
        </is>
      </c>
      <c r="BN847" t="n">
        <v>0</v>
      </c>
      <c r="BO847" t="inlineStr"/>
      <c r="BP847" t="inlineStr">
        <is>
          <t>Gewebe</t>
        </is>
      </c>
      <c r="BQ847" t="inlineStr"/>
      <c r="BR847" t="inlineStr"/>
      <c r="BS847" t="inlineStr"/>
      <c r="BT847" t="inlineStr"/>
      <c r="BU847" t="inlineStr"/>
      <c r="BV847" t="inlineStr">
        <is>
          <t>Flexibler Perg.bd. mit Klappe (Kopert)</t>
        </is>
      </c>
      <c r="BW847" t="inlineStr"/>
      <c r="BX847" t="inlineStr"/>
      <c r="BY847" t="inlineStr"/>
      <c r="BZ847" t="inlineStr"/>
      <c r="CA847" t="inlineStr"/>
      <c r="CB847" t="inlineStr"/>
      <c r="CC847" t="inlineStr"/>
      <c r="CD847" t="inlineStr"/>
      <c r="CE847" t="inlineStr"/>
      <c r="CF847" t="inlineStr"/>
      <c r="CG847" t="inlineStr"/>
      <c r="CH847" t="inlineStr"/>
      <c r="CI847" t="inlineStr"/>
      <c r="CJ847" t="inlineStr"/>
      <c r="CK847" t="inlineStr"/>
      <c r="CL847" t="inlineStr"/>
      <c r="CM847" t="inlineStr"/>
      <c r="CN847" t="inlineStr"/>
      <c r="CO847" t="inlineStr"/>
      <c r="CP847" t="inlineStr"/>
      <c r="CQ847" t="inlineStr"/>
      <c r="CR847" t="inlineStr"/>
      <c r="CS847" t="inlineStr"/>
      <c r="CT847" t="inlineStr"/>
      <c r="CU847" t="inlineStr"/>
      <c r="CV847" t="inlineStr"/>
      <c r="CW847" t="inlineStr"/>
      <c r="CX847" t="inlineStr"/>
      <c r="CY847" t="inlineStr"/>
      <c r="CZ847" t="inlineStr"/>
      <c r="DA847" t="inlineStr"/>
      <c r="DB847" t="inlineStr"/>
      <c r="DC847" t="inlineStr"/>
      <c r="DD847" t="inlineStr"/>
      <c r="DE847" t="inlineStr"/>
      <c r="DF847" t="inlineStr"/>
      <c r="DG847" t="inlineStr"/>
    </row>
    <row r="848">
      <c r="A848" t="inlineStr">
        <is>
          <t>III</t>
        </is>
      </c>
      <c r="B848" t="b">
        <v>1</v>
      </c>
      <c r="C848" t="inlineStr"/>
      <c r="D848" t="inlineStr"/>
      <c r="E848" t="n">
        <v>943</v>
      </c>
      <c r="F848">
        <f>HYPERLINK("https://portal.dnb.de/opac.htm?method=simpleSearch&amp;cqlMode=true&amp;query=idn%3D1066867941", "Portal")</f>
        <v/>
      </c>
      <c r="G848" t="inlineStr">
        <is>
          <t>Aaf</t>
        </is>
      </c>
      <c r="H848" t="inlineStr">
        <is>
          <t>L-1522-315326115</t>
        </is>
      </c>
      <c r="I848" t="inlineStr">
        <is>
          <t>1066867941</t>
        </is>
      </c>
      <c r="J848" t="inlineStr">
        <is>
          <t>III 99, 1</t>
        </is>
      </c>
      <c r="K848" t="inlineStr">
        <is>
          <t>III 99, 1</t>
        </is>
      </c>
      <c r="L848" t="inlineStr">
        <is>
          <t>III 99, 1</t>
        </is>
      </c>
      <c r="M848" t="inlineStr"/>
      <c r="N848" t="inlineStr">
        <is>
          <t>Ain @Nützliche|| Sermon zů allen Cristē menschē/ von der rechte|| Euangelische meß/ vnd von der beraytung|| zů dem Tisch gottes/...|| Von Johanne Diep</t>
        </is>
      </c>
      <c r="O848" t="inlineStr">
        <is>
          <t xml:space="preserve"> : </t>
        </is>
      </c>
      <c r="P848" t="inlineStr"/>
      <c r="Q848" t="inlineStr"/>
      <c r="R848" t="inlineStr"/>
      <c r="S848" t="inlineStr">
        <is>
          <t>bis 25 cm</t>
        </is>
      </c>
      <c r="T848" t="inlineStr"/>
      <c r="U848" t="inlineStr"/>
      <c r="V848" t="inlineStr"/>
      <c r="W848" t="inlineStr"/>
      <c r="X848" t="inlineStr"/>
      <c r="Y848" t="inlineStr"/>
      <c r="Z848" t="inlineStr"/>
      <c r="AA848" t="inlineStr"/>
      <c r="AB848" t="inlineStr"/>
      <c r="AC848" t="inlineStr"/>
      <c r="AD848" t="inlineStr"/>
      <c r="AE848" t="inlineStr"/>
      <c r="AF848" t="inlineStr"/>
      <c r="AG848" t="inlineStr"/>
      <c r="AH848" t="inlineStr"/>
      <c r="AI848" t="inlineStr">
        <is>
          <t>G</t>
        </is>
      </c>
      <c r="AJ848" t="inlineStr"/>
      <c r="AK848" t="inlineStr">
        <is>
          <t>x</t>
        </is>
      </c>
      <c r="AL848" t="inlineStr"/>
      <c r="AM848" t="inlineStr">
        <is>
          <t>h/E</t>
        </is>
      </c>
      <c r="AN848" t="inlineStr"/>
      <c r="AO848" t="inlineStr"/>
      <c r="AP848" t="inlineStr"/>
      <c r="AQ848" t="inlineStr"/>
      <c r="AR848" t="inlineStr"/>
      <c r="AS848" t="inlineStr">
        <is>
          <t>Pa</t>
        </is>
      </c>
      <c r="AT848" t="inlineStr">
        <is>
          <t>x</t>
        </is>
      </c>
      <c r="AU848" t="inlineStr"/>
      <c r="AV848" t="inlineStr"/>
      <c r="AW848" t="inlineStr"/>
      <c r="AX848" t="inlineStr"/>
      <c r="AY848" t="inlineStr"/>
      <c r="AZ848" t="inlineStr"/>
      <c r="BA848" t="inlineStr"/>
      <c r="BB848" t="inlineStr"/>
      <c r="BC848" t="inlineStr"/>
      <c r="BD848" t="inlineStr"/>
      <c r="BE848" t="inlineStr"/>
      <c r="BF848" t="inlineStr"/>
      <c r="BG848" t="n">
        <v>110</v>
      </c>
      <c r="BH848" t="inlineStr"/>
      <c r="BI848" t="inlineStr"/>
      <c r="BJ848" t="inlineStr"/>
      <c r="BK848" t="inlineStr"/>
      <c r="BL848" t="inlineStr"/>
      <c r="BM848" t="inlineStr">
        <is>
          <t>n</t>
        </is>
      </c>
      <c r="BN848" t="n">
        <v>0</v>
      </c>
      <c r="BO848" t="inlineStr"/>
      <c r="BP848" t="inlineStr"/>
      <c r="BQ848" t="inlineStr"/>
      <c r="BR848" t="inlineStr">
        <is>
          <t>x</t>
        </is>
      </c>
      <c r="BS848" t="inlineStr"/>
      <c r="BT848" t="inlineStr"/>
      <c r="BU848" t="inlineStr"/>
      <c r="BV848" t="inlineStr"/>
      <c r="BW848" t="inlineStr"/>
      <c r="BX848" t="inlineStr"/>
      <c r="BY848" t="inlineStr"/>
      <c r="BZ848" t="inlineStr"/>
      <c r="CA848" t="inlineStr"/>
      <c r="CB848" t="inlineStr"/>
      <c r="CC848" t="inlineStr"/>
      <c r="CD848" t="inlineStr"/>
      <c r="CE848" t="inlineStr"/>
      <c r="CF848" t="inlineStr"/>
      <c r="CG848" t="inlineStr"/>
      <c r="CH848" t="inlineStr"/>
      <c r="CI848" t="inlineStr"/>
      <c r="CJ848" t="inlineStr"/>
      <c r="CK848" t="inlineStr"/>
      <c r="CL848" t="inlineStr"/>
      <c r="CM848" t="inlineStr"/>
      <c r="CN848" t="inlineStr"/>
      <c r="CO848" t="inlineStr"/>
      <c r="CP848" t="inlineStr"/>
      <c r="CQ848" t="inlineStr"/>
      <c r="CR848" t="inlineStr"/>
      <c r="CS848" t="inlineStr"/>
      <c r="CT848" t="inlineStr"/>
      <c r="CU848" t="inlineStr"/>
      <c r="CV848" t="inlineStr"/>
      <c r="CW848" t="inlineStr"/>
      <c r="CX848" t="inlineStr"/>
      <c r="CY848" t="inlineStr"/>
      <c r="CZ848" t="inlineStr"/>
      <c r="DA848" t="inlineStr"/>
      <c r="DB848" t="inlineStr"/>
      <c r="DC848" t="inlineStr"/>
      <c r="DD848" t="inlineStr"/>
      <c r="DE848" t="inlineStr"/>
      <c r="DF848" t="inlineStr"/>
      <c r="DG848" t="inlineStr"/>
    </row>
    <row r="849">
      <c r="A849" t="inlineStr">
        <is>
          <t>III</t>
        </is>
      </c>
      <c r="B849" t="b">
        <v>1</v>
      </c>
      <c r="C849" t="inlineStr"/>
      <c r="D849" t="inlineStr"/>
      <c r="E849" t="n">
        <v>944</v>
      </c>
      <c r="F849">
        <f>HYPERLINK("https://portal.dnb.de/opac.htm?method=simpleSearch&amp;cqlMode=true&amp;query=idn%3D1066962189", "Portal")</f>
        <v/>
      </c>
      <c r="G849" t="inlineStr">
        <is>
          <t>Aaf</t>
        </is>
      </c>
      <c r="H849" t="inlineStr">
        <is>
          <t>L-1534-315492589</t>
        </is>
      </c>
      <c r="I849" t="inlineStr">
        <is>
          <t>1066962189</t>
        </is>
      </c>
      <c r="J849" t="inlineStr">
        <is>
          <t>III 99, 2</t>
        </is>
      </c>
      <c r="K849" t="inlineStr">
        <is>
          <t>III 99, 2</t>
        </is>
      </c>
      <c r="L849" t="inlineStr">
        <is>
          <t>III 99, 2</t>
        </is>
      </c>
      <c r="M849" t="inlineStr"/>
      <c r="N849" t="inlineStr">
        <is>
          <t>DAuids Eebruch: Mordt|| Straff vnd busz.|| EJn kurtze verzeychnusz vñ|| Außlegung des xj. vnd xij. Capitels/ des|| Andern Buchs Samuelis/ von dem Fall</t>
        </is>
      </c>
      <c r="O849" t="inlineStr">
        <is>
          <t xml:space="preserve"> : </t>
        </is>
      </c>
      <c r="P849" t="inlineStr"/>
      <c r="Q849" t="inlineStr"/>
      <c r="R849" t="inlineStr"/>
      <c r="S849" t="inlineStr">
        <is>
          <t>bis 25 cm</t>
        </is>
      </c>
      <c r="T849" t="inlineStr"/>
      <c r="U849" t="inlineStr"/>
      <c r="V849" t="inlineStr"/>
      <c r="W849" t="inlineStr"/>
      <c r="X849" t="inlineStr"/>
      <c r="Y849" t="inlineStr"/>
      <c r="Z849" t="inlineStr"/>
      <c r="AA849" t="inlineStr"/>
      <c r="AB849" t="inlineStr"/>
      <c r="AC849" t="inlineStr"/>
      <c r="AD849" t="inlineStr"/>
      <c r="AE849" t="inlineStr"/>
      <c r="AF849" t="inlineStr"/>
      <c r="AG849" t="inlineStr"/>
      <c r="AH849" t="inlineStr"/>
      <c r="AI849" t="inlineStr">
        <is>
          <t>G</t>
        </is>
      </c>
      <c r="AJ849" t="inlineStr"/>
      <c r="AK849" t="inlineStr">
        <is>
          <t>x</t>
        </is>
      </c>
      <c r="AL849" t="inlineStr"/>
      <c r="AM849" t="inlineStr">
        <is>
          <t>h/E</t>
        </is>
      </c>
      <c r="AN849" t="inlineStr"/>
      <c r="AO849" t="inlineStr"/>
      <c r="AP849" t="inlineStr"/>
      <c r="AQ849" t="inlineStr"/>
      <c r="AR849" t="inlineStr"/>
      <c r="AS849" t="inlineStr">
        <is>
          <t>Pa</t>
        </is>
      </c>
      <c r="AT849" t="inlineStr">
        <is>
          <t>x</t>
        </is>
      </c>
      <c r="AU849" t="inlineStr"/>
      <c r="AV849" t="inlineStr"/>
      <c r="AW849" t="inlineStr"/>
      <c r="AX849" t="inlineStr"/>
      <c r="AY849" t="inlineStr"/>
      <c r="AZ849" t="inlineStr"/>
      <c r="BA849" t="inlineStr"/>
      <c r="BB849" t="inlineStr"/>
      <c r="BC849" t="inlineStr"/>
      <c r="BD849" t="inlineStr"/>
      <c r="BE849" t="inlineStr"/>
      <c r="BF849" t="inlineStr"/>
      <c r="BG849" t="n">
        <v>110</v>
      </c>
      <c r="BH849" t="inlineStr"/>
      <c r="BI849" t="inlineStr"/>
      <c r="BJ849" t="inlineStr"/>
      <c r="BK849" t="inlineStr"/>
      <c r="BL849" t="inlineStr"/>
      <c r="BM849" t="inlineStr">
        <is>
          <t>n</t>
        </is>
      </c>
      <c r="BN849" t="n">
        <v>0</v>
      </c>
      <c r="BO849" t="inlineStr"/>
      <c r="BP849" t="inlineStr"/>
      <c r="BQ849" t="inlineStr"/>
      <c r="BR849" t="inlineStr"/>
      <c r="BS849" t="inlineStr"/>
      <c r="BT849" t="inlineStr"/>
      <c r="BU849" t="inlineStr"/>
      <c r="BV849" t="inlineStr"/>
      <c r="BW849" t="inlineStr"/>
      <c r="BX849" t="inlineStr"/>
      <c r="BY849" t="inlineStr"/>
      <c r="BZ849" t="inlineStr"/>
      <c r="CA849" t="inlineStr"/>
      <c r="CB849" t="inlineStr"/>
      <c r="CC849" t="inlineStr"/>
      <c r="CD849" t="inlineStr"/>
      <c r="CE849" t="inlineStr"/>
      <c r="CF849" t="inlineStr"/>
      <c r="CG849" t="inlineStr"/>
      <c r="CH849" t="inlineStr"/>
      <c r="CI849" t="inlineStr"/>
      <c r="CJ849" t="inlineStr"/>
      <c r="CK849" t="inlineStr"/>
      <c r="CL849" t="inlineStr"/>
      <c r="CM849" t="inlineStr"/>
      <c r="CN849" t="inlineStr"/>
      <c r="CO849" t="inlineStr"/>
      <c r="CP849" t="inlineStr"/>
      <c r="CQ849" t="inlineStr"/>
      <c r="CR849" t="inlineStr"/>
      <c r="CS849" t="inlineStr"/>
      <c r="CT849" t="inlineStr"/>
      <c r="CU849" t="inlineStr"/>
      <c r="CV849" t="inlineStr"/>
      <c r="CW849" t="inlineStr"/>
      <c r="CX849" t="inlineStr"/>
      <c r="CY849" t="inlineStr"/>
      <c r="CZ849" t="inlineStr"/>
      <c r="DA849" t="inlineStr"/>
      <c r="DB849" t="inlineStr"/>
      <c r="DC849" t="inlineStr"/>
      <c r="DD849" t="inlineStr"/>
      <c r="DE849" t="inlineStr"/>
      <c r="DF849" t="inlineStr"/>
      <c r="DG849" t="inlineStr"/>
    </row>
    <row r="850">
      <c r="A850" t="inlineStr">
        <is>
          <t>III</t>
        </is>
      </c>
      <c r="B850" t="b">
        <v>1</v>
      </c>
      <c r="C850" t="inlineStr">
        <is>
          <t>x</t>
        </is>
      </c>
      <c r="D850" t="inlineStr"/>
      <c r="E850" t="n">
        <v>945</v>
      </c>
      <c r="F850">
        <f>HYPERLINK("https://portal.dnb.de/opac.htm?method=simpleSearch&amp;cqlMode=true&amp;query=idn%3D1132648823", "Portal")</f>
        <v/>
      </c>
      <c r="G850" t="inlineStr">
        <is>
          <t>Af</t>
        </is>
      </c>
      <c r="H850" t="inlineStr">
        <is>
          <t>L-9999-406966141</t>
        </is>
      </c>
      <c r="I850" t="inlineStr">
        <is>
          <t>1132648823</t>
        </is>
      </c>
      <c r="J850" t="inlineStr">
        <is>
          <t>III 99, 3</t>
        </is>
      </c>
      <c r="K850" t="inlineStr">
        <is>
          <t>III 99, 3</t>
        </is>
      </c>
      <c r="L850" t="inlineStr">
        <is>
          <t>III 99, 3</t>
        </is>
      </c>
      <c r="M850" t="inlineStr"/>
      <c r="N850" t="inlineStr">
        <is>
          <t>Chronica Zeitbuch unnd Geschichtbibell von anbegyn biß in diss gegenwertig M.D.xxxvi. iar verlengt</t>
        </is>
      </c>
      <c r="O850" t="inlineStr">
        <is>
          <t xml:space="preserve">[1]. : </t>
        </is>
      </c>
      <c r="P850" t="inlineStr"/>
      <c r="Q850" t="inlineStr"/>
      <c r="R850" t="inlineStr"/>
      <c r="S850" t="inlineStr">
        <is>
          <t>bis 35 cm</t>
        </is>
      </c>
      <c r="T850" t="inlineStr"/>
      <c r="U850" t="inlineStr"/>
      <c r="V850" t="inlineStr"/>
      <c r="W850" t="inlineStr"/>
      <c r="X850" t="inlineStr"/>
      <c r="Y850" t="inlineStr"/>
      <c r="Z850" t="inlineStr"/>
      <c r="AA850" t="inlineStr"/>
      <c r="AB850" t="inlineStr"/>
      <c r="AC850" t="inlineStr"/>
      <c r="AD850" t="inlineStr"/>
      <c r="AE850" t="inlineStr"/>
      <c r="AF850" t="inlineStr"/>
      <c r="AG850" t="inlineStr"/>
      <c r="AH850" t="inlineStr"/>
      <c r="AI850" t="inlineStr">
        <is>
          <t>HD</t>
        </is>
      </c>
      <c r="AJ850" t="inlineStr"/>
      <c r="AK850" t="inlineStr">
        <is>
          <t>x</t>
        </is>
      </c>
      <c r="AL850" t="inlineStr"/>
      <c r="AM850" t="inlineStr">
        <is>
          <t>f</t>
        </is>
      </c>
      <c r="AN850" t="inlineStr"/>
      <c r="AO850" t="inlineStr"/>
      <c r="AP850" t="inlineStr"/>
      <c r="AQ850" t="inlineStr"/>
      <c r="AR850" t="inlineStr"/>
      <c r="AS850" t="inlineStr">
        <is>
          <t>Pa</t>
        </is>
      </c>
      <c r="AT850" t="inlineStr"/>
      <c r="AU850" t="inlineStr"/>
      <c r="AV850" t="inlineStr"/>
      <c r="AW850" t="inlineStr"/>
      <c r="AX850" t="inlineStr"/>
      <c r="AY850" t="inlineStr"/>
      <c r="AZ850" t="inlineStr"/>
      <c r="BA850" t="inlineStr"/>
      <c r="BB850" t="inlineStr"/>
      <c r="BC850" t="inlineStr"/>
      <c r="BD850" t="inlineStr"/>
      <c r="BE850" t="n">
        <v>4</v>
      </c>
      <c r="BF850" t="inlineStr">
        <is>
          <t>x</t>
        </is>
      </c>
      <c r="BG850" t="n">
        <v>60</v>
      </c>
      <c r="BH850" t="inlineStr"/>
      <c r="BI850" t="inlineStr"/>
      <c r="BJ850" t="inlineStr"/>
      <c r="BK850" t="inlineStr"/>
      <c r="BL850" t="inlineStr"/>
      <c r="BM850" t="inlineStr">
        <is>
          <t>ja vor</t>
        </is>
      </c>
      <c r="BN850" t="n">
        <v>3</v>
      </c>
      <c r="BO850" t="inlineStr"/>
      <c r="BP850" t="inlineStr"/>
      <c r="BQ850" t="inlineStr"/>
      <c r="BR850" t="inlineStr">
        <is>
          <t>x</t>
        </is>
      </c>
      <c r="BS850" t="inlineStr"/>
      <c r="BT850" t="inlineStr"/>
      <c r="BU850" t="inlineStr"/>
      <c r="BV850" t="inlineStr">
        <is>
          <t>Schaden am Einband ist stabil genug</t>
        </is>
      </c>
      <c r="BW850" t="inlineStr"/>
      <c r="BX850" t="inlineStr"/>
      <c r="BY850" t="inlineStr"/>
      <c r="BZ850" t="inlineStr"/>
      <c r="CA850" t="inlineStr"/>
      <c r="CB850" t="inlineStr"/>
      <c r="CC850" t="inlineStr"/>
      <c r="CD850" t="inlineStr"/>
      <c r="CE850" t="inlineStr"/>
      <c r="CF850" t="inlineStr"/>
      <c r="CG850" t="inlineStr"/>
      <c r="CH850" t="inlineStr"/>
      <c r="CI850" t="inlineStr"/>
      <c r="CJ850" t="inlineStr"/>
      <c r="CK850" t="inlineStr"/>
      <c r="CL850" t="inlineStr"/>
      <c r="CM850" t="inlineStr"/>
      <c r="CN850" t="inlineStr"/>
      <c r="CO850" t="inlineStr"/>
      <c r="CP850" t="inlineStr"/>
      <c r="CQ850" t="inlineStr"/>
      <c r="CR850" t="inlineStr"/>
      <c r="CS850" t="inlineStr"/>
      <c r="CT850" t="inlineStr"/>
      <c r="CU850" t="inlineStr"/>
      <c r="CV850" t="inlineStr"/>
      <c r="CW850" t="inlineStr"/>
      <c r="CX850" t="inlineStr">
        <is>
          <t>x</t>
        </is>
      </c>
      <c r="CY850" t="inlineStr"/>
      <c r="CZ850" t="inlineStr"/>
      <c r="DA850" t="inlineStr"/>
      <c r="DB850" t="inlineStr"/>
      <c r="DC850" t="inlineStr"/>
      <c r="DD850" t="inlineStr"/>
      <c r="DE850" t="inlineStr"/>
      <c r="DF850" t="n">
        <v>3</v>
      </c>
      <c r="DG850" t="inlineStr">
        <is>
          <t>ca. mittig des BB am Fuß immer wieder Risse; Schaden am Einband belassen (ist m.E. stabil genug)</t>
        </is>
      </c>
    </row>
    <row r="851">
      <c r="A851" t="inlineStr">
        <is>
          <t>III</t>
        </is>
      </c>
      <c r="B851" t="b">
        <v>1</v>
      </c>
      <c r="C851" t="inlineStr"/>
      <c r="D851" t="inlineStr"/>
      <c r="E851" t="n">
        <v>946</v>
      </c>
      <c r="F851">
        <f>HYPERLINK("https://portal.dnb.de/opac.htm?method=simpleSearch&amp;cqlMode=true&amp;query=idn%3D1132648831", "Portal")</f>
        <v/>
      </c>
      <c r="G851" t="inlineStr">
        <is>
          <t>Af</t>
        </is>
      </c>
      <c r="H851" t="inlineStr">
        <is>
          <t>L-9999-40696615X</t>
        </is>
      </c>
      <c r="I851" t="inlineStr">
        <is>
          <t>1132648831</t>
        </is>
      </c>
      <c r="J851" t="inlineStr">
        <is>
          <t>III 99, 3</t>
        </is>
      </c>
      <c r="K851" t="inlineStr">
        <is>
          <t>III 99, 3</t>
        </is>
      </c>
      <c r="L851" t="inlineStr">
        <is>
          <t>III 99, 3 (angebunden)</t>
        </is>
      </c>
      <c r="M851" t="inlineStr"/>
      <c r="N851" t="inlineStr">
        <is>
          <t>Chronica Zeitbuch unnd Geschichtbibell von anbegyn biß in diss gegenwertig M.D.xxxvi. iar verlengt</t>
        </is>
      </c>
      <c r="O851" t="inlineStr">
        <is>
          <t xml:space="preserve">2. : </t>
        </is>
      </c>
      <c r="P851" t="inlineStr"/>
      <c r="Q851" t="inlineStr"/>
      <c r="R851" t="inlineStr"/>
      <c r="S851" t="inlineStr"/>
      <c r="T851" t="inlineStr"/>
      <c r="U851" t="inlineStr"/>
      <c r="V851" t="inlineStr"/>
      <c r="W851" t="inlineStr"/>
      <c r="X851" t="inlineStr"/>
      <c r="Y851" t="inlineStr"/>
      <c r="Z851" t="inlineStr"/>
      <c r="AA851" t="inlineStr"/>
      <c r="AB851" t="inlineStr"/>
      <c r="AC851" t="inlineStr"/>
      <c r="AD851" t="inlineStr"/>
      <c r="AE851" t="inlineStr"/>
      <c r="AF851" t="inlineStr"/>
      <c r="AG851" t="inlineStr"/>
      <c r="AH851" t="inlineStr"/>
      <c r="AI851" t="inlineStr"/>
      <c r="AJ851" t="inlineStr"/>
      <c r="AK851" t="inlineStr"/>
      <c r="AL851" t="inlineStr"/>
      <c r="AM851" t="inlineStr"/>
      <c r="AN851" t="inlineStr"/>
      <c r="AO851" t="inlineStr"/>
      <c r="AP851" t="inlineStr"/>
      <c r="AQ851" t="inlineStr"/>
      <c r="AR851" t="inlineStr"/>
      <c r="AS851" t="inlineStr"/>
      <c r="AT851" t="inlineStr"/>
      <c r="AU851" t="inlineStr"/>
      <c r="AV851" t="inlineStr"/>
      <c r="AW851" t="inlineStr"/>
      <c r="AX851" t="inlineStr"/>
      <c r="AY851" t="inlineStr"/>
      <c r="AZ851" t="inlineStr"/>
      <c r="BA851" t="inlineStr"/>
      <c r="BB851" t="inlineStr"/>
      <c r="BC851" t="inlineStr"/>
      <c r="BD851" t="inlineStr"/>
      <c r="BE851" t="inlineStr"/>
      <c r="BF851" t="inlineStr"/>
      <c r="BG851" t="inlineStr"/>
      <c r="BH851" t="inlineStr"/>
      <c r="BI851" t="inlineStr"/>
      <c r="BJ851" t="inlineStr"/>
      <c r="BK851" t="inlineStr"/>
      <c r="BL851" t="inlineStr"/>
      <c r="BM851" t="inlineStr"/>
      <c r="BN851" t="n">
        <v>0</v>
      </c>
      <c r="BO851" t="inlineStr"/>
      <c r="BP851" t="inlineStr"/>
      <c r="BQ851" t="inlineStr"/>
      <c r="BR851" t="inlineStr"/>
      <c r="BS851" t="inlineStr"/>
      <c r="BT851" t="inlineStr"/>
      <c r="BU851" t="inlineStr"/>
      <c r="BV851" t="inlineStr"/>
      <c r="BW851" t="inlineStr"/>
      <c r="BX851" t="inlineStr"/>
      <c r="BY851" t="inlineStr"/>
      <c r="BZ851" t="inlineStr"/>
      <c r="CA851" t="inlineStr"/>
      <c r="CB851" t="inlineStr"/>
      <c r="CC851" t="inlineStr"/>
      <c r="CD851" t="inlineStr"/>
      <c r="CE851" t="inlineStr"/>
      <c r="CF851" t="inlineStr"/>
      <c r="CG851" t="inlineStr"/>
      <c r="CH851" t="inlineStr"/>
      <c r="CI851" t="inlineStr"/>
      <c r="CJ851" t="inlineStr"/>
      <c r="CK851" t="inlineStr"/>
      <c r="CL851" t="inlineStr"/>
      <c r="CM851" t="inlineStr"/>
      <c r="CN851" t="inlineStr"/>
      <c r="CO851" t="inlineStr"/>
      <c r="CP851" t="inlineStr"/>
      <c r="CQ851" t="inlineStr"/>
      <c r="CR851" t="inlineStr"/>
      <c r="CS851" t="inlineStr"/>
      <c r="CT851" t="inlineStr"/>
      <c r="CU851" t="inlineStr"/>
      <c r="CV851" t="inlineStr"/>
      <c r="CW851" t="inlineStr"/>
      <c r="CX851" t="inlineStr"/>
      <c r="CY851" t="inlineStr"/>
      <c r="CZ851" t="inlineStr"/>
      <c r="DA851" t="inlineStr"/>
      <c r="DB851" t="inlineStr"/>
      <c r="DC851" t="inlineStr"/>
      <c r="DD851" t="inlineStr"/>
      <c r="DE851" t="inlineStr"/>
      <c r="DF851" t="inlineStr"/>
      <c r="DG851" t="inlineStr"/>
    </row>
    <row r="852">
      <c r="A852" t="inlineStr">
        <is>
          <t>III</t>
        </is>
      </c>
      <c r="B852" t="b">
        <v>1</v>
      </c>
      <c r="C852" t="inlineStr"/>
      <c r="D852" t="inlineStr"/>
      <c r="E852" t="n">
        <v>947</v>
      </c>
      <c r="F852">
        <f>HYPERLINK("https://portal.dnb.de/opac.htm?method=simpleSearch&amp;cqlMode=true&amp;query=idn%3D113264884X", "Portal")</f>
        <v/>
      </c>
      <c r="G852" t="inlineStr">
        <is>
          <t>Af</t>
        </is>
      </c>
      <c r="H852" t="inlineStr">
        <is>
          <t>L-9999-406966168</t>
        </is>
      </c>
      <c r="I852" t="inlineStr">
        <is>
          <t>113264884X</t>
        </is>
      </c>
      <c r="J852" t="inlineStr">
        <is>
          <t>III 99, 3</t>
        </is>
      </c>
      <c r="K852" t="inlineStr">
        <is>
          <t>III 99, 3</t>
        </is>
      </c>
      <c r="L852" t="inlineStr">
        <is>
          <t>III 99, 3 (angebunden)</t>
        </is>
      </c>
      <c r="M852" t="inlineStr"/>
      <c r="N852" t="inlineStr">
        <is>
          <t>Chronica Zeitbuch unnd Geschichtbibell von anbegyn biß in diss gegenwertig M.D.xxxvi. iar verlengt</t>
        </is>
      </c>
      <c r="O852" t="inlineStr">
        <is>
          <t xml:space="preserve">3. : </t>
        </is>
      </c>
      <c r="P852" t="inlineStr"/>
      <c r="Q852" t="inlineStr"/>
      <c r="R852" t="inlineStr"/>
      <c r="S852" t="inlineStr"/>
      <c r="T852" t="inlineStr"/>
      <c r="U852" t="inlineStr"/>
      <c r="V852" t="inlineStr"/>
      <c r="W852" t="inlineStr"/>
      <c r="X852" t="inlineStr"/>
      <c r="Y852" t="inlineStr"/>
      <c r="Z852" t="inlineStr"/>
      <c r="AA852" t="inlineStr"/>
      <c r="AB852" t="inlineStr"/>
      <c r="AC852" t="inlineStr"/>
      <c r="AD852" t="inlineStr"/>
      <c r="AE852" t="inlineStr"/>
      <c r="AF852" t="inlineStr"/>
      <c r="AG852" t="inlineStr"/>
      <c r="AH852" t="inlineStr"/>
      <c r="AI852" t="inlineStr"/>
      <c r="AJ852" t="inlineStr"/>
      <c r="AK852" t="inlineStr"/>
      <c r="AL852" t="inlineStr"/>
      <c r="AM852" t="inlineStr"/>
      <c r="AN852" t="inlineStr"/>
      <c r="AO852" t="inlineStr"/>
      <c r="AP852" t="inlineStr"/>
      <c r="AQ852" t="inlineStr"/>
      <c r="AR852" t="inlineStr"/>
      <c r="AS852" t="inlineStr"/>
      <c r="AT852" t="inlineStr"/>
      <c r="AU852" t="inlineStr"/>
      <c r="AV852" t="inlineStr"/>
      <c r="AW852" t="inlineStr"/>
      <c r="AX852" t="inlineStr"/>
      <c r="AY852" t="inlineStr"/>
      <c r="AZ852" t="inlineStr"/>
      <c r="BA852" t="inlineStr"/>
      <c r="BB852" t="inlineStr"/>
      <c r="BC852" t="inlineStr"/>
      <c r="BD852" t="inlineStr"/>
      <c r="BE852" t="inlineStr"/>
      <c r="BF852" t="inlineStr"/>
      <c r="BG852" t="inlineStr"/>
      <c r="BH852" t="inlineStr"/>
      <c r="BI852" t="inlineStr"/>
      <c r="BJ852" t="inlineStr"/>
      <c r="BK852" t="inlineStr"/>
      <c r="BL852" t="inlineStr"/>
      <c r="BM852" t="inlineStr"/>
      <c r="BN852" t="n">
        <v>0</v>
      </c>
      <c r="BO852" t="inlineStr"/>
      <c r="BP852" t="inlineStr"/>
      <c r="BQ852" t="inlineStr"/>
      <c r="BR852" t="inlineStr"/>
      <c r="BS852" t="inlineStr"/>
      <c r="BT852" t="inlineStr"/>
      <c r="BU852" t="inlineStr"/>
      <c r="BV852" t="inlineStr"/>
      <c r="BW852" t="inlineStr"/>
      <c r="BX852" t="inlineStr"/>
      <c r="BY852" t="inlineStr"/>
      <c r="BZ852" t="inlineStr"/>
      <c r="CA852" t="inlineStr"/>
      <c r="CB852" t="inlineStr"/>
      <c r="CC852" t="inlineStr"/>
      <c r="CD852" t="inlineStr"/>
      <c r="CE852" t="inlineStr"/>
      <c r="CF852" t="inlineStr"/>
      <c r="CG852" t="inlineStr"/>
      <c r="CH852" t="inlineStr"/>
      <c r="CI852" t="inlineStr"/>
      <c r="CJ852" t="inlineStr"/>
      <c r="CK852" t="inlineStr"/>
      <c r="CL852" t="inlineStr"/>
      <c r="CM852" t="inlineStr"/>
      <c r="CN852" t="inlineStr"/>
      <c r="CO852" t="inlineStr"/>
      <c r="CP852" t="inlineStr"/>
      <c r="CQ852" t="inlineStr"/>
      <c r="CR852" t="inlineStr"/>
      <c r="CS852" t="inlineStr"/>
      <c r="CT852" t="inlineStr"/>
      <c r="CU852" t="inlineStr"/>
      <c r="CV852" t="inlineStr"/>
      <c r="CW852" t="inlineStr"/>
      <c r="CX852" t="inlineStr"/>
      <c r="CY852" t="inlineStr"/>
      <c r="CZ852" t="inlineStr"/>
      <c r="DA852" t="inlineStr"/>
      <c r="DB852" t="inlineStr"/>
      <c r="DC852" t="inlineStr"/>
      <c r="DD852" t="inlineStr"/>
      <c r="DE852" t="inlineStr"/>
      <c r="DF852" t="inlineStr"/>
      <c r="DG852" t="inlineStr"/>
    </row>
    <row r="853">
      <c r="A853" t="inlineStr">
        <is>
          <t>III</t>
        </is>
      </c>
      <c r="B853" t="b">
        <v>1</v>
      </c>
      <c r="C853" t="inlineStr"/>
      <c r="D853" t="inlineStr"/>
      <c r="E853" t="n">
        <v>948</v>
      </c>
      <c r="F853">
        <f>HYPERLINK("https://portal.dnb.de/opac.htm?method=simpleSearch&amp;cqlMode=true&amp;query=idn%3D1066934541", "Portal")</f>
        <v/>
      </c>
      <c r="G853" t="inlineStr">
        <is>
          <t>Aaf</t>
        </is>
      </c>
      <c r="H853" t="inlineStr">
        <is>
          <t>L-1546-315462531</t>
        </is>
      </c>
      <c r="I853" t="inlineStr">
        <is>
          <t>1066934541</t>
        </is>
      </c>
      <c r="J853" t="inlineStr">
        <is>
          <t>III 100, 1</t>
        </is>
      </c>
      <c r="K853" t="inlineStr">
        <is>
          <t>III 100, 1</t>
        </is>
      </c>
      <c r="L853" t="inlineStr">
        <is>
          <t>III 100, 1</t>
        </is>
      </c>
      <c r="M853" t="inlineStr"/>
      <c r="N853" t="inlineStr">
        <is>
          <t xml:space="preserve">Prouechoso tratado de ca[m]bios y co[n]trataciones d' mercaderes y reprouacion de vsura : hecho por el lice[n]ciado Christoual de Villalo[n] graduado </t>
        </is>
      </c>
      <c r="O853" t="inlineStr">
        <is>
          <t xml:space="preserve"> : </t>
        </is>
      </c>
      <c r="P853" t="inlineStr"/>
      <c r="Q853" t="inlineStr"/>
      <c r="R853" t="inlineStr"/>
      <c r="S853" t="inlineStr">
        <is>
          <t>bis 25 cm</t>
        </is>
      </c>
      <c r="T853" t="inlineStr"/>
      <c r="U853" t="inlineStr"/>
      <c r="V853" t="inlineStr"/>
      <c r="W853" t="inlineStr"/>
      <c r="X853" t="inlineStr"/>
      <c r="Y853" t="inlineStr"/>
      <c r="Z853" t="inlineStr"/>
      <c r="AA853" t="inlineStr"/>
      <c r="AB853" t="inlineStr"/>
      <c r="AC853" t="inlineStr"/>
      <c r="AD853" t="inlineStr"/>
      <c r="AE853" t="inlineStr"/>
      <c r="AF853" t="inlineStr"/>
      <c r="AG853" t="inlineStr"/>
      <c r="AH853" t="inlineStr"/>
      <c r="AI853" t="inlineStr">
        <is>
          <t>G</t>
        </is>
      </c>
      <c r="AJ853" t="inlineStr"/>
      <c r="AK853" t="inlineStr">
        <is>
          <t>x</t>
        </is>
      </c>
      <c r="AL853" t="inlineStr"/>
      <c r="AM853" t="inlineStr">
        <is>
          <t>h/E</t>
        </is>
      </c>
      <c r="AN853" t="inlineStr"/>
      <c r="AO853" t="inlineStr"/>
      <c r="AP853" t="inlineStr"/>
      <c r="AQ853" t="inlineStr"/>
      <c r="AR853" t="inlineStr"/>
      <c r="AS853" t="inlineStr">
        <is>
          <t>Pa</t>
        </is>
      </c>
      <c r="AT853" t="inlineStr"/>
      <c r="AU853" t="inlineStr"/>
      <c r="AV853" t="inlineStr"/>
      <c r="AW853" t="inlineStr"/>
      <c r="AX853" t="inlineStr"/>
      <c r="AY853" t="inlineStr"/>
      <c r="AZ853" t="inlineStr"/>
      <c r="BA853" t="inlineStr"/>
      <c r="BB853" t="inlineStr"/>
      <c r="BC853" t="inlineStr"/>
      <c r="BD853" t="inlineStr"/>
      <c r="BE853" t="inlineStr"/>
      <c r="BF853" t="inlineStr"/>
      <c r="BG853" t="n">
        <v>110</v>
      </c>
      <c r="BH853" t="inlineStr"/>
      <c r="BI853" t="inlineStr"/>
      <c r="BJ853" t="inlineStr"/>
      <c r="BK853" t="inlineStr"/>
      <c r="BL853" t="inlineStr"/>
      <c r="BM853" t="inlineStr">
        <is>
          <t>n</t>
        </is>
      </c>
      <c r="BN853" t="n">
        <v>0</v>
      </c>
      <c r="BO853" t="inlineStr"/>
      <c r="BP853" t="inlineStr"/>
      <c r="BQ853" t="inlineStr"/>
      <c r="BR853" t="inlineStr"/>
      <c r="BS853" t="inlineStr"/>
      <c r="BT853" t="inlineStr"/>
      <c r="BU853" t="inlineStr"/>
      <c r="BV853" t="inlineStr"/>
      <c r="BW853" t="inlineStr"/>
      <c r="BX853" t="inlineStr"/>
      <c r="BY853" t="inlineStr"/>
      <c r="BZ853" t="inlineStr"/>
      <c r="CA853" t="inlineStr"/>
      <c r="CB853" t="inlineStr"/>
      <c r="CC853" t="inlineStr"/>
      <c r="CD853" t="inlineStr"/>
      <c r="CE853" t="inlineStr"/>
      <c r="CF853" t="inlineStr"/>
      <c r="CG853" t="inlineStr"/>
      <c r="CH853" t="inlineStr"/>
      <c r="CI853" t="inlineStr"/>
      <c r="CJ853" t="inlineStr"/>
      <c r="CK853" t="inlineStr"/>
      <c r="CL853" t="inlineStr"/>
      <c r="CM853" t="inlineStr"/>
      <c r="CN853" t="inlineStr"/>
      <c r="CO853" t="inlineStr"/>
      <c r="CP853" t="inlineStr"/>
      <c r="CQ853" t="inlineStr"/>
      <c r="CR853" t="inlineStr"/>
      <c r="CS853" t="inlineStr"/>
      <c r="CT853" t="inlineStr"/>
      <c r="CU853" t="inlineStr"/>
      <c r="CV853" t="inlineStr"/>
      <c r="CW853" t="inlineStr"/>
      <c r="CX853" t="inlineStr"/>
      <c r="CY853" t="inlineStr"/>
      <c r="CZ853" t="inlineStr"/>
      <c r="DA853" t="inlineStr"/>
      <c r="DB853" t="inlineStr"/>
      <c r="DC853" t="inlineStr"/>
      <c r="DD853" t="inlineStr"/>
      <c r="DE853" t="inlineStr"/>
      <c r="DF853" t="inlineStr"/>
      <c r="DG853" t="inlineStr"/>
    </row>
    <row r="854">
      <c r="A854" t="inlineStr">
        <is>
          <t>III</t>
        </is>
      </c>
      <c r="B854" t="b">
        <v>1</v>
      </c>
      <c r="C854" t="inlineStr"/>
      <c r="D854" t="inlineStr"/>
      <c r="E854" t="n">
        <v>949</v>
      </c>
      <c r="F854">
        <f>HYPERLINK("https://portal.dnb.de/opac.htm?method=simpleSearch&amp;cqlMode=true&amp;query=idn%3D1066834091", "Portal")</f>
        <v/>
      </c>
      <c r="G854" t="inlineStr">
        <is>
          <t>Aaf</t>
        </is>
      </c>
      <c r="H854" t="inlineStr">
        <is>
          <t>L-1501-315293942</t>
        </is>
      </c>
      <c r="I854" t="inlineStr">
        <is>
          <t>1066834091</t>
        </is>
      </c>
      <c r="J854" t="inlineStr">
        <is>
          <t>III 101, 1</t>
        </is>
      </c>
      <c r="K854" t="inlineStr">
        <is>
          <t>III 101, 1</t>
        </is>
      </c>
      <c r="L854" t="inlineStr">
        <is>
          <t>III 101, 1</t>
        </is>
      </c>
      <c r="M854" t="inlineStr"/>
      <c r="N854" t="inlineStr">
        <is>
          <t xml:space="preserve">Ivvenalis. Persivs : </t>
        </is>
      </c>
      <c r="O854" t="inlineStr">
        <is>
          <t xml:space="preserve"> : </t>
        </is>
      </c>
      <c r="P854" t="inlineStr"/>
      <c r="Q854" t="inlineStr"/>
      <c r="R854" t="inlineStr"/>
      <c r="S854" t="inlineStr">
        <is>
          <t>bis 25 cm</t>
        </is>
      </c>
      <c r="T854" t="inlineStr"/>
      <c r="U854" t="inlineStr"/>
      <c r="V854" t="inlineStr"/>
      <c r="W854" t="inlineStr"/>
      <c r="X854" t="inlineStr"/>
      <c r="Y854" t="inlineStr"/>
      <c r="Z854" t="inlineStr"/>
      <c r="AA854" t="inlineStr"/>
      <c r="AB854" t="inlineStr"/>
      <c r="AC854" t="inlineStr"/>
      <c r="AD854" t="inlineStr"/>
      <c r="AE854" t="inlineStr"/>
      <c r="AF854" t="inlineStr"/>
      <c r="AG854" t="inlineStr"/>
      <c r="AH854" t="inlineStr"/>
      <c r="AI854" t="inlineStr">
        <is>
          <t>L</t>
        </is>
      </c>
      <c r="AJ854" t="inlineStr"/>
      <c r="AK854" t="inlineStr"/>
      <c r="AL854" t="inlineStr"/>
      <c r="AM854" t="inlineStr">
        <is>
          <t>f/V</t>
        </is>
      </c>
      <c r="AN854" t="inlineStr"/>
      <c r="AO854" t="inlineStr"/>
      <c r="AP854" t="inlineStr"/>
      <c r="AQ854" t="inlineStr"/>
      <c r="AR854" t="inlineStr"/>
      <c r="AS854" t="inlineStr">
        <is>
          <t>Pa</t>
        </is>
      </c>
      <c r="AT854" t="inlineStr"/>
      <c r="AU854" t="inlineStr"/>
      <c r="AV854" t="inlineStr"/>
      <c r="AW854" t="inlineStr"/>
      <c r="AX854" t="inlineStr"/>
      <c r="AY854" t="inlineStr"/>
      <c r="AZ854" t="inlineStr"/>
      <c r="BA854" t="inlineStr"/>
      <c r="BB854" t="inlineStr"/>
      <c r="BC854" t="inlineStr"/>
      <c r="BD854" t="inlineStr"/>
      <c r="BE854" t="inlineStr"/>
      <c r="BF854" t="inlineStr"/>
      <c r="BG854" t="n">
        <v>110</v>
      </c>
      <c r="BH854" t="inlineStr"/>
      <c r="BI854" t="inlineStr"/>
      <c r="BJ854" t="inlineStr"/>
      <c r="BK854" t="inlineStr"/>
      <c r="BL854" t="inlineStr"/>
      <c r="BM854" t="inlineStr">
        <is>
          <t>n</t>
        </is>
      </c>
      <c r="BN854" t="n">
        <v>0</v>
      </c>
      <c r="BO854" t="inlineStr"/>
      <c r="BP854" t="inlineStr">
        <is>
          <t>Halbgewebe mit Papier</t>
        </is>
      </c>
      <c r="BQ854" t="inlineStr"/>
      <c r="BR854" t="inlineStr"/>
      <c r="BS854" t="inlineStr"/>
      <c r="BT854" t="inlineStr"/>
      <c r="BU854" t="inlineStr"/>
      <c r="BV854" t="inlineStr">
        <is>
          <t>Aldine</t>
        </is>
      </c>
      <c r="BW854" t="inlineStr"/>
      <c r="BX854" t="inlineStr"/>
      <c r="BY854" t="inlineStr"/>
      <c r="BZ854" t="inlineStr"/>
      <c r="CA854" t="inlineStr"/>
      <c r="CB854" t="inlineStr"/>
      <c r="CC854" t="inlineStr"/>
      <c r="CD854" t="inlineStr"/>
      <c r="CE854" t="inlineStr"/>
      <c r="CF854" t="inlineStr"/>
      <c r="CG854" t="inlineStr"/>
      <c r="CH854" t="inlineStr"/>
      <c r="CI854" t="inlineStr"/>
      <c r="CJ854" t="inlineStr"/>
      <c r="CK854" t="inlineStr"/>
      <c r="CL854" t="inlineStr"/>
      <c r="CM854" t="inlineStr"/>
      <c r="CN854" t="inlineStr"/>
      <c r="CO854" t="inlineStr"/>
      <c r="CP854" t="inlineStr"/>
      <c r="CQ854" t="inlineStr"/>
      <c r="CR854" t="inlineStr"/>
      <c r="CS854" t="inlineStr"/>
      <c r="CT854" t="inlineStr"/>
      <c r="CU854" t="inlineStr"/>
      <c r="CV854" t="inlineStr"/>
      <c r="CW854" t="inlineStr"/>
      <c r="CX854" t="inlineStr"/>
      <c r="CY854" t="inlineStr"/>
      <c r="CZ854" t="inlineStr"/>
      <c r="DA854" t="inlineStr"/>
      <c r="DB854" t="inlineStr"/>
      <c r="DC854" t="inlineStr"/>
      <c r="DD854" t="inlineStr"/>
      <c r="DE854" t="inlineStr"/>
      <c r="DF854" t="inlineStr"/>
      <c r="DG854" t="inlineStr"/>
    </row>
    <row r="855">
      <c r="A855" t="inlineStr">
        <is>
          <t>III</t>
        </is>
      </c>
      <c r="B855" t="b">
        <v>1</v>
      </c>
      <c r="C855" t="inlineStr"/>
      <c r="D855" t="inlineStr"/>
      <c r="E855" t="n">
        <v>950</v>
      </c>
      <c r="F855">
        <f>HYPERLINK("https://portal.dnb.de/opac.htm?method=simpleSearch&amp;cqlMode=true&amp;query=idn%3D1066935297", "Portal")</f>
        <v/>
      </c>
      <c r="G855" t="inlineStr">
        <is>
          <t>Aaf</t>
        </is>
      </c>
      <c r="H855" t="inlineStr">
        <is>
          <t>L-1503-315463260</t>
        </is>
      </c>
      <c r="I855" t="inlineStr">
        <is>
          <t>1066935297</t>
        </is>
      </c>
      <c r="J855" t="inlineStr">
        <is>
          <t>III 101, 2</t>
        </is>
      </c>
      <c r="K855" t="inlineStr">
        <is>
          <t>III 101, 2</t>
        </is>
      </c>
      <c r="L855" t="inlineStr">
        <is>
          <t>III 101, 2</t>
        </is>
      </c>
      <c r="M855" t="inlineStr"/>
      <c r="N855" t="inlineStr">
        <is>
          <t>Constantini Lascaris ... De octo partibus orationis liber primus. Eiusdem de constructione liber secundus. Eiusdem de nomine et verbo liber tertius. E</t>
        </is>
      </c>
      <c r="O855" t="inlineStr">
        <is>
          <t xml:space="preserve"> : </t>
        </is>
      </c>
      <c r="P855" t="inlineStr"/>
      <c r="Q855" t="inlineStr"/>
      <c r="R855" t="inlineStr"/>
      <c r="S855" t="inlineStr">
        <is>
          <t>bis 25 cm</t>
        </is>
      </c>
      <c r="T855" t="inlineStr"/>
      <c r="U855" t="inlineStr"/>
      <c r="V855" t="inlineStr"/>
      <c r="W855" t="inlineStr"/>
      <c r="X855" t="inlineStr"/>
      <c r="Y855" t="inlineStr"/>
      <c r="Z855" t="inlineStr"/>
      <c r="AA855" t="inlineStr"/>
      <c r="AB855" t="inlineStr"/>
      <c r="AC855" t="inlineStr"/>
      <c r="AD855" t="inlineStr"/>
      <c r="AE855" t="inlineStr"/>
      <c r="AF855" t="inlineStr"/>
      <c r="AG855" t="inlineStr"/>
      <c r="AH855" t="inlineStr"/>
      <c r="AI855" t="inlineStr">
        <is>
          <t>HD</t>
        </is>
      </c>
      <c r="AJ855" t="inlineStr"/>
      <c r="AK855" t="inlineStr"/>
      <c r="AL855" t="inlineStr">
        <is>
          <t>x</t>
        </is>
      </c>
      <c r="AM855" t="inlineStr">
        <is>
          <t>f</t>
        </is>
      </c>
      <c r="AN855" t="inlineStr"/>
      <c r="AO855" t="inlineStr"/>
      <c r="AP855" t="inlineStr"/>
      <c r="AQ855" t="inlineStr"/>
      <c r="AR855" t="inlineStr"/>
      <c r="AS855" t="inlineStr">
        <is>
          <t>Pa</t>
        </is>
      </c>
      <c r="AT855" t="inlineStr"/>
      <c r="AU855" t="inlineStr"/>
      <c r="AV855" t="inlineStr"/>
      <c r="AW855" t="inlineStr"/>
      <c r="AX855" t="inlineStr"/>
      <c r="AY855" t="inlineStr"/>
      <c r="AZ855" t="inlineStr"/>
      <c r="BA855" t="inlineStr"/>
      <c r="BB855" t="inlineStr"/>
      <c r="BC855" t="inlineStr"/>
      <c r="BD855" t="inlineStr"/>
      <c r="BE855" t="inlineStr"/>
      <c r="BF855" t="inlineStr"/>
      <c r="BG855" t="n">
        <v>80</v>
      </c>
      <c r="BH855" t="inlineStr"/>
      <c r="BI855" t="inlineStr"/>
      <c r="BJ855" t="inlineStr"/>
      <c r="BK855" t="inlineStr"/>
      <c r="BL855" t="inlineStr"/>
      <c r="BM855" t="inlineStr">
        <is>
          <t>n</t>
        </is>
      </c>
      <c r="BN855" t="n">
        <v>0</v>
      </c>
      <c r="BO855" t="inlineStr"/>
      <c r="BP855" t="inlineStr">
        <is>
          <t>Gewebe</t>
        </is>
      </c>
      <c r="BQ855" t="inlineStr"/>
      <c r="BR855" t="inlineStr"/>
      <c r="BS855" t="inlineStr"/>
      <c r="BT855" t="inlineStr"/>
      <c r="BU855" t="inlineStr"/>
      <c r="BV855" t="inlineStr"/>
      <c r="BW855" t="inlineStr"/>
      <c r="BX855" t="inlineStr"/>
      <c r="BY855" t="inlineStr"/>
      <c r="BZ855" t="inlineStr"/>
      <c r="CA855" t="inlineStr"/>
      <c r="CB855" t="inlineStr"/>
      <c r="CC855" t="inlineStr"/>
      <c r="CD855" t="inlineStr"/>
      <c r="CE855" t="inlineStr"/>
      <c r="CF855" t="inlineStr"/>
      <c r="CG855" t="inlineStr"/>
      <c r="CH855" t="inlineStr"/>
      <c r="CI855" t="inlineStr"/>
      <c r="CJ855" t="inlineStr"/>
      <c r="CK855" t="inlineStr"/>
      <c r="CL855" t="inlineStr"/>
      <c r="CM855" t="inlineStr"/>
      <c r="CN855" t="inlineStr"/>
      <c r="CO855" t="inlineStr"/>
      <c r="CP855" t="inlineStr"/>
      <c r="CQ855" t="inlineStr"/>
      <c r="CR855" t="inlineStr"/>
      <c r="CS855" t="inlineStr"/>
      <c r="CT855" t="inlineStr"/>
      <c r="CU855" t="inlineStr"/>
      <c r="CV855" t="inlineStr"/>
      <c r="CW855" t="inlineStr"/>
      <c r="CX855" t="inlineStr"/>
      <c r="CY855" t="inlineStr"/>
      <c r="CZ855" t="inlineStr"/>
      <c r="DA855" t="inlineStr"/>
      <c r="DB855" t="inlineStr"/>
      <c r="DC855" t="inlineStr"/>
      <c r="DD855" t="inlineStr"/>
      <c r="DE855" t="inlineStr"/>
      <c r="DF855" t="inlineStr"/>
      <c r="DG855" t="inlineStr"/>
    </row>
    <row r="856">
      <c r="A856" t="inlineStr">
        <is>
          <t>III</t>
        </is>
      </c>
      <c r="B856" t="b">
        <v>1</v>
      </c>
      <c r="C856" t="inlineStr"/>
      <c r="D856" t="inlineStr"/>
      <c r="E856" t="n">
        <v>1003</v>
      </c>
      <c r="F856">
        <f>HYPERLINK("https://portal.dnb.de/opac.htm?method=simpleSearch&amp;cqlMode=true&amp;query=idn%3D998469998", "Portal")</f>
        <v/>
      </c>
      <c r="G856" t="inlineStr">
        <is>
          <t>Aal</t>
        </is>
      </c>
      <c r="H856" t="inlineStr">
        <is>
          <t>L-1512-166255823</t>
        </is>
      </c>
      <c r="I856" t="inlineStr">
        <is>
          <t>998469998</t>
        </is>
      </c>
      <c r="J856" t="inlineStr">
        <is>
          <t>III 101, 2 a</t>
        </is>
      </c>
      <c r="K856" t="inlineStr">
        <is>
          <t>III 101, 2 a</t>
        </is>
      </c>
      <c r="L856" t="inlineStr">
        <is>
          <t>III 101, 2 a</t>
        </is>
      </c>
      <c r="M856" t="inlineStr"/>
      <c r="N856" t="inlineStr">
        <is>
          <t>In hoc libro haec habentvr. Constantini Lascaris Byzantini de octo partibus or[ati]onis lib. I Eiusdem de constructione. Liber secundus. Eiusdem de no</t>
        </is>
      </c>
      <c r="O856" t="inlineStr">
        <is>
          <t xml:space="preserve"> : </t>
        </is>
      </c>
      <c r="P856" t="inlineStr"/>
      <c r="Q856" t="inlineStr"/>
      <c r="R856" t="inlineStr"/>
      <c r="S856" t="inlineStr">
        <is>
          <t>bis 25 cm</t>
        </is>
      </c>
      <c r="T856" t="inlineStr"/>
      <c r="U856" t="inlineStr"/>
      <c r="V856" t="inlineStr"/>
      <c r="W856" t="inlineStr"/>
      <c r="X856" t="inlineStr"/>
      <c r="Y856" t="inlineStr"/>
      <c r="Z856" t="inlineStr"/>
      <c r="AA856" t="inlineStr"/>
      <c r="AB856" t="inlineStr"/>
      <c r="AC856" t="inlineStr"/>
      <c r="AD856" t="inlineStr"/>
      <c r="AE856" t="inlineStr"/>
      <c r="AF856" t="inlineStr"/>
      <c r="AG856" t="inlineStr"/>
      <c r="AH856" t="inlineStr"/>
      <c r="AI856" t="inlineStr">
        <is>
          <t>HL</t>
        </is>
      </c>
      <c r="AJ856" t="inlineStr"/>
      <c r="AK856" t="inlineStr"/>
      <c r="AL856" t="inlineStr">
        <is>
          <t>x</t>
        </is>
      </c>
      <c r="AM856" t="inlineStr">
        <is>
          <t>f/V</t>
        </is>
      </c>
      <c r="AN856" t="inlineStr"/>
      <c r="AO856" t="inlineStr"/>
      <c r="AP856" t="inlineStr"/>
      <c r="AQ856" t="inlineStr"/>
      <c r="AR856" t="inlineStr"/>
      <c r="AS856" t="inlineStr">
        <is>
          <t>Pa</t>
        </is>
      </c>
      <c r="AT856" t="inlineStr"/>
      <c r="AU856" t="inlineStr"/>
      <c r="AV856" t="inlineStr"/>
      <c r="AW856" t="inlineStr"/>
      <c r="AX856" t="inlineStr"/>
      <c r="AY856" t="inlineStr"/>
      <c r="AZ856" t="inlineStr"/>
      <c r="BA856" t="inlineStr"/>
      <c r="BB856" t="inlineStr"/>
      <c r="BC856" t="inlineStr"/>
      <c r="BD856" t="inlineStr"/>
      <c r="BE856" t="inlineStr"/>
      <c r="BF856" t="inlineStr"/>
      <c r="BG856" t="inlineStr">
        <is>
          <t>max 110</t>
        </is>
      </c>
      <c r="BH856" t="inlineStr"/>
      <c r="BI856" t="inlineStr"/>
      <c r="BJ856" t="inlineStr"/>
      <c r="BK856" t="inlineStr"/>
      <c r="BL856" t="inlineStr"/>
      <c r="BM856" t="inlineStr">
        <is>
          <t>n</t>
        </is>
      </c>
      <c r="BN856" t="n">
        <v>0</v>
      </c>
      <c r="BO856" t="inlineStr"/>
      <c r="BP856" t="inlineStr">
        <is>
          <t>Gewebe</t>
        </is>
      </c>
      <c r="BQ856" t="inlineStr"/>
      <c r="BR856" t="inlineStr"/>
      <c r="BS856" t="inlineStr"/>
      <c r="BT856" t="inlineStr"/>
      <c r="BU856" t="inlineStr"/>
      <c r="BV856" t="inlineStr"/>
      <c r="BW856" t="inlineStr"/>
      <c r="BX856" t="inlineStr"/>
      <c r="BY856" t="inlineStr"/>
      <c r="BZ856" t="inlineStr"/>
      <c r="CA856" t="inlineStr"/>
      <c r="CB856" t="inlineStr"/>
      <c r="CC856" t="inlineStr"/>
      <c r="CD856" t="inlineStr"/>
      <c r="CE856" t="inlineStr"/>
      <c r="CF856" t="inlineStr"/>
      <c r="CG856" t="inlineStr"/>
      <c r="CH856" t="inlineStr"/>
      <c r="CI856" t="inlineStr"/>
      <c r="CJ856" t="inlineStr"/>
      <c r="CK856" t="inlineStr"/>
      <c r="CL856" t="inlineStr"/>
      <c r="CM856" t="inlineStr"/>
      <c r="CN856" t="inlineStr"/>
      <c r="CO856" t="inlineStr"/>
      <c r="CP856" t="inlineStr"/>
      <c r="CQ856" t="inlineStr"/>
      <c r="CR856" t="inlineStr"/>
      <c r="CS856" t="inlineStr"/>
      <c r="CT856" t="inlineStr"/>
      <c r="CU856" t="inlineStr"/>
      <c r="CV856" t="inlineStr"/>
      <c r="CW856" t="inlineStr"/>
      <c r="CX856" t="inlineStr"/>
      <c r="CY856" t="inlineStr"/>
      <c r="CZ856" t="inlineStr"/>
      <c r="DA856" t="inlineStr"/>
      <c r="DB856" t="inlineStr"/>
      <c r="DC856" t="inlineStr"/>
      <c r="DD856" t="inlineStr"/>
      <c r="DE856" t="inlineStr"/>
      <c r="DF856" t="inlineStr"/>
      <c r="DG856" t="inlineStr"/>
    </row>
    <row r="857">
      <c r="A857" t="inlineStr">
        <is>
          <t>III</t>
        </is>
      </c>
      <c r="B857" t="b">
        <v>1</v>
      </c>
      <c r="C857" t="inlineStr"/>
      <c r="D857" t="inlineStr"/>
      <c r="E857" t="n">
        <v>1004</v>
      </c>
      <c r="F857">
        <f>HYPERLINK("https://portal.dnb.de/opac.htm?method=simpleSearch&amp;cqlMode=true&amp;query=idn%3D999810626", "Portal")</f>
        <v/>
      </c>
      <c r="G857" t="inlineStr">
        <is>
          <t>Afl</t>
        </is>
      </c>
      <c r="H857" t="inlineStr">
        <is>
          <t>L-1502-169491854</t>
        </is>
      </c>
      <c r="I857" t="inlineStr">
        <is>
          <t>999810626</t>
        </is>
      </c>
      <c r="J857" t="inlineStr">
        <is>
          <t>III 101, 2b</t>
        </is>
      </c>
      <c r="K857" t="inlineStr">
        <is>
          <t>III 101, 2b</t>
        </is>
      </c>
      <c r="L857" t="inlineStr">
        <is>
          <t>III 101, 2 b</t>
        </is>
      </c>
      <c r="M857" t="inlineStr"/>
      <c r="N857" t="inlineStr">
        <is>
          <t>[Opera omnia]</t>
        </is>
      </c>
      <c r="O857" t="inlineStr">
        <is>
          <t>1. : Quae hoc volumine continentur. Ad Marinum Sannutum epistola ... Ouidii Metamorphoseōn libri quindecim</t>
        </is>
      </c>
      <c r="P857" t="inlineStr"/>
      <c r="Q857" t="inlineStr">
        <is>
          <t>1300,00 EUR</t>
        </is>
      </c>
      <c r="R857" t="inlineStr"/>
      <c r="S857" t="inlineStr">
        <is>
          <t>bis 25 cm</t>
        </is>
      </c>
      <c r="T857" t="inlineStr"/>
      <c r="U857" t="inlineStr"/>
      <c r="V857" t="inlineStr"/>
      <c r="W857" t="inlineStr"/>
      <c r="X857" t="inlineStr"/>
      <c r="Y857" t="inlineStr"/>
      <c r="Z857" t="inlineStr"/>
      <c r="AA857" t="inlineStr"/>
      <c r="AB857" t="inlineStr"/>
      <c r="AC857" t="inlineStr"/>
      <c r="AD857" t="inlineStr"/>
      <c r="AE857" t="inlineStr"/>
      <c r="AF857" t="inlineStr"/>
      <c r="AG857" t="inlineStr"/>
      <c r="AH857" t="inlineStr"/>
      <c r="AI857" t="inlineStr">
        <is>
          <t>L</t>
        </is>
      </c>
      <c r="AJ857" t="inlineStr"/>
      <c r="AK857" t="inlineStr"/>
      <c r="AL857" t="inlineStr">
        <is>
          <t>x</t>
        </is>
      </c>
      <c r="AM857" t="inlineStr">
        <is>
          <t>f</t>
        </is>
      </c>
      <c r="AN857" t="inlineStr"/>
      <c r="AO857" t="inlineStr"/>
      <c r="AP857" t="inlineStr"/>
      <c r="AQ857" t="inlineStr"/>
      <c r="AR857" t="inlineStr"/>
      <c r="AS857" t="inlineStr">
        <is>
          <t>Pa</t>
        </is>
      </c>
      <c r="AT857" t="inlineStr"/>
      <c r="AU857" t="inlineStr"/>
      <c r="AV857" t="inlineStr"/>
      <c r="AW857" t="inlineStr"/>
      <c r="AX857" t="inlineStr"/>
      <c r="AY857" t="inlineStr"/>
      <c r="AZ857" t="inlineStr"/>
      <c r="BA857" t="inlineStr"/>
      <c r="BB857" t="inlineStr"/>
      <c r="BC857" t="inlineStr"/>
      <c r="BD857" t="inlineStr"/>
      <c r="BE857" t="inlineStr"/>
      <c r="BF857" t="inlineStr"/>
      <c r="BG857" t="n">
        <v>45</v>
      </c>
      <c r="BH857" t="inlineStr"/>
      <c r="BI857" t="inlineStr"/>
      <c r="BJ857" t="inlineStr"/>
      <c r="BK857" t="inlineStr"/>
      <c r="BL857" t="inlineStr"/>
      <c r="BM857" t="inlineStr">
        <is>
          <t>n</t>
        </is>
      </c>
      <c r="BN857" t="n">
        <v>0</v>
      </c>
      <c r="BO857" t="inlineStr"/>
      <c r="BP857" t="inlineStr">
        <is>
          <t>Gewebe</t>
        </is>
      </c>
      <c r="BQ857" t="inlineStr"/>
      <c r="BR857" t="inlineStr"/>
      <c r="BS857" t="inlineStr"/>
      <c r="BT857" t="inlineStr"/>
      <c r="BU857" t="inlineStr"/>
      <c r="BV857" t="inlineStr"/>
      <c r="BW857" t="inlineStr"/>
      <c r="BX857" t="inlineStr"/>
      <c r="BY857" t="inlineStr"/>
      <c r="BZ857" t="inlineStr"/>
      <c r="CA857" t="inlineStr"/>
      <c r="CB857" t="inlineStr"/>
      <c r="CC857" t="inlineStr"/>
      <c r="CD857" t="inlineStr"/>
      <c r="CE857" t="inlineStr"/>
      <c r="CF857" t="inlineStr"/>
      <c r="CG857" t="inlineStr"/>
      <c r="CH857" t="inlineStr"/>
      <c r="CI857" t="inlineStr"/>
      <c r="CJ857" t="inlineStr"/>
      <c r="CK857" t="inlineStr"/>
      <c r="CL857" t="inlineStr"/>
      <c r="CM857" t="inlineStr"/>
      <c r="CN857" t="inlineStr"/>
      <c r="CO857" t="inlineStr"/>
      <c r="CP857" t="inlineStr"/>
      <c r="CQ857" t="inlineStr"/>
      <c r="CR857" t="inlineStr"/>
      <c r="CS857" t="inlineStr"/>
      <c r="CT857" t="inlineStr"/>
      <c r="CU857" t="inlineStr"/>
      <c r="CV857" t="inlineStr"/>
      <c r="CW857" t="inlineStr"/>
      <c r="CX857" t="inlineStr"/>
      <c r="CY857" t="inlineStr"/>
      <c r="CZ857" t="inlineStr"/>
      <c r="DA857" t="inlineStr"/>
      <c r="DB857" t="inlineStr"/>
      <c r="DC857" t="inlineStr"/>
      <c r="DD857" t="inlineStr"/>
      <c r="DE857" t="inlineStr"/>
      <c r="DF857" t="inlineStr"/>
      <c r="DG857" t="inlineStr"/>
    </row>
    <row r="858">
      <c r="A858" t="inlineStr">
        <is>
          <t>III</t>
        </is>
      </c>
      <c r="B858" t="b">
        <v>1</v>
      </c>
      <c r="C858" t="inlineStr">
        <is>
          <t>x</t>
        </is>
      </c>
      <c r="D858" t="inlineStr"/>
      <c r="E858" t="n">
        <v>1005</v>
      </c>
      <c r="F858">
        <f>HYPERLINK("https://portal.dnb.de/opac.htm?method=simpleSearch&amp;cqlMode=true&amp;query=idn%3D1066773343", "Portal")</f>
        <v/>
      </c>
      <c r="G858" t="inlineStr">
        <is>
          <t>Af</t>
        </is>
      </c>
      <c r="H858" t="inlineStr">
        <is>
          <t>L-1516-315195681</t>
        </is>
      </c>
      <c r="I858" t="inlineStr">
        <is>
          <t>1066773343</t>
        </is>
      </c>
      <c r="J858" t="inlineStr">
        <is>
          <t>III 101, 2 c</t>
        </is>
      </c>
      <c r="K858" t="inlineStr">
        <is>
          <t>III 101, 2 c</t>
        </is>
      </c>
      <c r="L858" t="inlineStr">
        <is>
          <t>III 101, 2 c</t>
        </is>
      </c>
      <c r="M858" t="inlineStr"/>
      <c r="N858" t="inlineStr">
        <is>
          <t xml:space="preserve">P. Ouidij Nasonis uita per Aldum ex ipsius libris excerpta. Heroidum epistolae. Amorum libri 3. De arte amandi libri 3. De remedio amoris libri 2. De </t>
        </is>
      </c>
      <c r="O858" t="inlineStr">
        <is>
          <t>3. : Quae hoc volumine continentur. Annotationes in omnia Ouidij opera. Index fabularum, &amp; caeterorum, quae insunt hoc libro secundum ordinem alphabeti. Ouidij Metamorphoseon libri 15</t>
        </is>
      </c>
      <c r="P858" t="inlineStr"/>
      <c r="Q858" t="inlineStr"/>
      <c r="R858" t="inlineStr"/>
      <c r="S858" t="inlineStr">
        <is>
          <t>bis 25 cm</t>
        </is>
      </c>
      <c r="T858" t="inlineStr"/>
      <c r="U858" t="inlineStr"/>
      <c r="V858" t="inlineStr"/>
      <c r="W858" t="inlineStr"/>
      <c r="X858" t="inlineStr"/>
      <c r="Y858" t="inlineStr"/>
      <c r="Z858" t="inlineStr"/>
      <c r="AA858" t="inlineStr"/>
      <c r="AB858" t="inlineStr"/>
      <c r="AC858" t="inlineStr"/>
      <c r="AD858" t="inlineStr"/>
      <c r="AE858" t="inlineStr"/>
      <c r="AF858" t="inlineStr"/>
      <c r="AG858" t="inlineStr"/>
      <c r="AH858" t="inlineStr"/>
      <c r="AI858" t="inlineStr">
        <is>
          <t>L</t>
        </is>
      </c>
      <c r="AJ858" t="inlineStr"/>
      <c r="AK858" t="inlineStr"/>
      <c r="AL858" t="inlineStr"/>
      <c r="AM858" t="inlineStr">
        <is>
          <t>f</t>
        </is>
      </c>
      <c r="AN858" t="inlineStr"/>
      <c r="AO858" t="inlineStr"/>
      <c r="AP858" t="inlineStr"/>
      <c r="AQ858" t="inlineStr"/>
      <c r="AR858" t="inlineStr"/>
      <c r="AS858" t="inlineStr">
        <is>
          <t>Pa</t>
        </is>
      </c>
      <c r="AT858" t="inlineStr"/>
      <c r="AU858" t="inlineStr"/>
      <c r="AV858" t="inlineStr"/>
      <c r="AW858" t="inlineStr"/>
      <c r="AX858" t="inlineStr"/>
      <c r="AY858" t="inlineStr"/>
      <c r="AZ858" t="inlineStr"/>
      <c r="BA858" t="inlineStr"/>
      <c r="BB858" t="inlineStr"/>
      <c r="BC858" t="inlineStr"/>
      <c r="BD858" t="inlineStr"/>
      <c r="BE858" t="inlineStr"/>
      <c r="BF858" t="inlineStr"/>
      <c r="BG858" t="n">
        <v>45</v>
      </c>
      <c r="BH858" t="inlineStr"/>
      <c r="BI858" t="inlineStr"/>
      <c r="BJ858" t="inlineStr"/>
      <c r="BK858" t="inlineStr"/>
      <c r="BL858" t="inlineStr"/>
      <c r="BM858" t="inlineStr">
        <is>
          <t>ja vor</t>
        </is>
      </c>
      <c r="BN858" t="n">
        <v>2.5</v>
      </c>
      <c r="BO858" t="inlineStr"/>
      <c r="BP858" t="inlineStr">
        <is>
          <t>Halbgewebe mit Papier</t>
        </is>
      </c>
      <c r="BQ858" t="inlineStr"/>
      <c r="BR858" t="inlineStr"/>
      <c r="BS858" t="inlineStr"/>
      <c r="BT858" t="inlineStr"/>
      <c r="BU858" t="inlineStr"/>
      <c r="BV858" t="inlineStr"/>
      <c r="BW858" t="inlineStr"/>
      <c r="BX858" t="inlineStr"/>
      <c r="BY858" t="inlineStr"/>
      <c r="BZ858" t="inlineStr"/>
      <c r="CA858" t="inlineStr">
        <is>
          <t>x</t>
        </is>
      </c>
      <c r="CB858" t="inlineStr">
        <is>
          <t>x</t>
        </is>
      </c>
      <c r="CC858" t="inlineStr"/>
      <c r="CD858" t="inlineStr">
        <is>
          <t>h</t>
        </is>
      </c>
      <c r="CE858" t="inlineStr"/>
      <c r="CF858" t="inlineStr"/>
      <c r="CG858" t="inlineStr"/>
      <c r="CH858" t="inlineStr"/>
      <c r="CI858" t="inlineStr">
        <is>
          <t>x</t>
        </is>
      </c>
      <c r="CJ858" t="inlineStr"/>
      <c r="CK858" t="inlineStr"/>
      <c r="CL858" t="inlineStr"/>
      <c r="CM858" t="n">
        <v>1.5</v>
      </c>
      <c r="CN858" t="inlineStr">
        <is>
          <t>Ecken festigen, Gelenk hinten überfangen</t>
        </is>
      </c>
      <c r="CO858" t="inlineStr"/>
      <c r="CP858" t="inlineStr"/>
      <c r="CQ858" t="inlineStr"/>
      <c r="CR858" t="inlineStr"/>
      <c r="CS858" t="inlineStr">
        <is>
          <t>x</t>
        </is>
      </c>
      <c r="CT858" t="inlineStr"/>
      <c r="CU858" t="inlineStr"/>
      <c r="CV858" t="inlineStr"/>
      <c r="CW858" t="inlineStr"/>
      <c r="CX858" t="inlineStr"/>
      <c r="CY858" t="inlineStr"/>
      <c r="CZ858" t="inlineStr"/>
      <c r="DA858" t="inlineStr"/>
      <c r="DB858" t="inlineStr"/>
      <c r="DC858" t="inlineStr"/>
      <c r="DD858" t="inlineStr"/>
      <c r="DE858" t="inlineStr"/>
      <c r="DF858" t="n">
        <v>1</v>
      </c>
      <c r="DG858" t="inlineStr"/>
    </row>
    <row r="859">
      <c r="A859" t="inlineStr">
        <is>
          <t>III</t>
        </is>
      </c>
      <c r="B859" t="b">
        <v>1</v>
      </c>
      <c r="C859" t="inlineStr"/>
      <c r="D859" t="inlineStr"/>
      <c r="E859" t="n">
        <v>1006</v>
      </c>
      <c r="F859">
        <f>HYPERLINK("https://portal.dnb.de/opac.htm?method=simpleSearch&amp;cqlMode=true&amp;query=idn%3D998827878", "Portal")</f>
        <v/>
      </c>
      <c r="G859" t="inlineStr">
        <is>
          <t>Aal</t>
        </is>
      </c>
      <c r="H859" t="inlineStr">
        <is>
          <t>L-1515-167033263</t>
        </is>
      </c>
      <c r="I859" t="inlineStr">
        <is>
          <t>998827878</t>
        </is>
      </c>
      <c r="J859" t="inlineStr">
        <is>
          <t>III 101, 2 d</t>
        </is>
      </c>
      <c r="K859" t="inlineStr">
        <is>
          <t>III 101, 2 d</t>
        </is>
      </c>
      <c r="L859" t="inlineStr">
        <is>
          <t>III 101, 2 d</t>
        </is>
      </c>
      <c r="M859" t="inlineStr"/>
      <c r="N859" t="inlineStr">
        <is>
          <t xml:space="preserve">[Pharsalia] : </t>
        </is>
      </c>
      <c r="O859" t="inlineStr">
        <is>
          <t xml:space="preserve"> : </t>
        </is>
      </c>
      <c r="P859" t="inlineStr"/>
      <c r="Q859" t="inlineStr"/>
      <c r="R859" t="inlineStr"/>
      <c r="S859" t="inlineStr">
        <is>
          <t>bis 25 cm</t>
        </is>
      </c>
      <c r="T859" t="inlineStr"/>
      <c r="U859" t="inlineStr"/>
      <c r="V859" t="inlineStr"/>
      <c r="W859" t="inlineStr"/>
      <c r="X859" t="inlineStr"/>
      <c r="Y859" t="inlineStr"/>
      <c r="Z859" t="inlineStr"/>
      <c r="AA859" t="inlineStr"/>
      <c r="AB859" t="inlineStr"/>
      <c r="AC859" t="inlineStr"/>
      <c r="AD859" t="inlineStr"/>
      <c r="AE859" t="inlineStr"/>
      <c r="AF859" t="inlineStr"/>
      <c r="AG859" t="inlineStr"/>
      <c r="AH859" t="inlineStr"/>
      <c r="AI859" t="inlineStr">
        <is>
          <t>Pg</t>
        </is>
      </c>
      <c r="AJ859" t="inlineStr">
        <is>
          <t xml:space="preserve">
Pergamentumschlag mit Einschlägen</t>
        </is>
      </c>
      <c r="AK859" t="inlineStr"/>
      <c r="AL859" t="inlineStr"/>
      <c r="AM859" t="inlineStr">
        <is>
          <t>h</t>
        </is>
      </c>
      <c r="AN859" t="inlineStr"/>
      <c r="AO859" t="inlineStr"/>
      <c r="AP859" t="inlineStr"/>
      <c r="AQ859" t="inlineStr"/>
      <c r="AR859" t="inlineStr"/>
      <c r="AS859" t="inlineStr">
        <is>
          <t>Pa</t>
        </is>
      </c>
      <c r="AT859" t="inlineStr"/>
      <c r="AU859" t="inlineStr"/>
      <c r="AV859" t="inlineStr"/>
      <c r="AW859" t="inlineStr"/>
      <c r="AX859" t="inlineStr"/>
      <c r="AY859" t="inlineStr"/>
      <c r="AZ859" t="inlineStr"/>
      <c r="BA859" t="inlineStr"/>
      <c r="BB859" t="inlineStr"/>
      <c r="BC859" t="inlineStr"/>
      <c r="BD859" t="inlineStr"/>
      <c r="BE859" t="inlineStr"/>
      <c r="BF859" t="inlineStr"/>
      <c r="BG859" t="inlineStr">
        <is>
          <t>nur 110</t>
        </is>
      </c>
      <c r="BH859" t="inlineStr"/>
      <c r="BI859" t="inlineStr"/>
      <c r="BJ859" t="inlineStr"/>
      <c r="BK859" t="inlineStr"/>
      <c r="BL859" t="inlineStr"/>
      <c r="BM859" t="inlineStr">
        <is>
          <t>n</t>
        </is>
      </c>
      <c r="BN859" t="n">
        <v>0</v>
      </c>
      <c r="BO859" t="inlineStr"/>
      <c r="BP859" t="inlineStr">
        <is>
          <t>Gewebe</t>
        </is>
      </c>
      <c r="BQ859" t="inlineStr"/>
      <c r="BR859" t="inlineStr"/>
      <c r="BS859" t="inlineStr"/>
      <c r="BT859" t="inlineStr"/>
      <c r="BU859" t="inlineStr"/>
      <c r="BV859" t="inlineStr"/>
      <c r="BW859" t="inlineStr"/>
      <c r="BX859" t="inlineStr"/>
      <c r="BY859" t="inlineStr"/>
      <c r="BZ859" t="inlineStr"/>
      <c r="CA859" t="inlineStr"/>
      <c r="CB859" t="inlineStr"/>
      <c r="CC859" t="inlineStr"/>
      <c r="CD859" t="inlineStr"/>
      <c r="CE859" t="inlineStr"/>
      <c r="CF859" t="inlineStr"/>
      <c r="CG859" t="inlineStr"/>
      <c r="CH859" t="inlineStr"/>
      <c r="CI859" t="inlineStr"/>
      <c r="CJ859" t="inlineStr"/>
      <c r="CK859" t="inlineStr"/>
      <c r="CL859" t="inlineStr"/>
      <c r="CM859" t="inlineStr"/>
      <c r="CN859" t="inlineStr"/>
      <c r="CO859" t="inlineStr"/>
      <c r="CP859" t="inlineStr"/>
      <c r="CQ859" t="inlineStr"/>
      <c r="CR859" t="inlineStr"/>
      <c r="CS859" t="inlineStr"/>
      <c r="CT859" t="inlineStr"/>
      <c r="CU859" t="inlineStr"/>
      <c r="CV859" t="inlineStr"/>
      <c r="CW859" t="inlineStr"/>
      <c r="CX859" t="inlineStr"/>
      <c r="CY859" t="inlineStr"/>
      <c r="CZ859" t="inlineStr"/>
      <c r="DA859" t="inlineStr"/>
      <c r="DB859" t="inlineStr"/>
      <c r="DC859" t="inlineStr"/>
      <c r="DD859" t="inlineStr"/>
      <c r="DE859" t="inlineStr"/>
      <c r="DF859" t="inlineStr"/>
      <c r="DG859" t="inlineStr"/>
    </row>
    <row r="860">
      <c r="A860" t="inlineStr">
        <is>
          <t>III</t>
        </is>
      </c>
      <c r="B860" t="b">
        <v>1</v>
      </c>
      <c r="C860" t="inlineStr">
        <is>
          <t>x</t>
        </is>
      </c>
      <c r="D860" t="inlineStr"/>
      <c r="E860" t="n">
        <v>953</v>
      </c>
      <c r="F860">
        <f>HYPERLINK("https://portal.dnb.de/opac.htm?method=simpleSearch&amp;cqlMode=true&amp;query=idn%3D994539819", "Portal")</f>
        <v/>
      </c>
      <c r="G860" t="inlineStr">
        <is>
          <t>Afl</t>
        </is>
      </c>
      <c r="H860" t="inlineStr">
        <is>
          <t>L-1519-156398532</t>
        </is>
      </c>
      <c r="I860" t="inlineStr">
        <is>
          <t>994539819</t>
        </is>
      </c>
      <c r="J860" t="inlineStr">
        <is>
          <t>III 101, 3</t>
        </is>
      </c>
      <c r="K860" t="inlineStr">
        <is>
          <t>III 101, 3</t>
        </is>
      </c>
      <c r="L860" t="inlineStr">
        <is>
          <t>III 101, 3 Bd. 1</t>
        </is>
      </c>
      <c r="M860" t="inlineStr"/>
      <c r="N860" t="inlineStr">
        <is>
          <t>Opera Omnia</t>
        </is>
      </c>
      <c r="O860" t="inlineStr">
        <is>
          <t>5. : M. T. Ciceronis Orationum volumen primum. - Vol. 1</t>
        </is>
      </c>
      <c r="P860" t="inlineStr"/>
      <c r="Q860" t="inlineStr"/>
      <c r="R860" t="inlineStr"/>
      <c r="S860" t="inlineStr">
        <is>
          <t>bis 25 cm</t>
        </is>
      </c>
      <c r="T860" t="inlineStr"/>
      <c r="U860" t="inlineStr"/>
      <c r="V860" t="inlineStr"/>
      <c r="W860" t="inlineStr"/>
      <c r="X860" t="inlineStr"/>
      <c r="Y860" t="inlineStr"/>
      <c r="Z860" t="inlineStr"/>
      <c r="AA860" t="inlineStr"/>
      <c r="AB860" t="inlineStr"/>
      <c r="AC860" t="inlineStr"/>
      <c r="AD860" t="inlineStr"/>
      <c r="AE860" t="inlineStr"/>
      <c r="AF860" t="inlineStr"/>
      <c r="AG860" t="inlineStr"/>
      <c r="AH860" t="inlineStr"/>
      <c r="AI860" t="inlineStr">
        <is>
          <t>HD</t>
        </is>
      </c>
      <c r="AJ860" t="inlineStr"/>
      <c r="AK860" t="inlineStr"/>
      <c r="AL860" t="inlineStr">
        <is>
          <t>x</t>
        </is>
      </c>
      <c r="AM860" t="inlineStr">
        <is>
          <t>f/V</t>
        </is>
      </c>
      <c r="AN860" t="inlineStr"/>
      <c r="AO860" t="inlineStr"/>
      <c r="AP860" t="inlineStr"/>
      <c r="AQ860" t="inlineStr"/>
      <c r="AR860" t="inlineStr"/>
      <c r="AS860" t="inlineStr">
        <is>
          <t>Pa</t>
        </is>
      </c>
      <c r="AT860" t="inlineStr"/>
      <c r="AU860" t="inlineStr"/>
      <c r="AV860" t="inlineStr"/>
      <c r="AW860" t="inlineStr"/>
      <c r="AX860" t="inlineStr"/>
      <c r="AY860" t="inlineStr"/>
      <c r="AZ860" t="inlineStr"/>
      <c r="BA860" t="inlineStr"/>
      <c r="BB860" t="inlineStr"/>
      <c r="BC860" t="inlineStr"/>
      <c r="BD860" t="inlineStr"/>
      <c r="BE860" t="inlineStr"/>
      <c r="BF860" t="inlineStr"/>
      <c r="BG860" t="n">
        <v>45</v>
      </c>
      <c r="BH860" t="inlineStr"/>
      <c r="BI860" t="inlineStr"/>
      <c r="BJ860" t="inlineStr"/>
      <c r="BK860" t="inlineStr"/>
      <c r="BL860" t="inlineStr"/>
      <c r="BM860" t="inlineStr">
        <is>
          <t>ja vor</t>
        </is>
      </c>
      <c r="BN860" t="n">
        <v>2.5</v>
      </c>
      <c r="BO860" t="inlineStr"/>
      <c r="BP860" t="inlineStr">
        <is>
          <t>Gewebe</t>
        </is>
      </c>
      <c r="BQ860" t="inlineStr"/>
      <c r="BR860" t="inlineStr"/>
      <c r="BS860" t="inlineStr"/>
      <c r="BT860" t="inlineStr"/>
      <c r="BU860" t="inlineStr"/>
      <c r="BV860" t="inlineStr"/>
      <c r="BW860" t="inlineStr"/>
      <c r="BX860" t="inlineStr"/>
      <c r="BY860" t="inlineStr"/>
      <c r="BZ860" t="inlineStr"/>
      <c r="CA860" t="inlineStr">
        <is>
          <t>x</t>
        </is>
      </c>
      <c r="CB860" t="inlineStr">
        <is>
          <t>x</t>
        </is>
      </c>
      <c r="CC860" t="inlineStr"/>
      <c r="CD860" t="inlineStr">
        <is>
          <t>v</t>
        </is>
      </c>
      <c r="CE860" t="inlineStr"/>
      <c r="CF860" t="inlineStr"/>
      <c r="CG860" t="inlineStr"/>
      <c r="CH860" t="inlineStr"/>
      <c r="CI860" t="inlineStr"/>
      <c r="CJ860" t="inlineStr"/>
      <c r="CK860" t="inlineStr"/>
      <c r="CL860" t="inlineStr">
        <is>
          <t>x</t>
        </is>
      </c>
      <c r="CM860" t="n">
        <v>2.5</v>
      </c>
      <c r="CN860" t="inlineStr">
        <is>
          <t>Kapital sichern, Gelenke/Rücken mit JP überfangen</t>
        </is>
      </c>
      <c r="CO860" t="inlineStr"/>
      <c r="CP860" t="inlineStr"/>
      <c r="CQ860" t="inlineStr"/>
      <c r="CR860" t="inlineStr"/>
      <c r="CS860" t="inlineStr"/>
      <c r="CT860" t="inlineStr"/>
      <c r="CU860" t="inlineStr"/>
      <c r="CV860" t="inlineStr"/>
      <c r="CW860" t="inlineStr"/>
      <c r="CX860" t="inlineStr"/>
      <c r="CY860" t="inlineStr"/>
      <c r="CZ860" t="inlineStr"/>
      <c r="DA860" t="inlineStr"/>
      <c r="DB860" t="inlineStr"/>
      <c r="DC860" t="inlineStr"/>
      <c r="DD860" t="inlineStr"/>
      <c r="DE860" t="inlineStr"/>
      <c r="DF860" t="inlineStr"/>
      <c r="DG860" t="inlineStr"/>
    </row>
    <row r="861">
      <c r="A861" t="inlineStr">
        <is>
          <t>III</t>
        </is>
      </c>
      <c r="B861" t="b">
        <v>1</v>
      </c>
      <c r="C861" t="inlineStr"/>
      <c r="D861" t="inlineStr"/>
      <c r="E861" t="n">
        <v>951</v>
      </c>
      <c r="F861">
        <f>HYPERLINK("https://portal.dnb.de/opac.htm?method=simpleSearch&amp;cqlMode=true&amp;query=idn%3D994539827", "Portal")</f>
        <v/>
      </c>
      <c r="G861" t="inlineStr">
        <is>
          <t>Afl</t>
        </is>
      </c>
      <c r="H861" t="inlineStr">
        <is>
          <t>L-1521-156398605</t>
        </is>
      </c>
      <c r="I861" t="inlineStr">
        <is>
          <t>994539827</t>
        </is>
      </c>
      <c r="J861" t="inlineStr">
        <is>
          <t>III 101, 3</t>
        </is>
      </c>
      <c r="K861" t="inlineStr">
        <is>
          <t>III 101, 3</t>
        </is>
      </c>
      <c r="L861" t="inlineStr">
        <is>
          <t>III 101, 3 Bd. 2</t>
        </is>
      </c>
      <c r="M861" t="inlineStr"/>
      <c r="N861" t="inlineStr">
        <is>
          <t>Opera Omnia</t>
        </is>
      </c>
      <c r="O861" t="inlineStr">
        <is>
          <t>2. : M. T. Ciceronis epistolarum ad Aticum, ad Brutum, ad Quintum Fratrem libri XX. nuper exacta recogniti cura</t>
        </is>
      </c>
      <c r="P861" t="inlineStr"/>
      <c r="Q861" t="inlineStr"/>
      <c r="R861" t="inlineStr"/>
      <c r="S861" t="inlineStr">
        <is>
          <t>bis 25 cm</t>
        </is>
      </c>
      <c r="T861" t="inlineStr"/>
      <c r="U861" t="inlineStr"/>
      <c r="V861" t="inlineStr"/>
      <c r="W861" t="inlineStr"/>
      <c r="X861" t="inlineStr"/>
      <c r="Y861" t="inlineStr"/>
      <c r="Z861" t="inlineStr"/>
      <c r="AA861" t="inlineStr"/>
      <c r="AB861" t="inlineStr"/>
      <c r="AC861" t="inlineStr"/>
      <c r="AD861" t="inlineStr"/>
      <c r="AE861" t="inlineStr"/>
      <c r="AF861" t="inlineStr"/>
      <c r="AG861" t="inlineStr"/>
      <c r="AH861" t="inlineStr"/>
      <c r="AI861" t="inlineStr">
        <is>
          <t>L</t>
        </is>
      </c>
      <c r="AJ861" t="inlineStr"/>
      <c r="AK861" t="inlineStr"/>
      <c r="AL861" t="inlineStr">
        <is>
          <t>x</t>
        </is>
      </c>
      <c r="AM861" t="inlineStr">
        <is>
          <t>h/E</t>
        </is>
      </c>
      <c r="AN861" t="inlineStr"/>
      <c r="AO861" t="inlineStr"/>
      <c r="AP861" t="inlineStr"/>
      <c r="AQ861" t="inlineStr"/>
      <c r="AR861" t="inlineStr"/>
      <c r="AS861" t="inlineStr">
        <is>
          <t>Pa</t>
        </is>
      </c>
      <c r="AT861" t="inlineStr"/>
      <c r="AU861" t="inlineStr"/>
      <c r="AV861" t="inlineStr"/>
      <c r="AW861" t="inlineStr"/>
      <c r="AX861" t="inlineStr"/>
      <c r="AY861" t="inlineStr"/>
      <c r="AZ861" t="inlineStr"/>
      <c r="BA861" t="inlineStr"/>
      <c r="BB861" t="inlineStr"/>
      <c r="BC861" t="inlineStr"/>
      <c r="BD861" t="inlineStr"/>
      <c r="BE861" t="inlineStr"/>
      <c r="BF861" t="inlineStr"/>
      <c r="BG861" t="n">
        <v>110</v>
      </c>
      <c r="BH861" t="inlineStr"/>
      <c r="BI861" t="inlineStr"/>
      <c r="BJ861" t="inlineStr"/>
      <c r="BK861" t="inlineStr"/>
      <c r="BL861" t="inlineStr"/>
      <c r="BM861" t="inlineStr">
        <is>
          <t>n</t>
        </is>
      </c>
      <c r="BN861" t="n">
        <v>0</v>
      </c>
      <c r="BO861" t="inlineStr"/>
      <c r="BP861" t="inlineStr"/>
      <c r="BQ861" t="inlineStr">
        <is>
          <t>x</t>
        </is>
      </c>
      <c r="BR861" t="inlineStr"/>
      <c r="BS861" t="inlineStr"/>
      <c r="BT861" t="inlineStr"/>
      <c r="BU861" t="inlineStr"/>
      <c r="BV861" t="inlineStr"/>
      <c r="BW861" t="inlineStr"/>
      <c r="BX861" t="inlineStr"/>
      <c r="BY861" t="inlineStr"/>
      <c r="BZ861" t="inlineStr"/>
      <c r="CA861" t="inlineStr"/>
      <c r="CB861" t="inlineStr"/>
      <c r="CC861" t="inlineStr"/>
      <c r="CD861" t="inlineStr"/>
      <c r="CE861" t="inlineStr"/>
      <c r="CF861" t="inlineStr"/>
      <c r="CG861" t="inlineStr"/>
      <c r="CH861" t="inlineStr"/>
      <c r="CI861" t="inlineStr"/>
      <c r="CJ861" t="inlineStr"/>
      <c r="CK861" t="inlineStr"/>
      <c r="CL861" t="inlineStr"/>
      <c r="CM861" t="inlineStr"/>
      <c r="CN861" t="inlineStr"/>
      <c r="CO861" t="inlineStr"/>
      <c r="CP861" t="inlineStr"/>
      <c r="CQ861" t="inlineStr"/>
      <c r="CR861" t="inlineStr"/>
      <c r="CS861" t="inlineStr"/>
      <c r="CT861" t="inlineStr"/>
      <c r="CU861" t="inlineStr"/>
      <c r="CV861" t="inlineStr"/>
      <c r="CW861" t="inlineStr"/>
      <c r="CX861" t="inlineStr"/>
      <c r="CY861" t="inlineStr"/>
      <c r="CZ861" t="inlineStr"/>
      <c r="DA861" t="inlineStr"/>
      <c r="DB861" t="inlineStr"/>
      <c r="DC861" t="inlineStr"/>
      <c r="DD861" t="inlineStr"/>
      <c r="DE861" t="inlineStr"/>
      <c r="DF861" t="inlineStr"/>
      <c r="DG861" t="inlineStr"/>
    </row>
    <row r="862">
      <c r="A862" t="inlineStr">
        <is>
          <t>III</t>
        </is>
      </c>
      <c r="B862" t="b">
        <v>1</v>
      </c>
      <c r="C862" t="inlineStr"/>
      <c r="D862" t="inlineStr"/>
      <c r="E862" t="n">
        <v>952</v>
      </c>
      <c r="F862">
        <f>HYPERLINK("https://portal.dnb.de/opac.htm?method=simpleSearch&amp;cqlMode=true&amp;query=idn%3D994539835", "Portal")</f>
        <v/>
      </c>
      <c r="G862" t="inlineStr">
        <is>
          <t>Afl</t>
        </is>
      </c>
      <c r="H862" t="inlineStr">
        <is>
          <t>L-1523-156398680</t>
        </is>
      </c>
      <c r="I862" t="inlineStr">
        <is>
          <t>994539835</t>
        </is>
      </c>
      <c r="J862" t="inlineStr">
        <is>
          <t>III 101, 3</t>
        </is>
      </c>
      <c r="K862" t="inlineStr">
        <is>
          <t>III 101, 3</t>
        </is>
      </c>
      <c r="L862" t="inlineStr">
        <is>
          <t>III 101, 3 Bd. 3</t>
        </is>
      </c>
      <c r="M862" t="inlineStr"/>
      <c r="N862" t="inlineStr">
        <is>
          <t>Opera Omnia</t>
        </is>
      </c>
      <c r="O862" t="inlineStr">
        <is>
          <t>6. : Opera philosophica. - Vol. 2: De natura deorum; De divinatione [u.a.]</t>
        </is>
      </c>
      <c r="P862" t="inlineStr"/>
      <c r="Q862" t="inlineStr"/>
      <c r="R862" t="inlineStr"/>
      <c r="S862" t="inlineStr">
        <is>
          <t>bis 25 cm</t>
        </is>
      </c>
      <c r="T862" t="inlineStr"/>
      <c r="U862" t="inlineStr"/>
      <c r="V862" t="inlineStr"/>
      <c r="W862" t="inlineStr"/>
      <c r="X862" t="inlineStr"/>
      <c r="Y862" t="inlineStr"/>
      <c r="Z862" t="inlineStr"/>
      <c r="AA862" t="inlineStr"/>
      <c r="AB862" t="inlineStr"/>
      <c r="AC862" t="inlineStr"/>
      <c r="AD862" t="inlineStr"/>
      <c r="AE862" t="inlineStr"/>
      <c r="AF862" t="inlineStr"/>
      <c r="AG862" t="inlineStr"/>
      <c r="AH862" t="inlineStr"/>
      <c r="AI862" t="inlineStr">
        <is>
          <t>L</t>
        </is>
      </c>
      <c r="AJ862" t="inlineStr"/>
      <c r="AK862" t="inlineStr"/>
      <c r="AL862" t="inlineStr">
        <is>
          <t>x</t>
        </is>
      </c>
      <c r="AM862" t="inlineStr">
        <is>
          <t>f</t>
        </is>
      </c>
      <c r="AN862" t="inlineStr"/>
      <c r="AO862" t="inlineStr"/>
      <c r="AP862" t="inlineStr"/>
      <c r="AQ862" t="inlineStr"/>
      <c r="AR862" t="inlineStr"/>
      <c r="AS862" t="inlineStr">
        <is>
          <t>Pa</t>
        </is>
      </c>
      <c r="AT862" t="inlineStr"/>
      <c r="AU862" t="inlineStr"/>
      <c r="AV862" t="inlineStr"/>
      <c r="AW862" t="inlineStr"/>
      <c r="AX862" t="inlineStr"/>
      <c r="AY862" t="inlineStr"/>
      <c r="AZ862" t="inlineStr"/>
      <c r="BA862" t="inlineStr"/>
      <c r="BB862" t="inlineStr"/>
      <c r="BC862" t="inlineStr"/>
      <c r="BD862" t="inlineStr"/>
      <c r="BE862" t="n">
        <v>4</v>
      </c>
      <c r="BF862" t="inlineStr">
        <is>
          <t>x</t>
        </is>
      </c>
      <c r="BG862" t="n">
        <v>60</v>
      </c>
      <c r="BH862" t="inlineStr"/>
      <c r="BI862" t="inlineStr"/>
      <c r="BJ862" t="inlineStr"/>
      <c r="BK862" t="inlineStr"/>
      <c r="BL862" t="inlineStr"/>
      <c r="BM862" t="inlineStr">
        <is>
          <t>n</t>
        </is>
      </c>
      <c r="BN862" t="n">
        <v>0</v>
      </c>
      <c r="BO862" t="inlineStr"/>
      <c r="BP862" t="inlineStr">
        <is>
          <t>Gewebe</t>
        </is>
      </c>
      <c r="BQ862" t="inlineStr"/>
      <c r="BR862" t="inlineStr"/>
      <c r="BS862" t="inlineStr"/>
      <c r="BT862" t="inlineStr"/>
      <c r="BU862" t="inlineStr"/>
      <c r="BV862" t="inlineStr"/>
      <c r="BW862" t="inlineStr"/>
      <c r="BX862" t="inlineStr"/>
      <c r="BY862" t="inlineStr"/>
      <c r="BZ862" t="inlineStr"/>
      <c r="CA862" t="inlineStr"/>
      <c r="CB862" t="inlineStr"/>
      <c r="CC862" t="inlineStr"/>
      <c r="CD862" t="inlineStr"/>
      <c r="CE862" t="inlineStr"/>
      <c r="CF862" t="inlineStr"/>
      <c r="CG862" t="inlineStr"/>
      <c r="CH862" t="inlineStr"/>
      <c r="CI862" t="inlineStr"/>
      <c r="CJ862" t="inlineStr"/>
      <c r="CK862" t="inlineStr"/>
      <c r="CL862" t="inlineStr"/>
      <c r="CM862" t="inlineStr"/>
      <c r="CN862" t="inlineStr"/>
      <c r="CO862" t="inlineStr"/>
      <c r="CP862" t="inlineStr"/>
      <c r="CQ862" t="inlineStr"/>
      <c r="CR862" t="inlineStr"/>
      <c r="CS862" t="inlineStr"/>
      <c r="CT862" t="inlineStr"/>
      <c r="CU862" t="inlineStr"/>
      <c r="CV862" t="inlineStr"/>
      <c r="CW862" t="inlineStr"/>
      <c r="CX862" t="inlineStr"/>
      <c r="CY862" t="inlineStr"/>
      <c r="CZ862" t="inlineStr"/>
      <c r="DA862" t="inlineStr"/>
      <c r="DB862" t="inlineStr"/>
      <c r="DC862" t="inlineStr"/>
      <c r="DD862" t="inlineStr"/>
      <c r="DE862" t="inlineStr"/>
      <c r="DF862" t="inlineStr"/>
      <c r="DG862" t="inlineStr"/>
    </row>
    <row r="863">
      <c r="A863" t="inlineStr">
        <is>
          <t>III</t>
        </is>
      </c>
      <c r="B863" t="b">
        <v>1</v>
      </c>
      <c r="C863" t="inlineStr">
        <is>
          <t>x</t>
        </is>
      </c>
      <c r="D863" t="inlineStr"/>
      <c r="E863" t="n">
        <v>1009</v>
      </c>
      <c r="F863">
        <f>HYPERLINK("https://portal.dnb.de/opac.htm?method=simpleSearch&amp;cqlMode=true&amp;query=idn%3D994539851", "Portal")</f>
        <v/>
      </c>
      <c r="G863" t="inlineStr">
        <is>
          <t>Afl</t>
        </is>
      </c>
      <c r="H863" t="inlineStr">
        <is>
          <t>L-1540-15639877X</t>
        </is>
      </c>
      <c r="I863" t="inlineStr">
        <is>
          <t>994539851</t>
        </is>
      </c>
      <c r="J863" t="inlineStr">
        <is>
          <t>III 101, 3a</t>
        </is>
      </c>
      <c r="K863" t="inlineStr">
        <is>
          <t>III 101, 3a</t>
        </is>
      </c>
      <c r="L863" t="inlineStr">
        <is>
          <t>III 101, 3 a</t>
        </is>
      </c>
      <c r="M863" t="inlineStr"/>
      <c r="N863" t="inlineStr">
        <is>
          <t>Opera Omnia</t>
        </is>
      </c>
      <c r="O863" t="inlineStr">
        <is>
          <t>[Abt. 1]. : M. Tullii Ciceronis epistolae familiares, diligentius, quam quae hactenus exierunt, emendatae</t>
        </is>
      </c>
      <c r="P863" t="inlineStr"/>
      <c r="Q863" t="inlineStr">
        <is>
          <t>300,00 EUR</t>
        </is>
      </c>
      <c r="R863" t="inlineStr"/>
      <c r="S863" t="inlineStr">
        <is>
          <t>bis 25 cm</t>
        </is>
      </c>
      <c r="T863" t="inlineStr"/>
      <c r="U863" t="inlineStr"/>
      <c r="V863" t="inlineStr"/>
      <c r="W863" t="inlineStr"/>
      <c r="X863" t="inlineStr"/>
      <c r="Y863" t="inlineStr"/>
      <c r="Z863" t="inlineStr"/>
      <c r="AA863" t="inlineStr"/>
      <c r="AB863" t="inlineStr"/>
      <c r="AC863" t="inlineStr"/>
      <c r="AD863" t="inlineStr"/>
      <c r="AE863" t="inlineStr"/>
      <c r="AF863" t="inlineStr"/>
      <c r="AG863" t="inlineStr"/>
      <c r="AH863" t="inlineStr"/>
      <c r="AI863" t="inlineStr">
        <is>
          <t>L</t>
        </is>
      </c>
      <c r="AJ863" t="inlineStr"/>
      <c r="AK863" t="inlineStr"/>
      <c r="AL863" t="inlineStr"/>
      <c r="AM863" t="inlineStr">
        <is>
          <t>f/V</t>
        </is>
      </c>
      <c r="AN863" t="inlineStr"/>
      <c r="AO863" t="inlineStr"/>
      <c r="AP863" t="inlineStr"/>
      <c r="AQ863" t="inlineStr"/>
      <c r="AR863" t="inlineStr"/>
      <c r="AS863" t="inlineStr">
        <is>
          <t>Pa</t>
        </is>
      </c>
      <c r="AT863" t="inlineStr"/>
      <c r="AU863" t="inlineStr"/>
      <c r="AV863" t="inlineStr"/>
      <c r="AW863" t="inlineStr"/>
      <c r="AX863" t="inlineStr"/>
      <c r="AY863" t="inlineStr"/>
      <c r="AZ863" t="inlineStr"/>
      <c r="BA863" t="inlineStr"/>
      <c r="BB863" t="inlineStr"/>
      <c r="BC863" t="inlineStr"/>
      <c r="BD863" t="inlineStr"/>
      <c r="BE863" t="inlineStr"/>
      <c r="BF863" t="inlineStr"/>
      <c r="BG863" t="n">
        <v>45</v>
      </c>
      <c r="BH863" t="inlineStr"/>
      <c r="BI863" t="inlineStr"/>
      <c r="BJ863" t="inlineStr"/>
      <c r="BK863" t="inlineStr"/>
      <c r="BL863" t="inlineStr"/>
      <c r="BM863" t="inlineStr">
        <is>
          <t>ja vor</t>
        </is>
      </c>
      <c r="BN863" t="n">
        <v>2.5</v>
      </c>
      <c r="BO863" t="inlineStr"/>
      <c r="BP863" t="inlineStr">
        <is>
          <t>Gewebe</t>
        </is>
      </c>
      <c r="BQ863" t="inlineStr"/>
      <c r="BR863" t="inlineStr"/>
      <c r="BS863" t="inlineStr"/>
      <c r="BT863" t="inlineStr"/>
      <c r="BU863" t="inlineStr"/>
      <c r="BV863" t="inlineStr"/>
      <c r="BW863" t="inlineStr"/>
      <c r="BX863" t="inlineStr"/>
      <c r="BY863" t="inlineStr"/>
      <c r="BZ863" t="inlineStr"/>
      <c r="CA863" t="inlineStr">
        <is>
          <t>x</t>
        </is>
      </c>
      <c r="CB863" t="inlineStr">
        <is>
          <t>x</t>
        </is>
      </c>
      <c r="CC863" t="inlineStr"/>
      <c r="CD863" t="inlineStr"/>
      <c r="CE863" t="inlineStr"/>
      <c r="CF863" t="inlineStr"/>
      <c r="CG863" t="inlineStr"/>
      <c r="CH863" t="inlineStr"/>
      <c r="CI863" t="inlineStr"/>
      <c r="CJ863" t="inlineStr"/>
      <c r="CK863" t="inlineStr"/>
      <c r="CL863" t="inlineStr">
        <is>
          <t>o/u</t>
        </is>
      </c>
      <c r="CM863" t="n">
        <v>2.5</v>
      </c>
      <c r="CN863" t="inlineStr"/>
      <c r="CO863" t="inlineStr"/>
      <c r="CP863" t="inlineStr"/>
      <c r="CQ863" t="inlineStr"/>
      <c r="CR863" t="inlineStr"/>
      <c r="CS863" t="inlineStr"/>
      <c r="CT863" t="inlineStr"/>
      <c r="CU863" t="inlineStr"/>
      <c r="CV863" t="inlineStr"/>
      <c r="CW863" t="inlineStr"/>
      <c r="CX863" t="inlineStr"/>
      <c r="CY863" t="inlineStr"/>
      <c r="CZ863" t="inlineStr"/>
      <c r="DA863" t="inlineStr"/>
      <c r="DB863" t="inlineStr"/>
      <c r="DC863" t="inlineStr"/>
      <c r="DD863" t="inlineStr"/>
      <c r="DE863" t="inlineStr"/>
      <c r="DF863" t="inlineStr"/>
      <c r="DG863" t="inlineStr"/>
    </row>
    <row r="864">
      <c r="A864" t="inlineStr">
        <is>
          <t>III</t>
        </is>
      </c>
      <c r="B864" t="b">
        <v>1</v>
      </c>
      <c r="C864" t="inlineStr"/>
      <c r="D864" t="inlineStr"/>
      <c r="E864" t="n">
        <v>1010</v>
      </c>
      <c r="F864">
        <f>HYPERLINK("https://portal.dnb.de/opac.htm?method=simpleSearch&amp;cqlMode=true&amp;query=idn%3D1066858225", "Portal")</f>
        <v/>
      </c>
      <c r="G864" t="inlineStr">
        <is>
          <t>Aaf</t>
        </is>
      </c>
      <c r="H864" t="inlineStr">
        <is>
          <t>L-1523-315317000</t>
        </is>
      </c>
      <c r="I864" t="inlineStr">
        <is>
          <t>1066858225</t>
        </is>
      </c>
      <c r="J864" t="inlineStr">
        <is>
          <t>III 101, 3 b</t>
        </is>
      </c>
      <c r="K864" t="inlineStr">
        <is>
          <t>III 101, 3 b</t>
        </is>
      </c>
      <c r="L864" t="inlineStr">
        <is>
          <t>III 101, 3 b</t>
        </is>
      </c>
      <c r="M864" t="inlineStr"/>
      <c r="N864" t="inlineStr">
        <is>
          <t xml:space="preserve">Silii italici de bello pvnico secvndo XVII libri nvper diligentissime castigati : </t>
        </is>
      </c>
      <c r="O864" t="inlineStr">
        <is>
          <t xml:space="preserve"> : </t>
        </is>
      </c>
      <c r="P864" t="inlineStr"/>
      <c r="Q864" t="inlineStr">
        <is>
          <t>1000,00 EUR</t>
        </is>
      </c>
      <c r="R864" t="inlineStr"/>
      <c r="S864" t="inlineStr">
        <is>
          <t>bis 25 cm</t>
        </is>
      </c>
      <c r="T864" t="inlineStr"/>
      <c r="U864" t="inlineStr"/>
      <c r="V864" t="inlineStr"/>
      <c r="W864" t="inlineStr"/>
      <c r="X864" t="inlineStr"/>
      <c r="Y864" t="inlineStr"/>
      <c r="Z864" t="inlineStr"/>
      <c r="AA864" t="inlineStr"/>
      <c r="AB864" t="inlineStr"/>
      <c r="AC864" t="inlineStr"/>
      <c r="AD864" t="inlineStr"/>
      <c r="AE864" t="inlineStr"/>
      <c r="AF864" t="inlineStr"/>
      <c r="AG864" t="inlineStr"/>
      <c r="AH864" t="inlineStr"/>
      <c r="AI864" t="inlineStr">
        <is>
          <t>L</t>
        </is>
      </c>
      <c r="AJ864" t="inlineStr"/>
      <c r="AK864" t="inlineStr"/>
      <c r="AL864" t="inlineStr"/>
      <c r="AM864" t="inlineStr">
        <is>
          <t>f/V</t>
        </is>
      </c>
      <c r="AN864" t="inlineStr"/>
      <c r="AO864" t="inlineStr"/>
      <c r="AP864" t="inlineStr"/>
      <c r="AQ864" t="inlineStr"/>
      <c r="AR864" t="inlineStr"/>
      <c r="AS864" t="inlineStr">
        <is>
          <t>Pa</t>
        </is>
      </c>
      <c r="AT864" t="inlineStr"/>
      <c r="AU864" t="inlineStr"/>
      <c r="AV864" t="inlineStr"/>
      <c r="AW864" t="inlineStr"/>
      <c r="AX864" t="inlineStr"/>
      <c r="AY864" t="inlineStr"/>
      <c r="AZ864" t="inlineStr"/>
      <c r="BA864" t="inlineStr"/>
      <c r="BB864" t="inlineStr"/>
      <c r="BC864" t="inlineStr"/>
      <c r="BD864" t="inlineStr"/>
      <c r="BE864" t="inlineStr"/>
      <c r="BF864" t="inlineStr"/>
      <c r="BG864" t="n">
        <v>45</v>
      </c>
      <c r="BH864" t="inlineStr"/>
      <c r="BI864" t="inlineStr"/>
      <c r="BJ864" t="inlineStr"/>
      <c r="BK864" t="inlineStr"/>
      <c r="BL864" t="inlineStr"/>
      <c r="BM864" t="inlineStr">
        <is>
          <t>n</t>
        </is>
      </c>
      <c r="BN864" t="n">
        <v>0</v>
      </c>
      <c r="BO864" t="inlineStr"/>
      <c r="BP864" t="inlineStr">
        <is>
          <t>Gewebe</t>
        </is>
      </c>
      <c r="BQ864" t="inlineStr"/>
      <c r="BR864" t="inlineStr"/>
      <c r="BS864" t="inlineStr"/>
      <c r="BT864" t="inlineStr"/>
      <c r="BU864" t="inlineStr"/>
      <c r="BV864" t="inlineStr"/>
      <c r="BW864" t="inlineStr"/>
      <c r="BX864" t="inlineStr"/>
      <c r="BY864" t="inlineStr"/>
      <c r="BZ864" t="inlineStr"/>
      <c r="CA864" t="inlineStr"/>
      <c r="CB864" t="inlineStr"/>
      <c r="CC864" t="inlineStr"/>
      <c r="CD864" t="inlineStr"/>
      <c r="CE864" t="inlineStr"/>
      <c r="CF864" t="inlineStr"/>
      <c r="CG864" t="inlineStr"/>
      <c r="CH864" t="inlineStr"/>
      <c r="CI864" t="inlineStr"/>
      <c r="CJ864" t="inlineStr"/>
      <c r="CK864" t="inlineStr"/>
      <c r="CL864" t="inlineStr"/>
      <c r="CM864" t="inlineStr"/>
      <c r="CN864" t="inlineStr"/>
      <c r="CO864" t="inlineStr"/>
      <c r="CP864" t="inlineStr"/>
      <c r="CQ864" t="inlineStr"/>
      <c r="CR864" t="inlineStr"/>
      <c r="CS864" t="inlineStr"/>
      <c r="CT864" t="inlineStr"/>
      <c r="CU864" t="inlineStr"/>
      <c r="CV864" t="inlineStr"/>
      <c r="CW864" t="inlineStr"/>
      <c r="CX864" t="inlineStr"/>
      <c r="CY864" t="inlineStr"/>
      <c r="CZ864" t="inlineStr"/>
      <c r="DA864" t="inlineStr"/>
      <c r="DB864" t="inlineStr"/>
      <c r="DC864" t="inlineStr"/>
      <c r="DD864" t="inlineStr"/>
      <c r="DE864" t="inlineStr"/>
      <c r="DF864" t="inlineStr"/>
      <c r="DG864" t="inlineStr"/>
    </row>
    <row r="865">
      <c r="A865" t="inlineStr">
        <is>
          <t>III</t>
        </is>
      </c>
      <c r="B865" t="b">
        <v>1</v>
      </c>
      <c r="C865" t="inlineStr"/>
      <c r="D865" t="inlineStr"/>
      <c r="E865" t="n">
        <v>954</v>
      </c>
      <c r="F865">
        <f>HYPERLINK("https://portal.dnb.de/opac.htm?method=simpleSearch&amp;cqlMode=true&amp;query=idn%3D106685968X", "Portal")</f>
        <v/>
      </c>
      <c r="G865" t="inlineStr">
        <is>
          <t>Aaf</t>
        </is>
      </c>
      <c r="H865" t="inlineStr">
        <is>
          <t>L-1559-315318430</t>
        </is>
      </c>
      <c r="I865" t="inlineStr">
        <is>
          <t>106685968X</t>
        </is>
      </c>
      <c r="J865" t="inlineStr">
        <is>
          <t>III 101, 4</t>
        </is>
      </c>
      <c r="K865" t="inlineStr">
        <is>
          <t>III 101, 4</t>
        </is>
      </c>
      <c r="L865" t="inlineStr">
        <is>
          <t>III 101, 4</t>
        </is>
      </c>
      <c r="M865" t="inlineStr"/>
      <c r="N865" t="inlineStr">
        <is>
          <t>C. Plinii Secundi naturalis historiae libri trigintaseptem : index plenissimus</t>
        </is>
      </c>
      <c r="O865" t="inlineStr">
        <is>
          <t xml:space="preserve"> : </t>
        </is>
      </c>
      <c r="P865" t="inlineStr"/>
      <c r="Q865" t="inlineStr"/>
      <c r="R865" t="inlineStr"/>
      <c r="S865" t="inlineStr">
        <is>
          <t>bis 35 cm</t>
        </is>
      </c>
      <c r="T865" t="inlineStr"/>
      <c r="U865" t="inlineStr"/>
      <c r="V865" t="inlineStr"/>
      <c r="W865" t="inlineStr"/>
      <c r="X865" t="inlineStr"/>
      <c r="Y865" t="inlineStr"/>
      <c r="Z865" t="inlineStr"/>
      <c r="AA865" t="inlineStr"/>
      <c r="AB865" t="inlineStr"/>
      <c r="AC865" t="inlineStr"/>
      <c r="AD865" t="inlineStr"/>
      <c r="AE865" t="inlineStr"/>
      <c r="AF865" t="inlineStr"/>
      <c r="AG865" t="inlineStr"/>
      <c r="AH865" t="inlineStr"/>
      <c r="AI865" t="inlineStr">
        <is>
          <t>L</t>
        </is>
      </c>
      <c r="AJ865" t="inlineStr"/>
      <c r="AK865" t="inlineStr">
        <is>
          <t>x</t>
        </is>
      </c>
      <c r="AL865" t="inlineStr"/>
      <c r="AM865" t="inlineStr">
        <is>
          <t>h</t>
        </is>
      </c>
      <c r="AN865" t="inlineStr"/>
      <c r="AO865" t="inlineStr"/>
      <c r="AP865" t="inlineStr">
        <is>
          <t>x</t>
        </is>
      </c>
      <c r="AQ865" t="inlineStr"/>
      <c r="AR865" t="inlineStr"/>
      <c r="AS865" t="inlineStr">
        <is>
          <t>Pa</t>
        </is>
      </c>
      <c r="AT865" t="inlineStr"/>
      <c r="AU865" t="inlineStr"/>
      <c r="AV865" t="inlineStr"/>
      <c r="AW865" t="inlineStr"/>
      <c r="AX865" t="inlineStr"/>
      <c r="AY865" t="inlineStr"/>
      <c r="AZ865" t="inlineStr"/>
      <c r="BA865" t="inlineStr"/>
      <c r="BB865" t="inlineStr"/>
      <c r="BC865" t="inlineStr"/>
      <c r="BD865" t="inlineStr"/>
      <c r="BE865" t="inlineStr"/>
      <c r="BF865" t="inlineStr"/>
      <c r="BG865" t="n">
        <v>110</v>
      </c>
      <c r="BH865" t="inlineStr"/>
      <c r="BI865" t="inlineStr"/>
      <c r="BJ865" t="inlineStr"/>
      <c r="BK865" t="inlineStr"/>
      <c r="BL865" t="inlineStr"/>
      <c r="BM865" t="inlineStr">
        <is>
          <t>n</t>
        </is>
      </c>
      <c r="BN865" t="n">
        <v>0</v>
      </c>
      <c r="BO865" t="inlineStr"/>
      <c r="BP865" t="inlineStr"/>
      <c r="BQ865" t="inlineStr"/>
      <c r="BR865" t="inlineStr"/>
      <c r="BS865" t="inlineStr"/>
      <c r="BT865" t="inlineStr"/>
      <c r="BU865" t="inlineStr"/>
      <c r="BV865" t="inlineStr"/>
      <c r="BW865" t="inlineStr"/>
      <c r="BX865" t="inlineStr"/>
      <c r="BY865" t="inlineStr">
        <is>
          <t>Box (weg. Deckeln)</t>
        </is>
      </c>
      <c r="BZ865" t="inlineStr"/>
      <c r="CA865" t="inlineStr"/>
      <c r="CB865" t="inlineStr"/>
      <c r="CC865" t="inlineStr"/>
      <c r="CD865" t="inlineStr"/>
      <c r="CE865" t="inlineStr"/>
      <c r="CF865" t="inlineStr"/>
      <c r="CG865" t="inlineStr"/>
      <c r="CH865" t="inlineStr"/>
      <c r="CI865" t="inlineStr"/>
      <c r="CJ865" t="inlineStr"/>
      <c r="CK865" t="inlineStr"/>
      <c r="CL865" t="inlineStr"/>
      <c r="CM865" t="inlineStr"/>
      <c r="CN865" t="inlineStr"/>
      <c r="CO865" t="inlineStr"/>
      <c r="CP865" t="inlineStr"/>
      <c r="CQ865" t="inlineStr"/>
      <c r="CR865" t="inlineStr"/>
      <c r="CS865" t="inlineStr"/>
      <c r="CT865" t="inlineStr"/>
      <c r="CU865" t="inlineStr"/>
      <c r="CV865" t="inlineStr"/>
      <c r="CW865" t="inlineStr"/>
      <c r="CX865" t="inlineStr"/>
      <c r="CY865" t="inlineStr"/>
      <c r="CZ865" t="inlineStr"/>
      <c r="DA865" t="inlineStr"/>
      <c r="DB865" t="inlineStr"/>
      <c r="DC865" t="inlineStr"/>
      <c r="DD865" t="inlineStr"/>
      <c r="DE865" t="inlineStr"/>
      <c r="DF865" t="inlineStr"/>
      <c r="DG865" t="inlineStr"/>
    </row>
    <row r="866">
      <c r="A866" t="inlineStr">
        <is>
          <t>III</t>
        </is>
      </c>
      <c r="B866" t="b">
        <v>1</v>
      </c>
      <c r="C866" t="inlineStr"/>
      <c r="D866" t="inlineStr"/>
      <c r="E866" t="n">
        <v>1012</v>
      </c>
      <c r="F866">
        <f>HYPERLINK("https://portal.dnb.de/opac.htm?method=simpleSearch&amp;cqlMode=true&amp;query=idn%3D999751190", "Portal")</f>
        <v/>
      </c>
      <c r="G866" t="inlineStr">
        <is>
          <t>Aal</t>
        </is>
      </c>
      <c r="H866" t="inlineStr">
        <is>
          <t>L-1551-169106802</t>
        </is>
      </c>
      <c r="I866" t="inlineStr">
        <is>
          <t>999751190</t>
        </is>
      </c>
      <c r="J866" t="inlineStr">
        <is>
          <t>III 101, 4 a</t>
        </is>
      </c>
      <c r="K866" t="inlineStr">
        <is>
          <t>III 101, 4 a</t>
        </is>
      </c>
      <c r="L866" t="inlineStr">
        <is>
          <t>III 101, 4 a</t>
        </is>
      </c>
      <c r="M866" t="inlineStr">
        <is>
          <t>doppelter Katalogeintrag?</t>
        </is>
      </c>
      <c r="N866" t="inlineStr">
        <is>
          <t>OLYMPIODORI|| PHILOSOPHI ALEXANDRINI|| IN METEORA ARISTOTELIS COMMENTARII|| : IOANNIS GRAM||MATICI PHILOPONI SCHOLIA|| IN I. METEORUM ARISTOTELIS||</t>
        </is>
      </c>
      <c r="O866" t="inlineStr">
        <is>
          <t xml:space="preserve"> : </t>
        </is>
      </c>
      <c r="P866" t="inlineStr"/>
      <c r="Q866" t="inlineStr"/>
      <c r="R866" t="inlineStr"/>
      <c r="S866" t="inlineStr"/>
      <c r="T866" t="inlineStr"/>
      <c r="U866" t="inlineStr"/>
      <c r="V866" t="inlineStr"/>
      <c r="W866" t="inlineStr"/>
      <c r="X866" t="inlineStr"/>
      <c r="Y866" t="inlineStr"/>
      <c r="Z866" t="inlineStr"/>
      <c r="AA866" t="inlineStr"/>
      <c r="AB866" t="inlineStr"/>
      <c r="AC866" t="inlineStr"/>
      <c r="AD866" t="inlineStr"/>
      <c r="AE866" t="inlineStr"/>
      <c r="AF866" t="inlineStr"/>
      <c r="AG866" t="inlineStr"/>
      <c r="AH866" t="inlineStr"/>
      <c r="AI866" t="inlineStr"/>
      <c r="AJ866" t="inlineStr"/>
      <c r="AK866" t="inlineStr"/>
      <c r="AL866" t="inlineStr"/>
      <c r="AM866" t="inlineStr"/>
      <c r="AN866" t="inlineStr"/>
      <c r="AO866" t="inlineStr"/>
      <c r="AP866" t="inlineStr"/>
      <c r="AQ866" t="inlineStr"/>
      <c r="AR866" t="inlineStr"/>
      <c r="AS866" t="inlineStr"/>
      <c r="AT866" t="inlineStr"/>
      <c r="AU866" t="inlineStr"/>
      <c r="AV866" t="inlineStr"/>
      <c r="AW866" t="inlineStr"/>
      <c r="AX866" t="inlineStr"/>
      <c r="AY866" t="inlineStr"/>
      <c r="AZ866" t="inlineStr"/>
      <c r="BA866" t="inlineStr"/>
      <c r="BB866" t="inlineStr"/>
      <c r="BC866" t="inlineStr"/>
      <c r="BD866" t="inlineStr"/>
      <c r="BE866" t="inlineStr"/>
      <c r="BF866" t="inlineStr"/>
      <c r="BG866" t="inlineStr"/>
      <c r="BH866" t="inlineStr"/>
      <c r="BI866" t="inlineStr"/>
      <c r="BJ866" t="inlineStr"/>
      <c r="BK866" t="inlineStr"/>
      <c r="BL866" t="inlineStr"/>
      <c r="BM866" t="inlineStr"/>
      <c r="BN866" t="n">
        <v>0</v>
      </c>
      <c r="BO866" t="inlineStr"/>
      <c r="BP866" t="inlineStr"/>
      <c r="BQ866" t="inlineStr"/>
      <c r="BR866" t="inlineStr"/>
      <c r="BS866" t="inlineStr"/>
      <c r="BT866" t="inlineStr"/>
      <c r="BU866" t="inlineStr"/>
      <c r="BV866" t="inlineStr"/>
      <c r="BW866" t="inlineStr"/>
      <c r="BX866" t="inlineStr"/>
      <c r="BY866" t="inlineStr"/>
      <c r="BZ866" t="inlineStr"/>
      <c r="CA866" t="inlineStr"/>
      <c r="CB866" t="inlineStr"/>
      <c r="CC866" t="inlineStr"/>
      <c r="CD866" t="inlineStr"/>
      <c r="CE866" t="inlineStr"/>
      <c r="CF866" t="inlineStr"/>
      <c r="CG866" t="inlineStr"/>
      <c r="CH866" t="inlineStr"/>
      <c r="CI866" t="inlineStr"/>
      <c r="CJ866" t="inlineStr"/>
      <c r="CK866" t="inlineStr"/>
      <c r="CL866" t="inlineStr"/>
      <c r="CM866" t="inlineStr"/>
      <c r="CN866" t="inlineStr"/>
      <c r="CO866" t="inlineStr"/>
      <c r="CP866" t="inlineStr"/>
      <c r="CQ866" t="inlineStr"/>
      <c r="CR866" t="inlineStr"/>
      <c r="CS866" t="inlineStr"/>
      <c r="CT866" t="inlineStr"/>
      <c r="CU866" t="inlineStr"/>
      <c r="CV866" t="inlineStr"/>
      <c r="CW866" t="inlineStr"/>
      <c r="CX866" t="inlineStr"/>
      <c r="CY866" t="inlineStr"/>
      <c r="CZ866" t="inlineStr"/>
      <c r="DA866" t="inlineStr"/>
      <c r="DB866" t="inlineStr"/>
      <c r="DC866" t="inlineStr"/>
      <c r="DD866" t="inlineStr"/>
      <c r="DE866" t="inlineStr"/>
      <c r="DF866" t="inlineStr"/>
      <c r="DG866" t="inlineStr"/>
    </row>
    <row r="867">
      <c r="A867" t="inlineStr">
        <is>
          <t>III</t>
        </is>
      </c>
      <c r="B867" t="b">
        <v>1</v>
      </c>
      <c r="C867" t="inlineStr"/>
      <c r="D867" t="inlineStr"/>
      <c r="E867" t="n">
        <v>1013</v>
      </c>
      <c r="F867">
        <f>HYPERLINK("https://portal.dnb.de/opac.htm?method=simpleSearch&amp;cqlMode=true&amp;query=idn%3D994727151", "Portal")</f>
        <v/>
      </c>
      <c r="G867" t="inlineStr">
        <is>
          <t>Afl</t>
        </is>
      </c>
      <c r="H867" t="inlineStr">
        <is>
          <t>L-1554-157751198</t>
        </is>
      </c>
      <c r="I867" t="inlineStr">
        <is>
          <t>994727151</t>
        </is>
      </c>
      <c r="J867" t="inlineStr">
        <is>
          <t>III 101, 4b</t>
        </is>
      </c>
      <c r="K867" t="inlineStr">
        <is>
          <t>III 101, 4b</t>
        </is>
      </c>
      <c r="L867" t="inlineStr">
        <is>
          <t>III 101, 4b</t>
        </is>
      </c>
      <c r="M867" t="inlineStr"/>
      <c r="N867" t="inlineStr">
        <is>
          <t>Demosthenus logōn tmēma</t>
        </is>
      </c>
      <c r="O867" t="inlineStr">
        <is>
          <t>P. 3 : Dēmosthenus logōn|| tmēma tritōn||</t>
        </is>
      </c>
      <c r="P867" t="inlineStr"/>
      <c r="Q867" t="inlineStr"/>
      <c r="R867" t="inlineStr"/>
      <c r="S867" t="inlineStr">
        <is>
          <t>bis 25 cm</t>
        </is>
      </c>
      <c r="T867" t="inlineStr"/>
      <c r="U867" t="inlineStr"/>
      <c r="V867" t="inlineStr"/>
      <c r="W867" t="inlineStr"/>
      <c r="X867" t="inlineStr"/>
      <c r="Y867" t="inlineStr"/>
      <c r="Z867" t="inlineStr"/>
      <c r="AA867" t="inlineStr"/>
      <c r="AB867" t="inlineStr"/>
      <c r="AC867" t="inlineStr"/>
      <c r="AD867" t="inlineStr"/>
      <c r="AE867" t="inlineStr"/>
      <c r="AF867" t="inlineStr"/>
      <c r="AG867" t="inlineStr"/>
      <c r="AH867" t="inlineStr"/>
      <c r="AI867" t="inlineStr">
        <is>
          <t>Pg</t>
        </is>
      </c>
      <c r="AJ867" t="inlineStr">
        <is>
          <t xml:space="preserve">
flexibler Perg.bd.</t>
        </is>
      </c>
      <c r="AK867" t="inlineStr"/>
      <c r="AL867" t="inlineStr"/>
      <c r="AM867" t="inlineStr">
        <is>
          <t>h</t>
        </is>
      </c>
      <c r="AN867" t="inlineStr"/>
      <c r="AO867" t="inlineStr"/>
      <c r="AP867" t="inlineStr"/>
      <c r="AQ867" t="inlineStr"/>
      <c r="AR867" t="inlineStr"/>
      <c r="AS867" t="inlineStr">
        <is>
          <t>Pa</t>
        </is>
      </c>
      <c r="AT867" t="inlineStr"/>
      <c r="AU867" t="inlineStr"/>
      <c r="AV867" t="inlineStr"/>
      <c r="AW867" t="inlineStr"/>
      <c r="AX867" t="inlineStr"/>
      <c r="AY867" t="inlineStr"/>
      <c r="AZ867" t="inlineStr"/>
      <c r="BA867" t="inlineStr"/>
      <c r="BB867" t="inlineStr"/>
      <c r="BC867" t="inlineStr"/>
      <c r="BD867" t="inlineStr"/>
      <c r="BE867" t="inlineStr"/>
      <c r="BF867" t="inlineStr"/>
      <c r="BG867" t="inlineStr">
        <is>
          <t>nur 110</t>
        </is>
      </c>
      <c r="BH867" t="inlineStr"/>
      <c r="BI867" t="inlineStr"/>
      <c r="BJ867" t="inlineStr"/>
      <c r="BK867" t="inlineStr"/>
      <c r="BL867" t="inlineStr"/>
      <c r="BM867" t="inlineStr">
        <is>
          <t>n</t>
        </is>
      </c>
      <c r="BN867" t="n">
        <v>0</v>
      </c>
      <c r="BO867" t="inlineStr"/>
      <c r="BP867" t="inlineStr">
        <is>
          <t>Gewebe</t>
        </is>
      </c>
      <c r="BQ867" t="inlineStr"/>
      <c r="BR867" t="inlineStr"/>
      <c r="BS867" t="inlineStr"/>
      <c r="BT867" t="inlineStr"/>
      <c r="BU867" t="inlineStr"/>
      <c r="BV867" t="inlineStr"/>
      <c r="BW867" t="inlineStr"/>
      <c r="BX867" t="inlineStr"/>
      <c r="BY867" t="inlineStr"/>
      <c r="BZ867" t="inlineStr"/>
      <c r="CA867" t="inlineStr"/>
      <c r="CB867" t="inlineStr"/>
      <c r="CC867" t="inlineStr"/>
      <c r="CD867" t="inlineStr"/>
      <c r="CE867" t="inlineStr"/>
      <c r="CF867" t="inlineStr"/>
      <c r="CG867" t="inlineStr"/>
      <c r="CH867" t="inlineStr"/>
      <c r="CI867" t="inlineStr"/>
      <c r="CJ867" t="inlineStr"/>
      <c r="CK867" t="inlineStr"/>
      <c r="CL867" t="inlineStr"/>
      <c r="CM867" t="inlineStr"/>
      <c r="CN867" t="inlineStr"/>
      <c r="CO867" t="inlineStr"/>
      <c r="CP867" t="inlineStr"/>
      <c r="CQ867" t="inlineStr"/>
      <c r="CR867" t="inlineStr"/>
      <c r="CS867" t="inlineStr"/>
      <c r="CT867" t="inlineStr"/>
      <c r="CU867" t="inlineStr"/>
      <c r="CV867" t="inlineStr"/>
      <c r="CW867" t="inlineStr"/>
      <c r="CX867" t="inlineStr"/>
      <c r="CY867" t="inlineStr"/>
      <c r="CZ867" t="inlineStr"/>
      <c r="DA867" t="inlineStr"/>
      <c r="DB867" t="inlineStr"/>
      <c r="DC867" t="inlineStr"/>
      <c r="DD867" t="inlineStr"/>
      <c r="DE867" t="inlineStr"/>
      <c r="DF867" t="inlineStr"/>
      <c r="DG867" t="inlineStr"/>
    </row>
    <row r="868">
      <c r="A868" t="inlineStr">
        <is>
          <t>III</t>
        </is>
      </c>
      <c r="B868" t="b">
        <v>1</v>
      </c>
      <c r="C868" t="inlineStr">
        <is>
          <t>x</t>
        </is>
      </c>
      <c r="D868" t="inlineStr"/>
      <c r="E868" t="n">
        <v>955</v>
      </c>
      <c r="F868">
        <f>HYPERLINK("https://portal.dnb.de/opac.htm?method=simpleSearch&amp;cqlMode=true&amp;query=idn%3D1066858470", "Portal")</f>
        <v/>
      </c>
      <c r="G868" t="inlineStr">
        <is>
          <t>Aaf</t>
        </is>
      </c>
      <c r="H868" t="inlineStr">
        <is>
          <t>L-1501-315317256</t>
        </is>
      </c>
      <c r="I868" t="inlineStr">
        <is>
          <t>1066858470</t>
        </is>
      </c>
      <c r="J868" t="inlineStr">
        <is>
          <t>III 101, 5</t>
        </is>
      </c>
      <c r="K868" t="inlineStr">
        <is>
          <t>III 101, 5</t>
        </is>
      </c>
      <c r="L868" t="inlineStr">
        <is>
          <t>III 101, 5</t>
        </is>
      </c>
      <c r="M868" t="inlineStr"/>
      <c r="N868" t="inlineStr">
        <is>
          <t xml:space="preserve">Librorum Francisci Petrarche Impressorum annotatio ... : </t>
        </is>
      </c>
      <c r="O868" t="inlineStr">
        <is>
          <t xml:space="preserve"> : </t>
        </is>
      </c>
      <c r="P868" t="inlineStr"/>
      <c r="Q868" t="inlineStr"/>
      <c r="R868" t="inlineStr"/>
      <c r="S868" t="inlineStr">
        <is>
          <t>bis 35 cm</t>
        </is>
      </c>
      <c r="T868" t="inlineStr"/>
      <c r="U868" t="inlineStr"/>
      <c r="V868" t="inlineStr"/>
      <c r="W868" t="inlineStr"/>
      <c r="X868" t="inlineStr"/>
      <c r="Y868" t="inlineStr"/>
      <c r="Z868" t="inlineStr"/>
      <c r="AA868" t="inlineStr"/>
      <c r="AB868" t="inlineStr"/>
      <c r="AC868" t="inlineStr"/>
      <c r="AD868" t="inlineStr"/>
      <c r="AE868" t="inlineStr"/>
      <c r="AF868" t="inlineStr"/>
      <c r="AG868" t="inlineStr"/>
      <c r="AH868" t="inlineStr"/>
      <c r="AI868" t="inlineStr">
        <is>
          <t>HL</t>
        </is>
      </c>
      <c r="AJ868" t="inlineStr"/>
      <c r="AK868" t="inlineStr">
        <is>
          <t>x</t>
        </is>
      </c>
      <c r="AL868" t="inlineStr"/>
      <c r="AM868" t="inlineStr">
        <is>
          <t>h/E</t>
        </is>
      </c>
      <c r="AN868" t="inlineStr"/>
      <c r="AO868" t="inlineStr"/>
      <c r="AP868" t="inlineStr"/>
      <c r="AQ868" t="inlineStr"/>
      <c r="AR868" t="inlineStr"/>
      <c r="AS868" t="inlineStr">
        <is>
          <t>Pa</t>
        </is>
      </c>
      <c r="AT868" t="inlineStr"/>
      <c r="AU868" t="inlineStr"/>
      <c r="AV868" t="inlineStr"/>
      <c r="AW868" t="inlineStr"/>
      <c r="AX868" t="inlineStr"/>
      <c r="AY868" t="inlineStr"/>
      <c r="AZ868" t="inlineStr"/>
      <c r="BA868" t="inlineStr"/>
      <c r="BB868" t="inlineStr"/>
      <c r="BC868" t="inlineStr"/>
      <c r="BD868" t="inlineStr"/>
      <c r="BE868" t="n">
        <v>4</v>
      </c>
      <c r="BF868" t="inlineStr">
        <is>
          <t>x</t>
        </is>
      </c>
      <c r="BG868" t="n">
        <v>45</v>
      </c>
      <c r="BH868" t="inlineStr"/>
      <c r="BI868" t="inlineStr">
        <is>
          <t>x</t>
        </is>
      </c>
      <c r="BJ868" t="inlineStr">
        <is>
          <t xml:space="preserve">
Rücken ausfüttern</t>
        </is>
      </c>
      <c r="BK868" t="inlineStr"/>
      <c r="BL868" t="inlineStr"/>
      <c r="BM868" t="inlineStr">
        <is>
          <t>ja vor</t>
        </is>
      </c>
      <c r="BN868" t="n">
        <v>1.5</v>
      </c>
      <c r="BO868" t="inlineStr"/>
      <c r="BP868" t="inlineStr"/>
      <c r="BQ868" t="inlineStr"/>
      <c r="BR868" t="inlineStr">
        <is>
          <t>x</t>
        </is>
      </c>
      <c r="BS868" t="inlineStr"/>
      <c r="BT868" t="inlineStr"/>
      <c r="BU868" t="inlineStr"/>
      <c r="BV868" t="inlineStr">
        <is>
          <t>Schaden(Insektenfraß) ggf. belassen, ist relativ stabil</t>
        </is>
      </c>
      <c r="BW868" t="inlineStr"/>
      <c r="BX868" t="inlineStr"/>
      <c r="BY868" t="inlineStr"/>
      <c r="BZ868" t="inlineStr"/>
      <c r="CA868" t="inlineStr"/>
      <c r="CB868" t="inlineStr"/>
      <c r="CC868" t="inlineStr"/>
      <c r="CD868" t="inlineStr"/>
      <c r="CE868" t="inlineStr"/>
      <c r="CF868" t="inlineStr"/>
      <c r="CG868" t="inlineStr"/>
      <c r="CH868" t="inlineStr"/>
      <c r="CI868" t="inlineStr"/>
      <c r="CJ868" t="inlineStr"/>
      <c r="CK868" t="inlineStr"/>
      <c r="CL868" t="inlineStr"/>
      <c r="CM868" t="inlineStr"/>
      <c r="CN868" t="inlineStr"/>
      <c r="CO868" t="inlineStr"/>
      <c r="CP868" t="inlineStr"/>
      <c r="CQ868" t="inlineStr"/>
      <c r="CR868" t="inlineStr"/>
      <c r="CS868" t="inlineStr"/>
      <c r="CT868" t="inlineStr"/>
      <c r="CU868" t="inlineStr"/>
      <c r="CV868" t="inlineStr"/>
      <c r="CW868" t="inlineStr"/>
      <c r="CX868" t="inlineStr"/>
      <c r="CY868" t="inlineStr"/>
      <c r="CZ868" t="inlineStr">
        <is>
          <t>x</t>
        </is>
      </c>
      <c r="DA868" t="inlineStr"/>
      <c r="DB868" t="inlineStr"/>
      <c r="DC868" t="inlineStr"/>
      <c r="DD868" t="inlineStr"/>
      <c r="DE868" t="inlineStr"/>
      <c r="DF868" t="n">
        <v>1.5</v>
      </c>
      <c r="DG868" t="inlineStr"/>
    </row>
    <row r="869">
      <c r="A869" t="inlineStr">
        <is>
          <t>III</t>
        </is>
      </c>
      <c r="B869" t="b">
        <v>1</v>
      </c>
      <c r="C869" t="inlineStr">
        <is>
          <t>x</t>
        </is>
      </c>
      <c r="D869" t="inlineStr"/>
      <c r="E869" t="n">
        <v>956</v>
      </c>
      <c r="F869">
        <f>HYPERLINK("https://portal.dnb.de/opac.htm?method=simpleSearch&amp;cqlMode=true&amp;query=idn%3D1066936404", "Portal")</f>
        <v/>
      </c>
      <c r="G869" t="inlineStr">
        <is>
          <t>Aaf</t>
        </is>
      </c>
      <c r="H869" t="inlineStr">
        <is>
          <t>L-1503-315464275</t>
        </is>
      </c>
      <c r="I869" t="inlineStr">
        <is>
          <t>1066936404</t>
        </is>
      </c>
      <c r="J869" t="inlineStr">
        <is>
          <t>III 101, 6</t>
        </is>
      </c>
      <c r="K869" t="inlineStr">
        <is>
          <t>III 101, 6</t>
        </is>
      </c>
      <c r="L869" t="inlineStr">
        <is>
          <t>III 101, 6</t>
        </is>
      </c>
      <c r="M869" t="inlineStr">
        <is>
          <t>steht bei GF</t>
        </is>
      </c>
      <c r="N869" t="inlineStr">
        <is>
          <t xml:space="preserve">Valerius Maximus cum commento Oliverii Arzignanensis: et pulcherrima ac utilissima quadam tabula ... : </t>
        </is>
      </c>
      <c r="O869" t="inlineStr">
        <is>
          <t xml:space="preserve"> : </t>
        </is>
      </c>
      <c r="P869" t="inlineStr"/>
      <c r="Q869" t="inlineStr"/>
      <c r="R869" t="inlineStr"/>
      <c r="S869" t="inlineStr">
        <is>
          <t>bis 35 cm</t>
        </is>
      </c>
      <c r="T869" t="inlineStr"/>
      <c r="U869" t="inlineStr"/>
      <c r="V869" t="inlineStr"/>
      <c r="W869" t="inlineStr"/>
      <c r="X869" t="inlineStr"/>
      <c r="Y869" t="inlineStr"/>
      <c r="Z869" t="inlineStr"/>
      <c r="AA869" t="inlineStr"/>
      <c r="AB869" t="inlineStr"/>
      <c r="AC869" t="inlineStr"/>
      <c r="AD869" t="inlineStr"/>
      <c r="AE869" t="inlineStr"/>
      <c r="AF869" t="inlineStr"/>
      <c r="AG869" t="inlineStr"/>
      <c r="AH869" t="inlineStr"/>
      <c r="AI869" t="inlineStr">
        <is>
          <t>HD</t>
        </is>
      </c>
      <c r="AJ869" t="inlineStr"/>
      <c r="AK869" t="inlineStr">
        <is>
          <t>x</t>
        </is>
      </c>
      <c r="AL869" t="inlineStr"/>
      <c r="AM869" t="inlineStr">
        <is>
          <t>f/V</t>
        </is>
      </c>
      <c r="AN869" t="inlineStr"/>
      <c r="AO869" t="inlineStr"/>
      <c r="AP869" t="inlineStr"/>
      <c r="AQ869" t="inlineStr"/>
      <c r="AR869" t="inlineStr"/>
      <c r="AS869" t="inlineStr">
        <is>
          <t>Pa</t>
        </is>
      </c>
      <c r="AT869" t="inlineStr"/>
      <c r="AU869" t="inlineStr"/>
      <c r="AV869" t="inlineStr"/>
      <c r="AW869" t="inlineStr"/>
      <c r="AX869" t="inlineStr"/>
      <c r="AY869" t="inlineStr"/>
      <c r="AZ869" t="inlineStr"/>
      <c r="BA869" t="inlineStr"/>
      <c r="BB869" t="inlineStr"/>
      <c r="BC869" t="inlineStr"/>
      <c r="BD869" t="inlineStr"/>
      <c r="BE869" t="inlineStr"/>
      <c r="BF869" t="inlineStr"/>
      <c r="BG869" t="inlineStr">
        <is>
          <t>nur 110</t>
        </is>
      </c>
      <c r="BH869" t="inlineStr"/>
      <c r="BI869" t="inlineStr"/>
      <c r="BJ869" t="inlineStr"/>
      <c r="BK869" t="inlineStr"/>
      <c r="BL869" t="inlineStr"/>
      <c r="BM869" t="inlineStr">
        <is>
          <t>ja vor</t>
        </is>
      </c>
      <c r="BN869" t="n">
        <v>1</v>
      </c>
      <c r="BO869" t="inlineStr"/>
      <c r="BP869" t="inlineStr"/>
      <c r="BQ869" t="inlineStr"/>
      <c r="BR869" t="inlineStr">
        <is>
          <t>x</t>
        </is>
      </c>
      <c r="BS869" t="inlineStr"/>
      <c r="BT869" t="inlineStr"/>
      <c r="BU869" t="inlineStr"/>
      <c r="BV869" t="inlineStr"/>
      <c r="BW869" t="inlineStr">
        <is>
          <t>x nur 110</t>
        </is>
      </c>
      <c r="BX869" t="inlineStr"/>
      <c r="BY869" t="inlineStr"/>
      <c r="BZ869" t="inlineStr"/>
      <c r="CA869" t="inlineStr">
        <is>
          <t>x</t>
        </is>
      </c>
      <c r="CB869" t="inlineStr">
        <is>
          <t>x</t>
        </is>
      </c>
      <c r="CC869" t="inlineStr">
        <is>
          <t>x</t>
        </is>
      </c>
      <c r="CD869" t="inlineStr">
        <is>
          <t>v/h</t>
        </is>
      </c>
      <c r="CE869" t="inlineStr"/>
      <c r="CF869" t="inlineStr"/>
      <c r="CG869" t="inlineStr"/>
      <c r="CH869" t="inlineStr"/>
      <c r="CI869" t="inlineStr"/>
      <c r="CJ869" t="inlineStr"/>
      <c r="CK869" t="inlineStr"/>
      <c r="CL869" t="inlineStr"/>
      <c r="CM869" t="n">
        <v>1</v>
      </c>
      <c r="CN869" t="inlineStr">
        <is>
          <t>nur loses Leder Fixieren, Gelenke belassen (ist stabil genug)</t>
        </is>
      </c>
      <c r="CO869" t="inlineStr"/>
      <c r="CP869" t="inlineStr"/>
      <c r="CQ869" t="inlineStr"/>
      <c r="CR869" t="inlineStr"/>
      <c r="CS869" t="inlineStr"/>
      <c r="CT869" t="inlineStr"/>
      <c r="CU869" t="inlineStr"/>
      <c r="CV869" t="inlineStr"/>
      <c r="CW869" t="inlineStr"/>
      <c r="CX869" t="inlineStr"/>
      <c r="CY869" t="inlineStr"/>
      <c r="CZ869" t="inlineStr"/>
      <c r="DA869" t="inlineStr"/>
      <c r="DB869" t="inlineStr"/>
      <c r="DC869" t="inlineStr"/>
      <c r="DD869" t="inlineStr"/>
      <c r="DE869" t="inlineStr"/>
      <c r="DF869" t="inlineStr"/>
      <c r="DG869" t="inlineStr"/>
    </row>
    <row r="870">
      <c r="A870" t="inlineStr">
        <is>
          <t>III</t>
        </is>
      </c>
      <c r="B870" t="b">
        <v>1</v>
      </c>
      <c r="C870" t="inlineStr"/>
      <c r="D870" t="inlineStr"/>
      <c r="E870" t="n">
        <v>957</v>
      </c>
      <c r="F870">
        <f>HYPERLINK("https://portal.dnb.de/opac.htm?method=simpleSearch&amp;cqlMode=true&amp;query=idn%3D1066925402", "Portal")</f>
        <v/>
      </c>
      <c r="G870" t="inlineStr">
        <is>
          <t>Aaf</t>
        </is>
      </c>
      <c r="H870" t="inlineStr">
        <is>
          <t>L-1503-31545430X</t>
        </is>
      </c>
      <c r="I870" t="inlineStr">
        <is>
          <t>1066925402</t>
        </is>
      </c>
      <c r="J870" t="inlineStr">
        <is>
          <t>III 101, 7</t>
        </is>
      </c>
      <c r="K870" t="inlineStr">
        <is>
          <t>III 101, 7</t>
        </is>
      </c>
      <c r="L870" t="inlineStr">
        <is>
          <t>III 101, 7</t>
        </is>
      </c>
      <c r="M870" t="inlineStr"/>
      <c r="N870" t="inlineStr">
        <is>
          <t xml:space="preserve">Senece omnia opera : </t>
        </is>
      </c>
      <c r="O870" t="inlineStr">
        <is>
          <t xml:space="preserve"> : </t>
        </is>
      </c>
      <c r="P870" t="inlineStr"/>
      <c r="Q870" t="inlineStr"/>
      <c r="R870" t="inlineStr"/>
      <c r="S870" t="inlineStr">
        <is>
          <t>bis 35 cm</t>
        </is>
      </c>
      <c r="T870" t="inlineStr"/>
      <c r="U870" t="inlineStr"/>
      <c r="V870" t="inlineStr"/>
      <c r="W870" t="inlineStr"/>
      <c r="X870" t="inlineStr"/>
      <c r="Y870" t="inlineStr"/>
      <c r="Z870" t="inlineStr"/>
      <c r="AA870" t="inlineStr"/>
      <c r="AB870" t="inlineStr"/>
      <c r="AC870" t="inlineStr"/>
      <c r="AD870" t="inlineStr"/>
      <c r="AE870" t="inlineStr"/>
      <c r="AF870" t="inlineStr"/>
      <c r="AG870" t="inlineStr"/>
      <c r="AH870" t="inlineStr"/>
      <c r="AI870" t="inlineStr">
        <is>
          <t>L</t>
        </is>
      </c>
      <c r="AJ870" t="inlineStr"/>
      <c r="AK870" t="inlineStr">
        <is>
          <t>x</t>
        </is>
      </c>
      <c r="AL870" t="inlineStr"/>
      <c r="AM870" t="inlineStr">
        <is>
          <t>f</t>
        </is>
      </c>
      <c r="AN870" t="inlineStr"/>
      <c r="AO870" t="inlineStr"/>
      <c r="AP870" t="inlineStr"/>
      <c r="AQ870" t="inlineStr"/>
      <c r="AR870" t="inlineStr"/>
      <c r="AS870" t="inlineStr">
        <is>
          <t>Pa</t>
        </is>
      </c>
      <c r="AT870" t="inlineStr"/>
      <c r="AU870" t="inlineStr"/>
      <c r="AV870" t="inlineStr"/>
      <c r="AW870" t="inlineStr"/>
      <c r="AX870" t="inlineStr"/>
      <c r="AY870" t="inlineStr"/>
      <c r="AZ870" t="inlineStr"/>
      <c r="BA870" t="inlineStr"/>
      <c r="BB870" t="inlineStr"/>
      <c r="BC870" t="inlineStr"/>
      <c r="BD870" t="inlineStr"/>
      <c r="BE870" t="inlineStr"/>
      <c r="BF870" t="inlineStr"/>
      <c r="BG870" t="n">
        <v>110</v>
      </c>
      <c r="BH870" t="inlineStr"/>
      <c r="BI870" t="inlineStr"/>
      <c r="BJ870" t="inlineStr"/>
      <c r="BK870" t="inlineStr"/>
      <c r="BL870" t="inlineStr"/>
      <c r="BM870" t="inlineStr">
        <is>
          <t>n</t>
        </is>
      </c>
      <c r="BN870" t="n">
        <v>0</v>
      </c>
      <c r="BO870" t="inlineStr"/>
      <c r="BP870" t="inlineStr"/>
      <c r="BQ870" t="inlineStr"/>
      <c r="BR870" t="inlineStr">
        <is>
          <t>x</t>
        </is>
      </c>
      <c r="BS870" t="inlineStr"/>
      <c r="BT870" t="inlineStr"/>
      <c r="BU870" t="inlineStr"/>
      <c r="BV870" t="inlineStr"/>
      <c r="BW870" t="inlineStr"/>
      <c r="BX870" t="inlineStr"/>
      <c r="BY870" t="inlineStr"/>
      <c r="BZ870" t="inlineStr"/>
      <c r="CA870" t="inlineStr"/>
      <c r="CB870" t="inlineStr"/>
      <c r="CC870" t="inlineStr"/>
      <c r="CD870" t="inlineStr"/>
      <c r="CE870" t="inlineStr"/>
      <c r="CF870" t="inlineStr"/>
      <c r="CG870" t="inlineStr"/>
      <c r="CH870" t="inlineStr"/>
      <c r="CI870" t="inlineStr"/>
      <c r="CJ870" t="inlineStr"/>
      <c r="CK870" t="inlineStr"/>
      <c r="CL870" t="inlineStr"/>
      <c r="CM870" t="inlineStr"/>
      <c r="CN870" t="inlineStr"/>
      <c r="CO870" t="inlineStr"/>
      <c r="CP870" t="inlineStr"/>
      <c r="CQ870" t="inlineStr"/>
      <c r="CR870" t="inlineStr"/>
      <c r="CS870" t="inlineStr"/>
      <c r="CT870" t="inlineStr"/>
      <c r="CU870" t="inlineStr"/>
      <c r="CV870" t="inlineStr"/>
      <c r="CW870" t="inlineStr"/>
      <c r="CX870" t="inlineStr"/>
      <c r="CY870" t="inlineStr"/>
      <c r="CZ870" t="inlineStr"/>
      <c r="DA870" t="inlineStr"/>
      <c r="DB870" t="inlineStr"/>
      <c r="DC870" t="inlineStr"/>
      <c r="DD870" t="inlineStr"/>
      <c r="DE870" t="inlineStr"/>
      <c r="DF870" t="inlineStr"/>
      <c r="DG870" t="inlineStr"/>
    </row>
    <row r="871">
      <c r="A871" t="inlineStr">
        <is>
          <t>III</t>
        </is>
      </c>
      <c r="B871" t="b">
        <v>0</v>
      </c>
      <c r="C871" t="inlineStr"/>
      <c r="D871" t="inlineStr"/>
      <c r="E871" t="n">
        <v>958</v>
      </c>
      <c r="F871">
        <f>HYPERLINK("https://portal.dnb.de/opac.htm?method=simpleSearch&amp;cqlMode=true&amp;query=idn%3D1066840776", "Portal")</f>
        <v/>
      </c>
      <c r="G871" t="inlineStr"/>
      <c r="H871" t="inlineStr">
        <is>
          <t>L-1504-315300701</t>
        </is>
      </c>
      <c r="I871" t="inlineStr">
        <is>
          <t>1066840776</t>
        </is>
      </c>
      <c r="J871" t="inlineStr"/>
      <c r="K871" t="inlineStr"/>
      <c r="L871" t="inlineStr">
        <is>
          <t>III 101, 8</t>
        </is>
      </c>
      <c r="M871" t="inlineStr"/>
      <c r="N871" t="inlineStr"/>
      <c r="O871" t="inlineStr"/>
      <c r="P871" t="inlineStr"/>
      <c r="Q871" t="inlineStr"/>
      <c r="R871" t="inlineStr"/>
      <c r="S871" t="inlineStr"/>
      <c r="T871" t="inlineStr"/>
      <c r="U871" t="inlineStr"/>
      <c r="V871" t="inlineStr"/>
      <c r="W871" t="inlineStr"/>
      <c r="X871" t="inlineStr"/>
      <c r="Y871" t="inlineStr"/>
      <c r="Z871" t="inlineStr"/>
      <c r="AA871" t="inlineStr"/>
      <c r="AB871" t="inlineStr"/>
      <c r="AC871" t="inlineStr"/>
      <c r="AD871" t="inlineStr">
        <is>
          <t>DA</t>
        </is>
      </c>
      <c r="AE871" t="inlineStr"/>
      <c r="AF871" t="inlineStr"/>
      <c r="AG871" t="inlineStr"/>
      <c r="AH871" t="inlineStr"/>
      <c r="AI871" t="inlineStr"/>
      <c r="AJ871" t="inlineStr"/>
      <c r="AK871" t="inlineStr"/>
      <c r="AL871" t="inlineStr"/>
      <c r="AM871" t="inlineStr"/>
      <c r="AN871" t="inlineStr"/>
      <c r="AO871" t="inlineStr"/>
      <c r="AP871" t="inlineStr"/>
      <c r="AQ871" t="inlineStr"/>
      <c r="AR871" t="inlineStr"/>
      <c r="AS871" t="inlineStr"/>
      <c r="AT871" t="inlineStr"/>
      <c r="AU871" t="inlineStr"/>
      <c r="AV871" t="inlineStr"/>
      <c r="AW871" t="inlineStr"/>
      <c r="AX871" t="inlineStr"/>
      <c r="AY871" t="inlineStr"/>
      <c r="AZ871" t="inlineStr"/>
      <c r="BA871" t="inlineStr"/>
      <c r="BB871" t="inlineStr"/>
      <c r="BC871" t="inlineStr"/>
      <c r="BD871" t="inlineStr"/>
      <c r="BE871" t="inlineStr"/>
      <c r="BF871" t="inlineStr"/>
      <c r="BG871" t="inlineStr"/>
      <c r="BH871" t="inlineStr"/>
      <c r="BI871" t="inlineStr"/>
      <c r="BJ871" t="inlineStr"/>
      <c r="BK871" t="inlineStr"/>
      <c r="BL871" t="inlineStr"/>
      <c r="BM871" t="inlineStr"/>
      <c r="BN871" t="n">
        <v>0</v>
      </c>
      <c r="BO871" t="inlineStr"/>
      <c r="BP871" t="inlineStr"/>
      <c r="BQ871" t="inlineStr"/>
      <c r="BR871" t="inlineStr"/>
      <c r="BS871" t="inlineStr"/>
      <c r="BT871" t="inlineStr"/>
      <c r="BU871" t="inlineStr"/>
      <c r="BV871" t="inlineStr"/>
      <c r="BW871" t="inlineStr"/>
      <c r="BX871" t="inlineStr"/>
      <c r="BY871" t="inlineStr"/>
      <c r="BZ871" t="inlineStr"/>
      <c r="CA871" t="inlineStr"/>
      <c r="CB871" t="inlineStr"/>
      <c r="CC871" t="inlineStr"/>
      <c r="CD871" t="inlineStr"/>
      <c r="CE871" t="inlineStr"/>
      <c r="CF871" t="inlineStr"/>
      <c r="CG871" t="inlineStr"/>
      <c r="CH871" t="inlineStr"/>
      <c r="CI871" t="inlineStr"/>
      <c r="CJ871" t="inlineStr"/>
      <c r="CK871" t="inlineStr"/>
      <c r="CL871" t="inlineStr"/>
      <c r="CM871" t="inlineStr"/>
      <c r="CN871" t="inlineStr"/>
      <c r="CO871" t="inlineStr"/>
      <c r="CP871" t="inlineStr"/>
      <c r="CQ871" t="inlineStr"/>
      <c r="CR871" t="inlineStr"/>
      <c r="CS871" t="inlineStr"/>
      <c r="CT871" t="inlineStr"/>
      <c r="CU871" t="inlineStr"/>
      <c r="CV871" t="inlineStr"/>
      <c r="CW871" t="inlineStr"/>
      <c r="CX871" t="inlineStr"/>
      <c r="CY871" t="inlineStr"/>
      <c r="CZ871" t="inlineStr"/>
      <c r="DA871" t="inlineStr"/>
      <c r="DB871" t="inlineStr"/>
      <c r="DC871" t="inlineStr"/>
      <c r="DD871" t="inlineStr"/>
      <c r="DE871" t="inlineStr"/>
      <c r="DF871" t="inlineStr"/>
      <c r="DG871" t="inlineStr"/>
    </row>
    <row r="872">
      <c r="A872" t="inlineStr">
        <is>
          <t>III</t>
        </is>
      </c>
      <c r="B872" t="b">
        <v>1</v>
      </c>
      <c r="C872" t="inlineStr">
        <is>
          <t>x</t>
        </is>
      </c>
      <c r="D872" t="inlineStr"/>
      <c r="E872" t="n">
        <v>959</v>
      </c>
      <c r="F872">
        <f>HYPERLINK("https://portal.dnb.de/opac.htm?method=simpleSearch&amp;cqlMode=true&amp;query=idn%3D1132652952", "Portal")</f>
        <v/>
      </c>
      <c r="G872" t="inlineStr">
        <is>
          <t>Af</t>
        </is>
      </c>
      <c r="H872" t="inlineStr">
        <is>
          <t>L-1554-406969795</t>
        </is>
      </c>
      <c r="I872" t="inlineStr">
        <is>
          <t>1132652952</t>
        </is>
      </c>
      <c r="J872" t="inlineStr">
        <is>
          <t>III 101, 9</t>
        </is>
      </c>
      <c r="K872" t="inlineStr">
        <is>
          <t>III 101, 9</t>
        </is>
      </c>
      <c r="L872" t="inlineStr">
        <is>
          <t>III 101, 9</t>
        </is>
      </c>
      <c r="M872" t="inlineStr"/>
      <c r="N872" t="inlineStr">
        <is>
          <t>Delle navigationi et viaggi</t>
        </is>
      </c>
      <c r="O872" t="inlineStr">
        <is>
          <t>Vol. 1. : Primo volume, &amp; seconda editione delle nauigationi et viaggi in molti luoghi corretta, et ampliata, nella quale si contengono la descrittione dell'Africa, &amp; del paese del Prete Ianni, con varij viaggi, dalla città di Lisbona, &amp; dal mar Rosso à Calicut, &amp; insin' all' isole Molucche, doue nascono le spetierie, et la nauigatione attorno il mondo</t>
        </is>
      </c>
      <c r="P872" t="inlineStr"/>
      <c r="Q872" t="inlineStr"/>
      <c r="R872" t="inlineStr"/>
      <c r="S872" t="inlineStr">
        <is>
          <t>bis 35 cm</t>
        </is>
      </c>
      <c r="T872" t="inlineStr"/>
      <c r="U872" t="inlineStr"/>
      <c r="V872" t="inlineStr"/>
      <c r="W872" t="inlineStr"/>
      <c r="X872" t="inlineStr"/>
      <c r="Y872" t="inlineStr"/>
      <c r="Z872" t="inlineStr"/>
      <c r="AA872" t="inlineStr"/>
      <c r="AB872" t="inlineStr"/>
      <c r="AC872" t="inlineStr"/>
      <c r="AD872" t="inlineStr"/>
      <c r="AE872" t="inlineStr"/>
      <c r="AF872" t="inlineStr"/>
      <c r="AG872" t="inlineStr"/>
      <c r="AH872" t="inlineStr"/>
      <c r="AI872" t="inlineStr">
        <is>
          <t>L</t>
        </is>
      </c>
      <c r="AJ872" t="inlineStr"/>
      <c r="AK872" t="inlineStr"/>
      <c r="AL872" t="inlineStr"/>
      <c r="AM872" t="inlineStr">
        <is>
          <t>f</t>
        </is>
      </c>
      <c r="AN872" t="inlineStr"/>
      <c r="AO872" t="inlineStr"/>
      <c r="AP872" t="inlineStr"/>
      <c r="AQ872" t="inlineStr"/>
      <c r="AR872" t="inlineStr"/>
      <c r="AS872" t="inlineStr">
        <is>
          <t>Pa</t>
        </is>
      </c>
      <c r="AT872" t="inlineStr"/>
      <c r="AU872" t="inlineStr"/>
      <c r="AV872" t="inlineStr"/>
      <c r="AW872" t="inlineStr"/>
      <c r="AX872" t="inlineStr"/>
      <c r="AY872" t="inlineStr"/>
      <c r="AZ872" t="inlineStr"/>
      <c r="BA872" t="inlineStr"/>
      <c r="BB872" t="inlineStr"/>
      <c r="BC872" t="inlineStr"/>
      <c r="BD872" t="inlineStr"/>
      <c r="BE872" t="n">
        <v>0</v>
      </c>
      <c r="BF872" t="inlineStr">
        <is>
          <t>x</t>
        </is>
      </c>
      <c r="BG872" t="n">
        <v>110</v>
      </c>
      <c r="BH872" t="inlineStr"/>
      <c r="BI872" t="inlineStr"/>
      <c r="BJ872" t="inlineStr"/>
      <c r="BK872" t="inlineStr"/>
      <c r="BL872" t="inlineStr"/>
      <c r="BM872" t="inlineStr">
        <is>
          <t>ja vor</t>
        </is>
      </c>
      <c r="BN872" t="n">
        <v>7</v>
      </c>
      <c r="BO872" t="inlineStr"/>
      <c r="BP872" t="inlineStr"/>
      <c r="BQ872" t="inlineStr"/>
      <c r="BR872" t="inlineStr"/>
      <c r="BS872" t="inlineStr"/>
      <c r="BT872" t="inlineStr"/>
      <c r="BU872" t="inlineStr"/>
      <c r="BV872" t="inlineStr">
        <is>
          <t>Bundsteg=0 wegen durchgängigen Tafeln</t>
        </is>
      </c>
      <c r="BW872" t="inlineStr"/>
      <c r="BX872" t="inlineStr"/>
      <c r="BY872" t="inlineStr">
        <is>
          <t>Buchschuh (abriebgefährdet)</t>
        </is>
      </c>
      <c r="BZ872" t="inlineStr"/>
      <c r="CA872" t="inlineStr">
        <is>
          <t>x</t>
        </is>
      </c>
      <c r="CB872" t="inlineStr">
        <is>
          <t>x</t>
        </is>
      </c>
      <c r="CC872" t="inlineStr"/>
      <c r="CD872" t="inlineStr">
        <is>
          <t>v</t>
        </is>
      </c>
      <c r="CE872" t="inlineStr"/>
      <c r="CF872" t="inlineStr"/>
      <c r="CG872" t="inlineStr"/>
      <c r="CH872" t="inlineStr"/>
      <c r="CI872" t="inlineStr"/>
      <c r="CJ872" t="inlineStr"/>
      <c r="CK872" t="inlineStr"/>
      <c r="CL872" t="inlineStr"/>
      <c r="CM872" t="n">
        <v>3</v>
      </c>
      <c r="CN872" t="inlineStr"/>
      <c r="CO872" t="inlineStr"/>
      <c r="CP872" t="inlineStr"/>
      <c r="CQ872" t="inlineStr"/>
      <c r="CR872" t="inlineStr"/>
      <c r="CS872" t="inlineStr">
        <is>
          <t>x</t>
        </is>
      </c>
      <c r="CT872" t="inlineStr">
        <is>
          <t>x</t>
        </is>
      </c>
      <c r="CU872" t="inlineStr"/>
      <c r="CV872" t="inlineStr">
        <is>
          <t>x</t>
        </is>
      </c>
      <c r="CW872" t="inlineStr"/>
      <c r="CX872" t="inlineStr"/>
      <c r="CY872" t="inlineStr"/>
      <c r="CZ872" t="inlineStr"/>
      <c r="DA872" t="inlineStr"/>
      <c r="DB872" t="inlineStr"/>
      <c r="DC872" t="inlineStr"/>
      <c r="DD872" t="inlineStr"/>
      <c r="DE872" t="inlineStr"/>
      <c r="DF872" t="n">
        <v>4</v>
      </c>
      <c r="DG872" t="inlineStr"/>
    </row>
    <row r="873">
      <c r="A873" t="inlineStr">
        <is>
          <t>III</t>
        </is>
      </c>
      <c r="B873" t="b">
        <v>1</v>
      </c>
      <c r="C873" t="inlineStr"/>
      <c r="D873" t="inlineStr"/>
      <c r="E873" t="n">
        <v>960</v>
      </c>
      <c r="F873">
        <f>HYPERLINK("https://portal.dnb.de/opac.htm?method=simpleSearch&amp;cqlMode=true&amp;query=idn%3D99400091X", "Portal")</f>
        <v/>
      </c>
      <c r="G873" t="inlineStr">
        <is>
          <t>Aal</t>
        </is>
      </c>
      <c r="H873" t="inlineStr">
        <is>
          <t>L-1507-154281166</t>
        </is>
      </c>
      <c r="I873" t="inlineStr">
        <is>
          <t>99400091X</t>
        </is>
      </c>
      <c r="J873" t="inlineStr">
        <is>
          <t>III 101, 10</t>
        </is>
      </c>
      <c r="K873" t="inlineStr">
        <is>
          <t>III 101, 10</t>
        </is>
      </c>
      <c r="L873" t="inlineStr">
        <is>
          <t>III 101, 10</t>
        </is>
      </c>
      <c r="M873" t="inlineStr"/>
      <c r="N873" t="inlineStr">
        <is>
          <t>Aurea ac pene diuina totius sa-||cre pagine Commentaria compendiose edita per Clarissimum||Theologum Fratrem Petrum Aureolum Seraphici or-||dinis alūn</t>
        </is>
      </c>
      <c r="O873" t="inlineStr">
        <is>
          <t xml:space="preserve"> : </t>
        </is>
      </c>
      <c r="P873" t="inlineStr"/>
      <c r="Q873" t="inlineStr"/>
      <c r="R873" t="inlineStr"/>
      <c r="S873" t="inlineStr">
        <is>
          <t>bis 25 cm</t>
        </is>
      </c>
      <c r="T873" t="inlineStr"/>
      <c r="U873" t="inlineStr"/>
      <c r="V873" t="inlineStr"/>
      <c r="W873" t="inlineStr"/>
      <c r="X873" t="inlineStr"/>
      <c r="Y873" t="inlineStr"/>
      <c r="Z873" t="inlineStr"/>
      <c r="AA873" t="inlineStr"/>
      <c r="AB873" t="inlineStr"/>
      <c r="AC873" t="inlineStr"/>
      <c r="AD873" t="inlineStr"/>
      <c r="AE873" t="inlineStr"/>
      <c r="AF873" t="inlineStr"/>
      <c r="AG873" t="inlineStr"/>
      <c r="AH873" t="inlineStr"/>
      <c r="AI873" t="inlineStr">
        <is>
          <t>HPg</t>
        </is>
      </c>
      <c r="AJ873" t="inlineStr"/>
      <c r="AK873" t="inlineStr"/>
      <c r="AL873" t="inlineStr"/>
      <c r="AM873" t="inlineStr">
        <is>
          <t>h</t>
        </is>
      </c>
      <c r="AN873" t="inlineStr"/>
      <c r="AO873" t="inlineStr"/>
      <c r="AP873" t="inlineStr"/>
      <c r="AQ873" t="inlineStr"/>
      <c r="AR873" t="inlineStr"/>
      <c r="AS873" t="inlineStr">
        <is>
          <t>Pa</t>
        </is>
      </c>
      <c r="AT873" t="inlineStr"/>
      <c r="AU873" t="inlineStr"/>
      <c r="AV873" t="inlineStr"/>
      <c r="AW873" t="inlineStr"/>
      <c r="AX873" t="inlineStr"/>
      <c r="AY873" t="inlineStr"/>
      <c r="AZ873" t="inlineStr"/>
      <c r="BA873" t="inlineStr"/>
      <c r="BB873" t="inlineStr"/>
      <c r="BC873" t="inlineStr"/>
      <c r="BD873" t="inlineStr"/>
      <c r="BE873" t="n">
        <v>2</v>
      </c>
      <c r="BF873" t="inlineStr"/>
      <c r="BG873" t="n">
        <v>110</v>
      </c>
      <c r="BH873" t="inlineStr"/>
      <c r="BI873" t="inlineStr"/>
      <c r="BJ873" t="inlineStr"/>
      <c r="BK873" t="inlineStr"/>
      <c r="BL873" t="inlineStr"/>
      <c r="BM873" t="inlineStr">
        <is>
          <t>n</t>
        </is>
      </c>
      <c r="BN873" t="n">
        <v>0</v>
      </c>
      <c r="BO873" t="inlineStr"/>
      <c r="BP873" t="inlineStr"/>
      <c r="BQ873" t="inlineStr"/>
      <c r="BR873" t="inlineStr"/>
      <c r="BS873" t="inlineStr"/>
      <c r="BT873" t="inlineStr"/>
      <c r="BU873" t="inlineStr"/>
      <c r="BV873" t="inlineStr"/>
      <c r="BW873" t="inlineStr"/>
      <c r="BX873" t="inlineStr"/>
      <c r="BY873" t="inlineStr"/>
      <c r="BZ873" t="inlineStr"/>
      <c r="CA873" t="inlineStr"/>
      <c r="CB873" t="inlineStr"/>
      <c r="CC873" t="inlineStr"/>
      <c r="CD873" t="inlineStr"/>
      <c r="CE873" t="inlineStr"/>
      <c r="CF873" t="inlineStr"/>
      <c r="CG873" t="inlineStr"/>
      <c r="CH873" t="inlineStr"/>
      <c r="CI873" t="inlineStr"/>
      <c r="CJ873" t="inlineStr"/>
      <c r="CK873" t="inlineStr"/>
      <c r="CL873" t="inlineStr"/>
      <c r="CM873" t="inlineStr"/>
      <c r="CN873" t="inlineStr"/>
      <c r="CO873" t="inlineStr"/>
      <c r="CP873" t="inlineStr"/>
      <c r="CQ873" t="inlineStr"/>
      <c r="CR873" t="inlineStr"/>
      <c r="CS873" t="inlineStr"/>
      <c r="CT873" t="inlineStr"/>
      <c r="CU873" t="inlineStr"/>
      <c r="CV873" t="inlineStr"/>
      <c r="CW873" t="inlineStr"/>
      <c r="CX873" t="inlineStr"/>
      <c r="CY873" t="inlineStr"/>
      <c r="CZ873" t="inlineStr"/>
      <c r="DA873" t="inlineStr"/>
      <c r="DB873" t="inlineStr"/>
      <c r="DC873" t="inlineStr"/>
      <c r="DD873" t="inlineStr"/>
      <c r="DE873" t="inlineStr"/>
      <c r="DF873" t="inlineStr"/>
      <c r="DG873" t="inlineStr"/>
    </row>
    <row r="874">
      <c r="A874" t="inlineStr">
        <is>
          <t>III</t>
        </is>
      </c>
      <c r="B874" t="b">
        <v>1</v>
      </c>
      <c r="C874" t="inlineStr"/>
      <c r="D874" t="inlineStr"/>
      <c r="E874" t="n">
        <v>961</v>
      </c>
      <c r="F874">
        <f>HYPERLINK("https://portal.dnb.de/opac.htm?method=simpleSearch&amp;cqlMode=true&amp;query=idn%3D1066935548", "Portal")</f>
        <v/>
      </c>
      <c r="G874" t="inlineStr">
        <is>
          <t>Aaf</t>
        </is>
      </c>
      <c r="H874" t="inlineStr">
        <is>
          <t>L-1507-315463481</t>
        </is>
      </c>
      <c r="I874" t="inlineStr">
        <is>
          <t>1066935548</t>
        </is>
      </c>
      <c r="J874" t="inlineStr">
        <is>
          <t>III 101, 11</t>
        </is>
      </c>
      <c r="K874" t="inlineStr">
        <is>
          <t>III 101, 11</t>
        </is>
      </c>
      <c r="L874" t="inlineStr">
        <is>
          <t>III 101, 11</t>
        </is>
      </c>
      <c r="M874" t="inlineStr"/>
      <c r="N874" t="inlineStr">
        <is>
          <t xml:space="preserve">Almanach noua plurimis annis venturis inseruientia : </t>
        </is>
      </c>
      <c r="O874" t="inlineStr">
        <is>
          <t xml:space="preserve"> : </t>
        </is>
      </c>
      <c r="P874" t="inlineStr"/>
      <c r="Q874" t="inlineStr"/>
      <c r="R874" t="inlineStr"/>
      <c r="S874" t="inlineStr">
        <is>
          <t>bis 25 cm</t>
        </is>
      </c>
      <c r="T874" t="inlineStr"/>
      <c r="U874" t="inlineStr"/>
      <c r="V874" t="inlineStr"/>
      <c r="W874" t="inlineStr"/>
      <c r="X874" t="inlineStr"/>
      <c r="Y874" t="inlineStr"/>
      <c r="Z874" t="inlineStr"/>
      <c r="AA874" t="inlineStr"/>
      <c r="AB874" t="inlineStr"/>
      <c r="AC874" t="inlineStr"/>
      <c r="AD874" t="inlineStr"/>
      <c r="AE874" t="inlineStr"/>
      <c r="AF874" t="inlineStr"/>
      <c r="AG874" t="inlineStr"/>
      <c r="AH874" t="inlineStr"/>
      <c r="AI874" t="inlineStr">
        <is>
          <t>Pa</t>
        </is>
      </c>
      <c r="AJ874" t="inlineStr"/>
      <c r="AK874" t="inlineStr"/>
      <c r="AL874" t="inlineStr"/>
      <c r="AM874" t="inlineStr">
        <is>
          <t>h</t>
        </is>
      </c>
      <c r="AN874" t="inlineStr"/>
      <c r="AO874" t="inlineStr"/>
      <c r="AP874" t="inlineStr"/>
      <c r="AQ874" t="inlineStr"/>
      <c r="AR874" t="inlineStr"/>
      <c r="AS874" t="inlineStr">
        <is>
          <t>Pa</t>
        </is>
      </c>
      <c r="AT874" t="inlineStr"/>
      <c r="AU874" t="inlineStr"/>
      <c r="AV874" t="inlineStr"/>
      <c r="AW874" t="inlineStr"/>
      <c r="AX874" t="inlineStr"/>
      <c r="AY874" t="inlineStr"/>
      <c r="AZ874" t="inlineStr"/>
      <c r="BA874" t="inlineStr"/>
      <c r="BB874" t="inlineStr"/>
      <c r="BC874" t="inlineStr"/>
      <c r="BD874" t="inlineStr"/>
      <c r="BE874" t="inlineStr"/>
      <c r="BF874" t="inlineStr"/>
      <c r="BG874" t="n">
        <v>110</v>
      </c>
      <c r="BH874" t="inlineStr"/>
      <c r="BI874" t="inlineStr"/>
      <c r="BJ874" t="inlineStr"/>
      <c r="BK874" t="inlineStr"/>
      <c r="BL874" t="inlineStr"/>
      <c r="BM874" t="inlineStr">
        <is>
          <t>n</t>
        </is>
      </c>
      <c r="BN874" t="n">
        <v>0</v>
      </c>
      <c r="BO874" t="inlineStr"/>
      <c r="BP874" t="inlineStr"/>
      <c r="BQ874" t="inlineStr"/>
      <c r="BR874" t="inlineStr"/>
      <c r="BS874" t="inlineStr"/>
      <c r="BT874" t="inlineStr"/>
      <c r="BU874" t="inlineStr"/>
      <c r="BV874" t="inlineStr"/>
      <c r="BW874" t="inlineStr"/>
      <c r="BX874" t="inlineStr"/>
      <c r="BY874" t="inlineStr"/>
      <c r="BZ874" t="inlineStr"/>
      <c r="CA874" t="inlineStr"/>
      <c r="CB874" t="inlineStr"/>
      <c r="CC874" t="inlineStr"/>
      <c r="CD874" t="inlineStr"/>
      <c r="CE874" t="inlineStr"/>
      <c r="CF874" t="inlineStr"/>
      <c r="CG874" t="inlineStr"/>
      <c r="CH874" t="inlineStr"/>
      <c r="CI874" t="inlineStr"/>
      <c r="CJ874" t="inlineStr"/>
      <c r="CK874" t="inlineStr"/>
      <c r="CL874" t="inlineStr"/>
      <c r="CM874" t="inlineStr"/>
      <c r="CN874" t="inlineStr"/>
      <c r="CO874" t="inlineStr"/>
      <c r="CP874" t="inlineStr"/>
      <c r="CQ874" t="inlineStr"/>
      <c r="CR874" t="inlineStr"/>
      <c r="CS874" t="inlineStr"/>
      <c r="CT874" t="inlineStr"/>
      <c r="CU874" t="inlineStr"/>
      <c r="CV874" t="inlineStr"/>
      <c r="CW874" t="inlineStr"/>
      <c r="CX874" t="inlineStr"/>
      <c r="CY874" t="inlineStr"/>
      <c r="CZ874" t="inlineStr"/>
      <c r="DA874" t="inlineStr"/>
      <c r="DB874" t="inlineStr"/>
      <c r="DC874" t="inlineStr"/>
      <c r="DD874" t="inlineStr"/>
      <c r="DE874" t="inlineStr"/>
      <c r="DF874" t="inlineStr"/>
      <c r="DG874" t="inlineStr"/>
    </row>
    <row r="875">
      <c r="A875" t="inlineStr">
        <is>
          <t>III</t>
        </is>
      </c>
      <c r="B875" t="b">
        <v>1</v>
      </c>
      <c r="C875" t="inlineStr"/>
      <c r="D875" t="inlineStr"/>
      <c r="E875" t="inlineStr"/>
      <c r="F875">
        <f>HYPERLINK("https://portal.dnb.de/opac.htm?method=simpleSearch&amp;cqlMode=true&amp;query=idn%3D113796636X", "Portal")</f>
        <v/>
      </c>
      <c r="G875" t="inlineStr">
        <is>
          <t>Qd</t>
        </is>
      </c>
      <c r="H875" t="inlineStr">
        <is>
          <t>L-9999-414281845</t>
        </is>
      </c>
      <c r="I875" t="inlineStr">
        <is>
          <t>113796636X</t>
        </is>
      </c>
      <c r="J875" t="inlineStr">
        <is>
          <t>III 101, 12</t>
        </is>
      </c>
      <c r="K875" t="inlineStr">
        <is>
          <t>III 101, 12</t>
        </is>
      </c>
      <c r="L875" t="inlineStr">
        <is>
          <t>III 101, 12</t>
        </is>
      </c>
      <c r="M875" t="inlineStr"/>
      <c r="N875" t="inlineStr">
        <is>
          <t xml:space="preserve">Sammelband mit zwei astronomischen Werken : </t>
        </is>
      </c>
      <c r="O875" t="inlineStr">
        <is>
          <t xml:space="preserve"> : </t>
        </is>
      </c>
      <c r="P875" t="inlineStr"/>
      <c r="Q875" t="inlineStr"/>
      <c r="R875" t="inlineStr"/>
      <c r="S875" t="inlineStr">
        <is>
          <t>bis 25 cm</t>
        </is>
      </c>
      <c r="T875" t="inlineStr"/>
      <c r="U875" t="inlineStr"/>
      <c r="V875" t="inlineStr"/>
      <c r="W875" t="inlineStr"/>
      <c r="X875" t="inlineStr"/>
      <c r="Y875" t="inlineStr"/>
      <c r="Z875" t="inlineStr"/>
      <c r="AA875" t="inlineStr"/>
      <c r="AB875" t="inlineStr"/>
      <c r="AC875" t="inlineStr"/>
      <c r="AD875" t="inlineStr"/>
      <c r="AE875" t="inlineStr"/>
      <c r="AF875" t="inlineStr"/>
      <c r="AG875" t="inlineStr"/>
      <c r="AH875" t="inlineStr"/>
      <c r="AI875" t="inlineStr">
        <is>
          <t>G</t>
        </is>
      </c>
      <c r="AJ875" t="inlineStr"/>
      <c r="AK875" t="inlineStr"/>
      <c r="AL875" t="inlineStr"/>
      <c r="AM875" t="inlineStr">
        <is>
          <t>h/E</t>
        </is>
      </c>
      <c r="AN875" t="inlineStr"/>
      <c r="AO875" t="inlineStr"/>
      <c r="AP875" t="inlineStr"/>
      <c r="AQ875" t="inlineStr"/>
      <c r="AR875" t="inlineStr"/>
      <c r="AS875" t="inlineStr">
        <is>
          <t>Pa</t>
        </is>
      </c>
      <c r="AT875" t="inlineStr"/>
      <c r="AU875" t="inlineStr"/>
      <c r="AV875" t="inlineStr"/>
      <c r="AW875" t="inlineStr"/>
      <c r="AX875" t="inlineStr"/>
      <c r="AY875" t="inlineStr"/>
      <c r="AZ875" t="inlineStr"/>
      <c r="BA875" t="inlineStr"/>
      <c r="BB875" t="inlineStr"/>
      <c r="BC875" t="inlineStr"/>
      <c r="BD875" t="inlineStr"/>
      <c r="BE875" t="inlineStr"/>
      <c r="BF875" t="inlineStr"/>
      <c r="BG875" t="n">
        <v>110</v>
      </c>
      <c r="BH875" t="inlineStr"/>
      <c r="BI875" t="inlineStr"/>
      <c r="BJ875" t="inlineStr"/>
      <c r="BK875" t="inlineStr"/>
      <c r="BL875" t="inlineStr"/>
      <c r="BM875" t="inlineStr">
        <is>
          <t>n</t>
        </is>
      </c>
      <c r="BN875" t="n">
        <v>0</v>
      </c>
      <c r="BO875" t="inlineStr"/>
      <c r="BP875" t="inlineStr"/>
      <c r="BQ875" t="inlineStr"/>
      <c r="BR875" t="inlineStr"/>
      <c r="BS875" t="inlineStr"/>
      <c r="BT875" t="inlineStr"/>
      <c r="BU875" t="inlineStr"/>
      <c r="BV875" t="inlineStr"/>
      <c r="BW875" t="inlineStr"/>
      <c r="BX875" t="inlineStr"/>
      <c r="BY875" t="inlineStr"/>
      <c r="BZ875" t="inlineStr"/>
      <c r="CA875" t="inlineStr"/>
      <c r="CB875" t="inlineStr"/>
      <c r="CC875" t="inlineStr"/>
      <c r="CD875" t="inlineStr"/>
      <c r="CE875" t="inlineStr"/>
      <c r="CF875" t="inlineStr"/>
      <c r="CG875" t="inlineStr"/>
      <c r="CH875" t="inlineStr"/>
      <c r="CI875" t="inlineStr"/>
      <c r="CJ875" t="inlineStr"/>
      <c r="CK875" t="inlineStr"/>
      <c r="CL875" t="inlineStr"/>
      <c r="CM875" t="inlineStr"/>
      <c r="CN875" t="inlineStr"/>
      <c r="CO875" t="inlineStr"/>
      <c r="CP875" t="inlineStr"/>
      <c r="CQ875" t="inlineStr"/>
      <c r="CR875" t="inlineStr"/>
      <c r="CS875" t="inlineStr"/>
      <c r="CT875" t="inlineStr"/>
      <c r="CU875" t="inlineStr"/>
      <c r="CV875" t="inlineStr"/>
      <c r="CW875" t="inlineStr"/>
      <c r="CX875" t="inlineStr"/>
      <c r="CY875" t="inlineStr"/>
      <c r="CZ875" t="inlineStr"/>
      <c r="DA875" t="inlineStr"/>
      <c r="DB875" t="inlineStr"/>
      <c r="DC875" t="inlineStr"/>
      <c r="DD875" t="inlineStr"/>
      <c r="DE875" t="inlineStr"/>
      <c r="DF875" t="inlineStr"/>
      <c r="DG875" t="inlineStr"/>
    </row>
    <row r="876">
      <c r="A876" t="inlineStr">
        <is>
          <t>III</t>
        </is>
      </c>
      <c r="B876" t="b">
        <v>1</v>
      </c>
      <c r="C876" t="inlineStr"/>
      <c r="D876" t="inlineStr"/>
      <c r="E876" t="n">
        <v>963</v>
      </c>
      <c r="F876">
        <f>HYPERLINK("https://portal.dnb.de/opac.htm?method=simpleSearch&amp;cqlMode=true&amp;query=idn%3D1066840946", "Portal")</f>
        <v/>
      </c>
      <c r="G876" t="inlineStr">
        <is>
          <t>Aaf</t>
        </is>
      </c>
      <c r="H876" t="inlineStr">
        <is>
          <t>L-1520-31530085X</t>
        </is>
      </c>
      <c r="I876" t="inlineStr">
        <is>
          <t>1066840946</t>
        </is>
      </c>
      <c r="J876" t="inlineStr">
        <is>
          <t>III 101, 13</t>
        </is>
      </c>
      <c r="K876" t="inlineStr">
        <is>
          <t>III 101, 13</t>
        </is>
      </c>
      <c r="L876" t="inlineStr">
        <is>
          <t>III 101, 13</t>
        </is>
      </c>
      <c r="M876" t="inlineStr">
        <is>
          <t>steht bei GF</t>
        </is>
      </c>
      <c r="N876" t="inlineStr">
        <is>
          <t xml:space="preserve">Missale secundum ritum et ordinem ecclesie et diocesis Frisingensis : </t>
        </is>
      </c>
      <c r="O876" t="inlineStr">
        <is>
          <t xml:space="preserve"> : </t>
        </is>
      </c>
      <c r="P876" t="inlineStr"/>
      <c r="Q876" t="inlineStr"/>
      <c r="R876" t="inlineStr"/>
      <c r="S876" t="inlineStr">
        <is>
          <t>bis 42 cm</t>
        </is>
      </c>
      <c r="T876" t="inlineStr"/>
      <c r="U876" t="inlineStr"/>
      <c r="V876" t="inlineStr"/>
      <c r="W876" t="inlineStr"/>
      <c r="X876" t="inlineStr"/>
      <c r="Y876" t="inlineStr"/>
      <c r="Z876" t="inlineStr"/>
      <c r="AA876" t="inlineStr"/>
      <c r="AB876" t="inlineStr"/>
      <c r="AC876" t="inlineStr"/>
      <c r="AD876" t="inlineStr"/>
      <c r="AE876" t="inlineStr"/>
      <c r="AF876" t="inlineStr"/>
      <c r="AG876" t="inlineStr"/>
      <c r="AH876" t="inlineStr"/>
      <c r="AI876" t="inlineStr">
        <is>
          <t>HD</t>
        </is>
      </c>
      <c r="AJ876" t="inlineStr"/>
      <c r="AK876" t="inlineStr"/>
      <c r="AL876" t="inlineStr">
        <is>
          <t>x</t>
        </is>
      </c>
      <c r="AM876" t="inlineStr">
        <is>
          <t>f</t>
        </is>
      </c>
      <c r="AN876" t="inlineStr"/>
      <c r="AO876" t="inlineStr"/>
      <c r="AP876" t="inlineStr"/>
      <c r="AQ876" t="inlineStr"/>
      <c r="AR876" t="inlineStr"/>
      <c r="AS876" t="inlineStr">
        <is>
          <t>Pa</t>
        </is>
      </c>
      <c r="AT876" t="inlineStr"/>
      <c r="AU876" t="inlineStr"/>
      <c r="AV876" t="inlineStr"/>
      <c r="AW876" t="inlineStr"/>
      <c r="AX876" t="inlineStr"/>
      <c r="AY876" t="inlineStr"/>
      <c r="AZ876" t="inlineStr"/>
      <c r="BA876" t="inlineStr"/>
      <c r="BB876" t="inlineStr"/>
      <c r="BC876" t="inlineStr">
        <is>
          <t>I/R</t>
        </is>
      </c>
      <c r="BD876" t="inlineStr">
        <is>
          <t>x</t>
        </is>
      </c>
      <c r="BE876" t="inlineStr"/>
      <c r="BF876" t="inlineStr"/>
      <c r="BG876" t="n">
        <v>110</v>
      </c>
      <c r="BH876" t="inlineStr"/>
      <c r="BI876" t="inlineStr"/>
      <c r="BJ876" t="inlineStr"/>
      <c r="BK876" t="inlineStr"/>
      <c r="BL876" t="inlineStr"/>
      <c r="BM876" t="inlineStr">
        <is>
          <t>n</t>
        </is>
      </c>
      <c r="BN876" t="n">
        <v>0</v>
      </c>
      <c r="BO876" t="inlineStr"/>
      <c r="BP876" t="inlineStr">
        <is>
          <t>Gewebe</t>
        </is>
      </c>
      <c r="BQ876" t="inlineStr"/>
      <c r="BR876" t="inlineStr"/>
      <c r="BS876" t="inlineStr"/>
      <c r="BT876" t="inlineStr"/>
      <c r="BU876" t="inlineStr"/>
      <c r="BV876" t="inlineStr">
        <is>
          <t>Reste des Klemmeinbandes liegen der Kassette bei</t>
        </is>
      </c>
      <c r="BW876" t="inlineStr">
        <is>
          <t>x 110</t>
        </is>
      </c>
      <c r="BX876" t="inlineStr"/>
      <c r="BY876" t="inlineStr"/>
      <c r="BZ876" t="inlineStr"/>
      <c r="CA876" t="inlineStr"/>
      <c r="CB876" t="inlineStr"/>
      <c r="CC876" t="inlineStr"/>
      <c r="CD876" t="inlineStr"/>
      <c r="CE876" t="inlineStr"/>
      <c r="CF876" t="inlineStr"/>
      <c r="CG876" t="inlineStr"/>
      <c r="CH876" t="inlineStr"/>
      <c r="CI876" t="inlineStr"/>
      <c r="CJ876" t="inlineStr"/>
      <c r="CK876" t="inlineStr"/>
      <c r="CL876" t="inlineStr"/>
      <c r="CM876" t="inlineStr"/>
      <c r="CN876" t="inlineStr"/>
      <c r="CO876" t="inlineStr"/>
      <c r="CP876" t="inlineStr"/>
      <c r="CQ876" t="inlineStr"/>
      <c r="CR876" t="inlineStr"/>
      <c r="CS876" t="inlineStr"/>
      <c r="CT876" t="inlineStr"/>
      <c r="CU876" t="inlineStr"/>
      <c r="CV876" t="inlineStr"/>
      <c r="CW876" t="inlineStr"/>
      <c r="CX876" t="inlineStr"/>
      <c r="CY876" t="inlineStr"/>
      <c r="CZ876" t="inlineStr"/>
      <c r="DA876" t="inlineStr"/>
      <c r="DB876" t="inlineStr"/>
      <c r="DC876" t="inlineStr"/>
      <c r="DD876" t="inlineStr"/>
      <c r="DE876" t="inlineStr"/>
      <c r="DF876" t="inlineStr"/>
      <c r="DG876" t="inlineStr"/>
    </row>
    <row r="877">
      <c r="A877" t="inlineStr">
        <is>
          <t>III</t>
        </is>
      </c>
      <c r="B877" t="b">
        <v>1</v>
      </c>
      <c r="C877" t="inlineStr"/>
      <c r="D877" t="inlineStr"/>
      <c r="E877" t="n">
        <v>964</v>
      </c>
      <c r="F877">
        <f>HYPERLINK("https://portal.dnb.de/opac.htm?method=simpleSearch&amp;cqlMode=true&amp;query=idn%3D1066937532", "Portal")</f>
        <v/>
      </c>
      <c r="G877" t="inlineStr">
        <is>
          <t>Aaf</t>
        </is>
      </c>
      <c r="H877" t="inlineStr">
        <is>
          <t>L-1512-315465379</t>
        </is>
      </c>
      <c r="I877" t="inlineStr">
        <is>
          <t>1066937532</t>
        </is>
      </c>
      <c r="J877" t="inlineStr">
        <is>
          <t>III 101, 14</t>
        </is>
      </c>
      <c r="K877" t="inlineStr">
        <is>
          <t>III 101, 14</t>
        </is>
      </c>
      <c r="L877" t="inlineStr">
        <is>
          <t>III 101, 14</t>
        </is>
      </c>
      <c r="M877" t="inlineStr"/>
      <c r="N877" t="inlineStr">
        <is>
          <t xml:space="preserve">Libellus isagogicus abdilazi, id est servi gloriosi dei : </t>
        </is>
      </c>
      <c r="O877" t="inlineStr">
        <is>
          <t xml:space="preserve"> : </t>
        </is>
      </c>
      <c r="P877" t="inlineStr"/>
      <c r="Q877" t="inlineStr"/>
      <c r="R877" t="inlineStr"/>
      <c r="S877" t="inlineStr">
        <is>
          <t>bis 25 cm</t>
        </is>
      </c>
      <c r="T877" t="inlineStr"/>
      <c r="U877" t="inlineStr"/>
      <c r="V877" t="inlineStr"/>
      <c r="W877" t="inlineStr"/>
      <c r="X877" t="inlineStr"/>
      <c r="Y877" t="inlineStr"/>
      <c r="Z877" t="inlineStr"/>
      <c r="AA877" t="inlineStr"/>
      <c r="AB877" t="inlineStr"/>
      <c r="AC877" t="inlineStr"/>
      <c r="AD877" t="inlineStr"/>
      <c r="AE877" t="inlineStr"/>
      <c r="AF877" t="inlineStr"/>
      <c r="AG877" t="inlineStr"/>
      <c r="AH877" t="inlineStr"/>
      <c r="AI877" t="inlineStr">
        <is>
          <t>G</t>
        </is>
      </c>
      <c r="AJ877" t="inlineStr"/>
      <c r="AK877" t="inlineStr">
        <is>
          <t>x</t>
        </is>
      </c>
      <c r="AL877" t="inlineStr"/>
      <c r="AM877" t="inlineStr">
        <is>
          <t>h/E</t>
        </is>
      </c>
      <c r="AN877" t="inlineStr"/>
      <c r="AO877" t="inlineStr"/>
      <c r="AP877" t="inlineStr"/>
      <c r="AQ877" t="inlineStr"/>
      <c r="AR877" t="inlineStr"/>
      <c r="AS877" t="inlineStr">
        <is>
          <t>Pa</t>
        </is>
      </c>
      <c r="AT877" t="inlineStr">
        <is>
          <t>x</t>
        </is>
      </c>
      <c r="AU877" t="inlineStr"/>
      <c r="AV877" t="inlineStr"/>
      <c r="AW877" t="inlineStr"/>
      <c r="AX877" t="inlineStr"/>
      <c r="AY877" t="inlineStr"/>
      <c r="AZ877" t="inlineStr"/>
      <c r="BA877" t="inlineStr"/>
      <c r="BB877" t="inlineStr"/>
      <c r="BC877" t="inlineStr"/>
      <c r="BD877" t="inlineStr"/>
      <c r="BE877" t="inlineStr"/>
      <c r="BF877" t="inlineStr"/>
      <c r="BG877" t="n">
        <v>110</v>
      </c>
      <c r="BH877" t="inlineStr"/>
      <c r="BI877" t="inlineStr"/>
      <c r="BJ877" t="inlineStr"/>
      <c r="BK877" t="inlineStr"/>
      <c r="BL877" t="inlineStr"/>
      <c r="BM877" t="inlineStr">
        <is>
          <t>n</t>
        </is>
      </c>
      <c r="BN877" t="n">
        <v>0</v>
      </c>
      <c r="BO877" t="inlineStr"/>
      <c r="BP877" t="inlineStr"/>
      <c r="BQ877" t="inlineStr"/>
      <c r="BR877" t="inlineStr"/>
      <c r="BS877" t="inlineStr"/>
      <c r="BT877" t="inlineStr"/>
      <c r="BU877" t="inlineStr"/>
      <c r="BV877" t="inlineStr"/>
      <c r="BW877" t="inlineStr"/>
      <c r="BX877" t="inlineStr"/>
      <c r="BY877" t="inlineStr"/>
      <c r="BZ877" t="inlineStr"/>
      <c r="CA877" t="inlineStr"/>
      <c r="CB877" t="inlineStr"/>
      <c r="CC877" t="inlineStr"/>
      <c r="CD877" t="inlineStr"/>
      <c r="CE877" t="inlineStr"/>
      <c r="CF877" t="inlineStr"/>
      <c r="CG877" t="inlineStr"/>
      <c r="CH877" t="inlineStr"/>
      <c r="CI877" t="inlineStr"/>
      <c r="CJ877" t="inlineStr"/>
      <c r="CK877" t="inlineStr"/>
      <c r="CL877" t="inlineStr"/>
      <c r="CM877" t="inlineStr"/>
      <c r="CN877" t="inlineStr"/>
      <c r="CO877" t="inlineStr"/>
      <c r="CP877" t="inlineStr"/>
      <c r="CQ877" t="inlineStr"/>
      <c r="CR877" t="inlineStr"/>
      <c r="CS877" t="inlineStr"/>
      <c r="CT877" t="inlineStr"/>
      <c r="CU877" t="inlineStr"/>
      <c r="CV877" t="inlineStr"/>
      <c r="CW877" t="inlineStr"/>
      <c r="CX877" t="inlineStr"/>
      <c r="CY877" t="inlineStr"/>
      <c r="CZ877" t="inlineStr"/>
      <c r="DA877" t="inlineStr"/>
      <c r="DB877" t="inlineStr"/>
      <c r="DC877" t="inlineStr"/>
      <c r="DD877" t="inlineStr"/>
      <c r="DE877" t="inlineStr"/>
      <c r="DF877" t="inlineStr"/>
      <c r="DG877" t="inlineStr"/>
    </row>
    <row r="878">
      <c r="A878" t="inlineStr">
        <is>
          <t>III</t>
        </is>
      </c>
      <c r="B878" t="b">
        <v>1</v>
      </c>
      <c r="C878" t="inlineStr"/>
      <c r="D878" t="inlineStr"/>
      <c r="E878" t="n">
        <v>999</v>
      </c>
      <c r="F878">
        <f>HYPERLINK("https://portal.dnb.de/opac.htm?method=simpleSearch&amp;cqlMode=true&amp;query=idn%3D994259441", "Portal")</f>
        <v/>
      </c>
      <c r="G878" t="inlineStr">
        <is>
          <t>Aal</t>
        </is>
      </c>
      <c r="H878" t="inlineStr">
        <is>
          <t>L-1534-154988871</t>
        </is>
      </c>
      <c r="I878" t="inlineStr">
        <is>
          <t>994259441</t>
        </is>
      </c>
      <c r="J878" t="inlineStr">
        <is>
          <t>III 101, 14a</t>
        </is>
      </c>
      <c r="K878" t="inlineStr">
        <is>
          <t>III 101, 14a</t>
        </is>
      </c>
      <c r="L878" t="inlineStr">
        <is>
          <t>III 101, 14 a</t>
        </is>
      </c>
      <c r="M878" t="inlineStr"/>
      <c r="N878" t="inlineStr">
        <is>
          <t xml:space="preserve">Ameto|| ouer comedia del||le nimphe fiorentine|| : </t>
        </is>
      </c>
      <c r="O878" t="inlineStr">
        <is>
          <t xml:space="preserve"> : </t>
        </is>
      </c>
      <c r="P878" t="inlineStr"/>
      <c r="Q878" t="inlineStr"/>
      <c r="R878" t="inlineStr"/>
      <c r="S878" t="inlineStr">
        <is>
          <t>bis 25 cm</t>
        </is>
      </c>
      <c r="T878" t="inlineStr"/>
      <c r="U878" t="inlineStr"/>
      <c r="V878" t="inlineStr"/>
      <c r="W878" t="inlineStr"/>
      <c r="X878" t="inlineStr"/>
      <c r="Y878" t="inlineStr"/>
      <c r="Z878" t="inlineStr"/>
      <c r="AA878" t="inlineStr"/>
      <c r="AB878" t="inlineStr"/>
      <c r="AC878" t="inlineStr"/>
      <c r="AD878" t="inlineStr"/>
      <c r="AE878" t="inlineStr"/>
      <c r="AF878" t="inlineStr"/>
      <c r="AG878" t="inlineStr"/>
      <c r="AH878" t="inlineStr"/>
      <c r="AI878" t="inlineStr">
        <is>
          <t>HG</t>
        </is>
      </c>
      <c r="AJ878" t="inlineStr"/>
      <c r="AK878" t="inlineStr"/>
      <c r="AL878" t="inlineStr"/>
      <c r="AM878" t="inlineStr">
        <is>
          <t>h/E</t>
        </is>
      </c>
      <c r="AN878" t="inlineStr"/>
      <c r="AO878" t="inlineStr"/>
      <c r="AP878" t="inlineStr"/>
      <c r="AQ878" t="inlineStr"/>
      <c r="AR878" t="inlineStr"/>
      <c r="AS878" t="inlineStr">
        <is>
          <t>Pa</t>
        </is>
      </c>
      <c r="AT878" t="inlineStr"/>
      <c r="AU878" t="inlineStr"/>
      <c r="AV878" t="inlineStr"/>
      <c r="AW878" t="inlineStr"/>
      <c r="AX878" t="inlineStr"/>
      <c r="AY878" t="inlineStr"/>
      <c r="AZ878" t="inlineStr"/>
      <c r="BA878" t="inlineStr"/>
      <c r="BB878" t="inlineStr"/>
      <c r="BC878" t="inlineStr"/>
      <c r="BD878" t="inlineStr"/>
      <c r="BE878" t="inlineStr"/>
      <c r="BF878" t="inlineStr"/>
      <c r="BG878" t="n">
        <v>110</v>
      </c>
      <c r="BH878" t="inlineStr"/>
      <c r="BI878" t="inlineStr"/>
      <c r="BJ878" t="inlineStr"/>
      <c r="BK878" t="inlineStr"/>
      <c r="BL878" t="inlineStr"/>
      <c r="BM878" t="inlineStr">
        <is>
          <t>n</t>
        </is>
      </c>
      <c r="BN878" t="n">
        <v>0</v>
      </c>
      <c r="BO878" t="inlineStr"/>
      <c r="BP878" t="inlineStr">
        <is>
          <t>Gewebe</t>
        </is>
      </c>
      <c r="BQ878" t="inlineStr"/>
      <c r="BR878" t="inlineStr"/>
      <c r="BS878" t="inlineStr"/>
      <c r="BT878" t="inlineStr"/>
      <c r="BU878" t="inlineStr"/>
      <c r="BV878" t="inlineStr"/>
      <c r="BW878" t="inlineStr">
        <is>
          <t>x 110</t>
        </is>
      </c>
      <c r="BX878" t="inlineStr">
        <is>
          <t xml:space="preserve">
vorn klebt ein Zettel mit Infos drin (ähnlich wie Rest.bericht hinten)</t>
        </is>
      </c>
      <c r="BY878" t="inlineStr"/>
      <c r="BZ878" t="inlineStr"/>
      <c r="CA878" t="inlineStr"/>
      <c r="CB878" t="inlineStr"/>
      <c r="CC878" t="inlineStr"/>
      <c r="CD878" t="inlineStr"/>
      <c r="CE878" t="inlineStr"/>
      <c r="CF878" t="inlineStr"/>
      <c r="CG878" t="inlineStr"/>
      <c r="CH878" t="inlineStr"/>
      <c r="CI878" t="inlineStr"/>
      <c r="CJ878" t="inlineStr"/>
      <c r="CK878" t="inlineStr"/>
      <c r="CL878" t="inlineStr"/>
      <c r="CM878" t="inlineStr"/>
      <c r="CN878" t="inlineStr"/>
      <c r="CO878" t="inlineStr"/>
      <c r="CP878" t="inlineStr"/>
      <c r="CQ878" t="inlineStr"/>
      <c r="CR878" t="inlineStr"/>
      <c r="CS878" t="inlineStr"/>
      <c r="CT878" t="inlineStr"/>
      <c r="CU878" t="inlineStr"/>
      <c r="CV878" t="inlineStr"/>
      <c r="CW878" t="inlineStr"/>
      <c r="CX878" t="inlineStr"/>
      <c r="CY878" t="inlineStr"/>
      <c r="CZ878" t="inlineStr"/>
      <c r="DA878" t="inlineStr"/>
      <c r="DB878" t="inlineStr"/>
      <c r="DC878" t="inlineStr"/>
      <c r="DD878" t="inlineStr"/>
      <c r="DE878" t="inlineStr"/>
      <c r="DF878" t="inlineStr"/>
      <c r="DG878" t="inlineStr"/>
    </row>
    <row r="879">
      <c r="A879" t="inlineStr">
        <is>
          <t>III</t>
        </is>
      </c>
      <c r="B879" t="b">
        <v>1</v>
      </c>
      <c r="C879" t="inlineStr"/>
      <c r="D879" t="inlineStr"/>
      <c r="E879" t="n">
        <v>1000</v>
      </c>
      <c r="F879">
        <f>HYPERLINK("https://portal.dnb.de/opac.htm?method=simpleSearch&amp;cqlMode=true&amp;query=idn%3D100154014X", "Portal")</f>
        <v/>
      </c>
      <c r="G879" t="inlineStr">
        <is>
          <t>Aal</t>
        </is>
      </c>
      <c r="H879" t="inlineStr">
        <is>
          <t>L-1558-175074690</t>
        </is>
      </c>
      <c r="I879" t="inlineStr">
        <is>
          <t>100154014X</t>
        </is>
      </c>
      <c r="J879" t="inlineStr">
        <is>
          <t>III 101, 14b</t>
        </is>
      </c>
      <c r="K879" t="inlineStr">
        <is>
          <t>III 101, 14b</t>
        </is>
      </c>
      <c r="L879" t="inlineStr">
        <is>
          <t>III 101, 14 b</t>
        </is>
      </c>
      <c r="M879" t="inlineStr">
        <is>
          <t>steht bei GF</t>
        </is>
      </c>
      <c r="N879" t="inlineStr">
        <is>
          <t>Extraordinario libro di architettvra di Sebastiano Serlio, ...  : Nel quale si demonstrano 30 porte di opera rvstica ... et 20 di opera dilicata di di</t>
        </is>
      </c>
      <c r="O879" t="inlineStr">
        <is>
          <t xml:space="preserve"> : </t>
        </is>
      </c>
      <c r="P879" t="inlineStr"/>
      <c r="Q879" t="inlineStr"/>
      <c r="R879" t="inlineStr"/>
      <c r="S879" t="inlineStr">
        <is>
          <t>bis 42 cm</t>
        </is>
      </c>
      <c r="T879" t="inlineStr"/>
      <c r="U879" t="inlineStr"/>
      <c r="V879" t="inlineStr"/>
      <c r="W879" t="inlineStr"/>
      <c r="X879" t="inlineStr"/>
      <c r="Y879" t="inlineStr"/>
      <c r="Z879" t="inlineStr"/>
      <c r="AA879" t="inlineStr"/>
      <c r="AB879" t="inlineStr"/>
      <c r="AC879" t="inlineStr"/>
      <c r="AD879" t="inlineStr"/>
      <c r="AE879" t="inlineStr"/>
      <c r="AF879" t="inlineStr"/>
      <c r="AG879" t="inlineStr"/>
      <c r="AH879" t="inlineStr"/>
      <c r="AI879" t="inlineStr">
        <is>
          <t>HL</t>
        </is>
      </c>
      <c r="AJ879" t="inlineStr"/>
      <c r="AK879" t="inlineStr"/>
      <c r="AL879" t="inlineStr">
        <is>
          <t>x</t>
        </is>
      </c>
      <c r="AM879" t="inlineStr">
        <is>
          <t>f</t>
        </is>
      </c>
      <c r="AN879" t="inlineStr"/>
      <c r="AO879" t="inlineStr"/>
      <c r="AP879" t="inlineStr"/>
      <c r="AQ879" t="inlineStr"/>
      <c r="AR879" t="inlineStr"/>
      <c r="AS879" t="inlineStr">
        <is>
          <t>Pa</t>
        </is>
      </c>
      <c r="AT879" t="inlineStr"/>
      <c r="AU879" t="inlineStr"/>
      <c r="AV879" t="inlineStr"/>
      <c r="AW879" t="inlineStr"/>
      <c r="AX879" t="inlineStr"/>
      <c r="AY879" t="inlineStr"/>
      <c r="AZ879" t="inlineStr"/>
      <c r="BA879" t="inlineStr"/>
      <c r="BB879" t="inlineStr">
        <is>
          <t>x</t>
        </is>
      </c>
      <c r="BC879" t="inlineStr"/>
      <c r="BD879" t="inlineStr">
        <is>
          <t>x</t>
        </is>
      </c>
      <c r="BE879" t="inlineStr"/>
      <c r="BF879" t="inlineStr"/>
      <c r="BG879" t="n">
        <v>110</v>
      </c>
      <c r="BH879" t="inlineStr"/>
      <c r="BI879" t="inlineStr"/>
      <c r="BJ879" t="inlineStr"/>
      <c r="BK879" t="inlineStr"/>
      <c r="BL879" t="inlineStr"/>
      <c r="BM879" t="inlineStr">
        <is>
          <t>n</t>
        </is>
      </c>
      <c r="BN879" t="n">
        <v>0</v>
      </c>
      <c r="BO879" t="inlineStr"/>
      <c r="BP879" t="inlineStr"/>
      <c r="BQ879" t="inlineStr">
        <is>
          <t>x</t>
        </is>
      </c>
      <c r="BR879" t="inlineStr"/>
      <c r="BS879" t="inlineStr"/>
      <c r="BT879" t="inlineStr"/>
      <c r="BU879" t="inlineStr"/>
      <c r="BV879" t="inlineStr"/>
      <c r="BW879" t="inlineStr">
        <is>
          <t>x 110</t>
        </is>
      </c>
      <c r="BX879" t="inlineStr"/>
      <c r="BY879" t="inlineStr"/>
      <c r="BZ879" t="inlineStr"/>
      <c r="CA879" t="inlineStr"/>
      <c r="CB879" t="inlineStr"/>
      <c r="CC879" t="inlineStr"/>
      <c r="CD879" t="inlineStr"/>
      <c r="CE879" t="inlineStr"/>
      <c r="CF879" t="inlineStr"/>
      <c r="CG879" t="inlineStr"/>
      <c r="CH879" t="inlineStr"/>
      <c r="CI879" t="inlineStr"/>
      <c r="CJ879" t="inlineStr"/>
      <c r="CK879" t="inlineStr"/>
      <c r="CL879" t="inlineStr"/>
      <c r="CM879" t="inlineStr"/>
      <c r="CN879" t="inlineStr"/>
      <c r="CO879" t="inlineStr"/>
      <c r="CP879" t="inlineStr"/>
      <c r="CQ879" t="inlineStr"/>
      <c r="CR879" t="inlineStr"/>
      <c r="CS879" t="inlineStr"/>
      <c r="CT879" t="inlineStr"/>
      <c r="CU879" t="inlineStr"/>
      <c r="CV879" t="inlineStr"/>
      <c r="CW879" t="inlineStr"/>
      <c r="CX879" t="inlineStr"/>
      <c r="CY879" t="inlineStr"/>
      <c r="CZ879" t="inlineStr"/>
      <c r="DA879" t="inlineStr"/>
      <c r="DB879" t="inlineStr"/>
      <c r="DC879" t="inlineStr"/>
      <c r="DD879" t="inlineStr"/>
      <c r="DE879" t="inlineStr"/>
      <c r="DF879" t="inlineStr"/>
      <c r="DG879" t="inlineStr"/>
    </row>
    <row r="880">
      <c r="A880" t="inlineStr">
        <is>
          <t>III</t>
        </is>
      </c>
      <c r="B880" t="b">
        <v>1</v>
      </c>
      <c r="C880" t="inlineStr">
        <is>
          <t>x</t>
        </is>
      </c>
      <c r="D880" t="inlineStr"/>
      <c r="E880" t="n">
        <v>965</v>
      </c>
      <c r="F880">
        <f>HYPERLINK("https://portal.dnb.de/opac.htm?method=simpleSearch&amp;cqlMode=true&amp;query=idn%3D1066933618", "Portal")</f>
        <v/>
      </c>
      <c r="G880" t="inlineStr">
        <is>
          <t>Aaf</t>
        </is>
      </c>
      <c r="H880" t="inlineStr">
        <is>
          <t>L-1519-315461691</t>
        </is>
      </c>
      <c r="I880" t="inlineStr">
        <is>
          <t>1066933618</t>
        </is>
      </c>
      <c r="J880" t="inlineStr">
        <is>
          <t>III 101, 15</t>
        </is>
      </c>
      <c r="K880" t="inlineStr">
        <is>
          <t>III 101, 15</t>
        </is>
      </c>
      <c r="L880" t="inlineStr">
        <is>
          <t>III 101, 15</t>
        </is>
      </c>
      <c r="M880" t="inlineStr">
        <is>
          <t>steht bei GF</t>
        </is>
      </c>
      <c r="N880" t="inlineStr">
        <is>
          <t>Baldus super toto codice : Cum multis Repetitionibus &amp; additionibus ; Ex proprio Auctoris exemplari noviter inventis &amp; excerptis: &amp; locis suis per ...</t>
        </is>
      </c>
      <c r="O880" t="inlineStr">
        <is>
          <t xml:space="preserve"> : </t>
        </is>
      </c>
      <c r="P880" t="inlineStr"/>
      <c r="Q880" t="inlineStr"/>
      <c r="R880" t="inlineStr"/>
      <c r="S880" t="inlineStr">
        <is>
          <t>bis 42 cm</t>
        </is>
      </c>
      <c r="T880" t="inlineStr"/>
      <c r="U880" t="inlineStr"/>
      <c r="V880" t="inlineStr"/>
      <c r="W880" t="inlineStr"/>
      <c r="X880" t="inlineStr"/>
      <c r="Y880" t="inlineStr"/>
      <c r="Z880" t="inlineStr"/>
      <c r="AA880" t="inlineStr"/>
      <c r="AB880" t="inlineStr"/>
      <c r="AC880" t="inlineStr"/>
      <c r="AD880" t="inlineStr"/>
      <c r="AE880" t="inlineStr"/>
      <c r="AF880" t="inlineStr"/>
      <c r="AG880" t="inlineStr"/>
      <c r="AH880" t="inlineStr"/>
      <c r="AI880" t="inlineStr">
        <is>
          <t>HL</t>
        </is>
      </c>
      <c r="AJ880" t="inlineStr"/>
      <c r="AK880" t="inlineStr">
        <is>
          <t>x</t>
        </is>
      </c>
      <c r="AL880" t="inlineStr"/>
      <c r="AM880" t="inlineStr">
        <is>
          <t>h/E</t>
        </is>
      </c>
      <c r="AN880" t="inlineStr"/>
      <c r="AO880" t="inlineStr"/>
      <c r="AP880" t="inlineStr"/>
      <c r="AQ880" t="inlineStr"/>
      <c r="AR880" t="inlineStr"/>
      <c r="AS880" t="inlineStr">
        <is>
          <t>Pa</t>
        </is>
      </c>
      <c r="AT880" t="inlineStr"/>
      <c r="AU880" t="inlineStr"/>
      <c r="AV880" t="inlineStr"/>
      <c r="AW880" t="inlineStr"/>
      <c r="AX880" t="inlineStr"/>
      <c r="AY880" t="inlineStr"/>
      <c r="AZ880" t="inlineStr"/>
      <c r="BA880" t="inlineStr"/>
      <c r="BB880" t="inlineStr"/>
      <c r="BC880" t="inlineStr"/>
      <c r="BD880" t="inlineStr"/>
      <c r="BE880" t="inlineStr"/>
      <c r="BF880" t="inlineStr"/>
      <c r="BG880" t="inlineStr">
        <is>
          <t>nur 110</t>
        </is>
      </c>
      <c r="BH880" t="inlineStr"/>
      <c r="BI880" t="inlineStr">
        <is>
          <t>x</t>
        </is>
      </c>
      <c r="BJ880" t="inlineStr">
        <is>
          <t xml:space="preserve">
wegen Rücken (der klappt ab)</t>
        </is>
      </c>
      <c r="BK880" t="inlineStr"/>
      <c r="BL880" t="inlineStr"/>
      <c r="BM880" t="inlineStr">
        <is>
          <t>ja vor</t>
        </is>
      </c>
      <c r="BN880" t="n">
        <v>0.5</v>
      </c>
      <c r="BO880" t="inlineStr"/>
      <c r="BP880" t="inlineStr"/>
      <c r="BQ880" t="inlineStr"/>
      <c r="BR880" t="inlineStr">
        <is>
          <t>x</t>
        </is>
      </c>
      <c r="BS880" t="inlineStr"/>
      <c r="BT880" t="inlineStr"/>
      <c r="BU880" t="inlineStr"/>
      <c r="BV880" t="inlineStr">
        <is>
          <t>Rücken für die Digit. am besten belassen (oder flexibles Gelenk erzeugen)</t>
        </is>
      </c>
      <c r="BW880" t="inlineStr">
        <is>
          <t>x nur 110</t>
        </is>
      </c>
      <c r="BX880" t="inlineStr">
        <is>
          <t xml:space="preserve">
ist mit Begleitung wg. Rücken</t>
        </is>
      </c>
      <c r="BY880" t="inlineStr"/>
      <c r="BZ880" t="inlineStr"/>
      <c r="CA880" t="inlineStr">
        <is>
          <t>x</t>
        </is>
      </c>
      <c r="CB880" t="inlineStr">
        <is>
          <t>x</t>
        </is>
      </c>
      <c r="CC880" t="inlineStr"/>
      <c r="CD880" t="inlineStr">
        <is>
          <t>v</t>
        </is>
      </c>
      <c r="CE880" t="inlineStr"/>
      <c r="CF880" t="inlineStr">
        <is>
          <t>x</t>
        </is>
      </c>
      <c r="CG880" t="inlineStr"/>
      <c r="CH880" t="inlineStr"/>
      <c r="CI880" t="inlineStr"/>
      <c r="CJ880" t="inlineStr"/>
      <c r="CK880" t="inlineStr"/>
      <c r="CL880" t="inlineStr"/>
      <c r="CM880" t="n">
        <v>0.5</v>
      </c>
      <c r="CN880" t="inlineStr">
        <is>
          <t>erstmal nur loses Gewebe an Deckeln fixieren; Rücken für Digit. belassen (ist extrem steif durch extrem dicke Rückeneinlage, Rest. würde nichts bringen) oder flexibles/verschiebbares Gelenk erzeugen durch z.B. einschieben eines Pergamentstreifens/Kartons unter das Bezugsmaterial am Deckel --&gt; Rest.aufwand ca. 2-3h(?)</t>
        </is>
      </c>
      <c r="CO880" t="inlineStr"/>
      <c r="CP880" t="inlineStr"/>
      <c r="CQ880" t="inlineStr"/>
      <c r="CR880" t="inlineStr"/>
      <c r="CS880" t="inlineStr"/>
      <c r="CT880" t="inlineStr"/>
      <c r="CU880" t="inlineStr"/>
      <c r="CV880" t="inlineStr"/>
      <c r="CW880" t="inlineStr"/>
      <c r="CX880" t="inlineStr"/>
      <c r="CY880" t="inlineStr"/>
      <c r="CZ880" t="inlineStr"/>
      <c r="DA880" t="inlineStr"/>
      <c r="DB880" t="inlineStr"/>
      <c r="DC880" t="inlineStr"/>
      <c r="DD880" t="inlineStr"/>
      <c r="DE880" t="inlineStr"/>
      <c r="DF880" t="inlineStr"/>
      <c r="DG880" t="inlineStr"/>
    </row>
    <row r="881">
      <c r="A881" t="inlineStr">
        <is>
          <t>III</t>
        </is>
      </c>
      <c r="B881" t="b">
        <v>1</v>
      </c>
      <c r="C881" t="inlineStr"/>
      <c r="D881" t="inlineStr"/>
      <c r="E881" t="n">
        <v>966</v>
      </c>
      <c r="F881">
        <f>HYPERLINK("https://portal.dnb.de/opac.htm?method=simpleSearch&amp;cqlMode=true&amp;query=idn%3D994129572", "Portal")</f>
        <v/>
      </c>
      <c r="G881" t="inlineStr">
        <is>
          <t>Aal</t>
        </is>
      </c>
      <c r="H881" t="inlineStr">
        <is>
          <t>L-1522-154606200</t>
        </is>
      </c>
      <c r="I881" t="inlineStr">
        <is>
          <t>994129572</t>
        </is>
      </c>
      <c r="J881" t="inlineStr">
        <is>
          <t>III 101, 16</t>
        </is>
      </c>
      <c r="K881" t="inlineStr">
        <is>
          <t>III 101, 16</t>
        </is>
      </c>
      <c r="L881" t="inlineStr">
        <is>
          <t>III 101, 16</t>
        </is>
      </c>
      <c r="M881" t="inlineStr"/>
      <c r="N881" t="inlineStr">
        <is>
          <t>OPERE DI GIROLAMO||BENIVIENI FIRENTI||NO : NOVISSIMA=||MENTE RIVEDV-||TE ET DA MOL||TI ERRORI||ESPVRGA-||TE CON||VNA Canzona dello Amor celeste||et di</t>
        </is>
      </c>
      <c r="O881" t="inlineStr">
        <is>
          <t xml:space="preserve"> : </t>
        </is>
      </c>
      <c r="P881" t="inlineStr"/>
      <c r="Q881" t="inlineStr"/>
      <c r="R881" t="inlineStr"/>
      <c r="S881" t="inlineStr">
        <is>
          <t>bis 25 cm</t>
        </is>
      </c>
      <c r="T881" t="inlineStr"/>
      <c r="U881" t="inlineStr"/>
      <c r="V881" t="inlineStr"/>
      <c r="W881" t="inlineStr"/>
      <c r="X881" t="inlineStr"/>
      <c r="Y881" t="inlineStr"/>
      <c r="Z881" t="inlineStr"/>
      <c r="AA881" t="inlineStr"/>
      <c r="AB881" t="inlineStr"/>
      <c r="AC881" t="inlineStr"/>
      <c r="AD881" t="inlineStr"/>
      <c r="AE881" t="inlineStr"/>
      <c r="AF881" t="inlineStr"/>
      <c r="AG881" t="inlineStr"/>
      <c r="AH881" t="inlineStr"/>
      <c r="AI881" t="inlineStr">
        <is>
          <t>L</t>
        </is>
      </c>
      <c r="AJ881" t="inlineStr"/>
      <c r="AK881" t="inlineStr"/>
      <c r="AL881" t="inlineStr"/>
      <c r="AM881" t="inlineStr">
        <is>
          <t>f/V</t>
        </is>
      </c>
      <c r="AN881" t="inlineStr"/>
      <c r="AO881" t="inlineStr"/>
      <c r="AP881" t="inlineStr"/>
      <c r="AQ881" t="inlineStr"/>
      <c r="AR881" t="inlineStr"/>
      <c r="AS881" t="inlineStr">
        <is>
          <t>Pa</t>
        </is>
      </c>
      <c r="AT881" t="inlineStr"/>
      <c r="AU881" t="inlineStr"/>
      <c r="AV881" t="inlineStr"/>
      <c r="AW881" t="inlineStr"/>
      <c r="AX881" t="inlineStr"/>
      <c r="AY881" t="inlineStr"/>
      <c r="AZ881" t="inlineStr"/>
      <c r="BA881" t="inlineStr"/>
      <c r="BB881" t="inlineStr"/>
      <c r="BC881" t="inlineStr"/>
      <c r="BD881" t="inlineStr"/>
      <c r="BE881" t="inlineStr"/>
      <c r="BF881" t="inlineStr"/>
      <c r="BG881" t="inlineStr">
        <is>
          <t>max 110</t>
        </is>
      </c>
      <c r="BH881" t="inlineStr"/>
      <c r="BI881" t="inlineStr"/>
      <c r="BJ881" t="inlineStr"/>
      <c r="BK881" t="inlineStr"/>
      <c r="BL881" t="inlineStr"/>
      <c r="BM881" t="inlineStr">
        <is>
          <t>n</t>
        </is>
      </c>
      <c r="BN881" t="n">
        <v>0</v>
      </c>
      <c r="BO881" t="inlineStr"/>
      <c r="BP881" t="inlineStr">
        <is>
          <t>Halbgewebe mit Papier</t>
        </is>
      </c>
      <c r="BQ881" t="inlineStr"/>
      <c r="BR881" t="inlineStr"/>
      <c r="BS881" t="inlineStr"/>
      <c r="BT881" t="inlineStr"/>
      <c r="BU881" t="inlineStr"/>
      <c r="BV881" t="inlineStr">
        <is>
          <t>Schaden stabil</t>
        </is>
      </c>
      <c r="BW881" t="inlineStr"/>
      <c r="BX881" t="inlineStr"/>
      <c r="BY881" t="inlineStr"/>
      <c r="BZ881" t="inlineStr"/>
      <c r="CA881" t="inlineStr"/>
      <c r="CB881" t="inlineStr"/>
      <c r="CC881" t="inlineStr"/>
      <c r="CD881" t="inlineStr"/>
      <c r="CE881" t="inlineStr"/>
      <c r="CF881" t="inlineStr"/>
      <c r="CG881" t="inlineStr"/>
      <c r="CH881" t="inlineStr"/>
      <c r="CI881" t="inlineStr"/>
      <c r="CJ881" t="inlineStr"/>
      <c r="CK881" t="inlineStr"/>
      <c r="CL881" t="inlineStr"/>
      <c r="CM881" t="inlineStr"/>
      <c r="CN881" t="inlineStr"/>
      <c r="CO881" t="inlineStr"/>
      <c r="CP881" t="inlineStr"/>
      <c r="CQ881" t="inlineStr"/>
      <c r="CR881" t="inlineStr"/>
      <c r="CS881" t="inlineStr"/>
      <c r="CT881" t="inlineStr"/>
      <c r="CU881" t="inlineStr"/>
      <c r="CV881" t="inlineStr"/>
      <c r="CW881" t="inlineStr"/>
      <c r="CX881" t="inlineStr"/>
      <c r="CY881" t="inlineStr"/>
      <c r="CZ881" t="inlineStr"/>
      <c r="DA881" t="inlineStr"/>
      <c r="DB881" t="inlineStr"/>
      <c r="DC881" t="inlineStr"/>
      <c r="DD881" t="inlineStr"/>
      <c r="DE881" t="inlineStr"/>
      <c r="DF881" t="inlineStr"/>
      <c r="DG881" t="inlineStr"/>
    </row>
    <row r="882">
      <c r="A882" t="inlineStr">
        <is>
          <t>III</t>
        </is>
      </c>
      <c r="B882" t="b">
        <v>1</v>
      </c>
      <c r="C882" t="inlineStr"/>
      <c r="D882" t="inlineStr"/>
      <c r="E882" t="n">
        <v>967</v>
      </c>
      <c r="F882">
        <f>HYPERLINK("https://portal.dnb.de/opac.htm?method=simpleSearch&amp;cqlMode=true&amp;query=idn%3D1002389798", "Portal")</f>
        <v/>
      </c>
      <c r="G882" t="inlineStr">
        <is>
          <t>Aal</t>
        </is>
      </c>
      <c r="H882" t="inlineStr">
        <is>
          <t>L-1534-177157356</t>
        </is>
      </c>
      <c r="I882" t="inlineStr">
        <is>
          <t>1002389798</t>
        </is>
      </c>
      <c r="J882" t="inlineStr">
        <is>
          <t>III 101, 17</t>
        </is>
      </c>
      <c r="K882" t="inlineStr">
        <is>
          <t>III 101, 17</t>
        </is>
      </c>
      <c r="L882" t="inlineStr">
        <is>
          <t>III 101, 17</t>
        </is>
      </c>
      <c r="M882" t="inlineStr"/>
      <c r="N882" t="inlineStr">
        <is>
          <t xml:space="preserve">Di M. Antonio Tibaldeo Ferrarese lʹopere dʹamore, con le sue stanze nuouamente aggiunte reuiste, &amp; con ogni diligenza corrette &amp; ristampate : </t>
        </is>
      </c>
      <c r="O882" t="inlineStr">
        <is>
          <t xml:space="preserve"> : </t>
        </is>
      </c>
      <c r="P882" t="inlineStr"/>
      <c r="Q882" t="inlineStr"/>
      <c r="R882" t="inlineStr"/>
      <c r="S882" t="inlineStr">
        <is>
          <t>bis 25 cm</t>
        </is>
      </c>
      <c r="T882" t="inlineStr"/>
      <c r="U882" t="inlineStr"/>
      <c r="V882" t="inlineStr"/>
      <c r="W882" t="inlineStr"/>
      <c r="X882" t="inlineStr"/>
      <c r="Y882" t="inlineStr"/>
      <c r="Z882" t="inlineStr"/>
      <c r="AA882" t="inlineStr"/>
      <c r="AB882" t="inlineStr"/>
      <c r="AC882" t="inlineStr"/>
      <c r="AD882" t="inlineStr"/>
      <c r="AE882" t="inlineStr"/>
      <c r="AF882" t="inlineStr"/>
      <c r="AG882" t="inlineStr"/>
      <c r="AH882" t="inlineStr"/>
      <c r="AI882" t="inlineStr">
        <is>
          <t>Pg</t>
        </is>
      </c>
      <c r="AJ882" t="inlineStr"/>
      <c r="AK882" t="inlineStr">
        <is>
          <t>x</t>
        </is>
      </c>
      <c r="AL882" t="inlineStr"/>
      <c r="AM882" t="inlineStr">
        <is>
          <t>h</t>
        </is>
      </c>
      <c r="AN882" t="inlineStr"/>
      <c r="AO882" t="inlineStr"/>
      <c r="AP882" t="inlineStr"/>
      <c r="AQ882" t="inlineStr"/>
      <c r="AR882" t="inlineStr"/>
      <c r="AS882" t="inlineStr">
        <is>
          <t>Pa</t>
        </is>
      </c>
      <c r="AT882" t="inlineStr"/>
      <c r="AU882" t="inlineStr"/>
      <c r="AV882" t="inlineStr"/>
      <c r="AW882" t="inlineStr"/>
      <c r="AX882" t="inlineStr"/>
      <c r="AY882" t="inlineStr"/>
      <c r="AZ882" t="inlineStr"/>
      <c r="BA882" t="inlineStr"/>
      <c r="BB882" t="inlineStr"/>
      <c r="BC882" t="inlineStr"/>
      <c r="BD882" t="inlineStr"/>
      <c r="BE882" t="inlineStr"/>
      <c r="BF882" t="inlineStr"/>
      <c r="BG882" t="n">
        <v>110</v>
      </c>
      <c r="BH882" t="inlineStr"/>
      <c r="BI882" t="inlineStr"/>
      <c r="BJ882" t="inlineStr"/>
      <c r="BK882" t="inlineStr"/>
      <c r="BL882" t="inlineStr"/>
      <c r="BM882" t="inlineStr">
        <is>
          <t>n</t>
        </is>
      </c>
      <c r="BN882" t="n">
        <v>0</v>
      </c>
      <c r="BO882" t="inlineStr"/>
      <c r="BP882" t="inlineStr"/>
      <c r="BQ882" t="inlineStr"/>
      <c r="BR882" t="inlineStr"/>
      <c r="BS882" t="inlineStr"/>
      <c r="BT882" t="inlineStr"/>
      <c r="BU882" t="inlineStr"/>
      <c r="BV882" t="inlineStr"/>
      <c r="BW882" t="inlineStr"/>
      <c r="BX882" t="inlineStr"/>
      <c r="BY882" t="inlineStr"/>
      <c r="BZ882" t="inlineStr"/>
      <c r="CA882" t="inlineStr"/>
      <c r="CB882" t="inlineStr"/>
      <c r="CC882" t="inlineStr"/>
      <c r="CD882" t="inlineStr"/>
      <c r="CE882" t="inlineStr"/>
      <c r="CF882" t="inlineStr"/>
      <c r="CG882" t="inlineStr"/>
      <c r="CH882" t="inlineStr"/>
      <c r="CI882" t="inlineStr"/>
      <c r="CJ882" t="inlineStr"/>
      <c r="CK882" t="inlineStr"/>
      <c r="CL882" t="inlineStr"/>
      <c r="CM882" t="inlineStr"/>
      <c r="CN882" t="inlineStr"/>
      <c r="CO882" t="inlineStr"/>
      <c r="CP882" t="inlineStr"/>
      <c r="CQ882" t="inlineStr"/>
      <c r="CR882" t="inlineStr"/>
      <c r="CS882" t="inlineStr"/>
      <c r="CT882" t="inlineStr"/>
      <c r="CU882" t="inlineStr"/>
      <c r="CV882" t="inlineStr"/>
      <c r="CW882" t="inlineStr"/>
      <c r="CX882" t="inlineStr"/>
      <c r="CY882" t="inlineStr"/>
      <c r="CZ882" t="inlineStr"/>
      <c r="DA882" t="inlineStr"/>
      <c r="DB882" t="inlineStr"/>
      <c r="DC882" t="inlineStr"/>
      <c r="DD882" t="inlineStr"/>
      <c r="DE882" t="inlineStr"/>
      <c r="DF882" t="inlineStr"/>
      <c r="DG882" t="inlineStr"/>
    </row>
    <row r="883">
      <c r="A883" t="inlineStr">
        <is>
          <t>III</t>
        </is>
      </c>
      <c r="B883" t="b">
        <v>1</v>
      </c>
      <c r="C883" t="inlineStr"/>
      <c r="D883" t="inlineStr"/>
      <c r="E883" t="n">
        <v>968</v>
      </c>
      <c r="F883">
        <f>HYPERLINK("https://portal.dnb.de/opac.htm?method=simpleSearch&amp;cqlMode=true&amp;query=idn%3D1066941130", "Portal")</f>
        <v/>
      </c>
      <c r="G883" t="inlineStr">
        <is>
          <t>Aaf</t>
        </is>
      </c>
      <c r="H883" t="inlineStr">
        <is>
          <t>L-1524-315468866</t>
        </is>
      </c>
      <c r="I883" t="inlineStr">
        <is>
          <t>1066941130</t>
        </is>
      </c>
      <c r="J883" t="inlineStr">
        <is>
          <t>III 101, 18</t>
        </is>
      </c>
      <c r="K883" t="inlineStr">
        <is>
          <t>III 101, 18</t>
        </is>
      </c>
      <c r="L883" t="inlineStr">
        <is>
          <t>III 101, 18</t>
        </is>
      </c>
      <c r="M883" t="inlineStr"/>
      <c r="N883" t="inlineStr">
        <is>
          <t xml:space="preserve">Perisavli Favstini Tradocii De honesto appetitv. Favstinvs Terdoceo [sic] De triumpho stvltitiae : </t>
        </is>
      </c>
      <c r="O883" t="inlineStr">
        <is>
          <t xml:space="preserve"> : </t>
        </is>
      </c>
      <c r="P883" t="inlineStr"/>
      <c r="Q883" t="inlineStr"/>
      <c r="R883" t="inlineStr"/>
      <c r="S883" t="inlineStr">
        <is>
          <t>bis 25 cm</t>
        </is>
      </c>
      <c r="T883" t="inlineStr"/>
      <c r="U883" t="inlineStr"/>
      <c r="V883" t="inlineStr"/>
      <c r="W883" t="inlineStr"/>
      <c r="X883" t="inlineStr"/>
      <c r="Y883" t="inlineStr"/>
      <c r="Z883" t="inlineStr"/>
      <c r="AA883" t="inlineStr"/>
      <c r="AB883" t="inlineStr"/>
      <c r="AC883" t="inlineStr"/>
      <c r="AD883" t="inlineStr"/>
      <c r="AE883" t="inlineStr"/>
      <c r="AF883" t="inlineStr"/>
      <c r="AG883" t="inlineStr"/>
      <c r="AH883" t="inlineStr"/>
      <c r="AI883" t="inlineStr">
        <is>
          <t>G</t>
        </is>
      </c>
      <c r="AJ883" t="inlineStr"/>
      <c r="AK883" t="inlineStr">
        <is>
          <t>x</t>
        </is>
      </c>
      <c r="AL883" t="inlineStr"/>
      <c r="AM883" t="inlineStr">
        <is>
          <t>h/E</t>
        </is>
      </c>
      <c r="AN883" t="inlineStr"/>
      <c r="AO883" t="inlineStr"/>
      <c r="AP883" t="inlineStr"/>
      <c r="AQ883" t="inlineStr"/>
      <c r="AR883" t="inlineStr"/>
      <c r="AS883" t="inlineStr">
        <is>
          <t>Pa</t>
        </is>
      </c>
      <c r="AT883" t="inlineStr">
        <is>
          <t>x</t>
        </is>
      </c>
      <c r="AU883" t="inlineStr"/>
      <c r="AV883" t="inlineStr"/>
      <c r="AW883" t="inlineStr"/>
      <c r="AX883" t="inlineStr"/>
      <c r="AY883" t="inlineStr"/>
      <c r="AZ883" t="inlineStr"/>
      <c r="BA883" t="inlineStr"/>
      <c r="BB883" t="inlineStr"/>
      <c r="BC883" t="inlineStr"/>
      <c r="BD883" t="inlineStr"/>
      <c r="BE883" t="inlineStr"/>
      <c r="BF883" t="inlineStr"/>
      <c r="BG883" t="n">
        <v>110</v>
      </c>
      <c r="BH883" t="inlineStr"/>
      <c r="BI883" t="inlineStr"/>
      <c r="BJ883" t="inlineStr"/>
      <c r="BK883" t="inlineStr"/>
      <c r="BL883" t="inlineStr"/>
      <c r="BM883" t="inlineStr">
        <is>
          <t>n</t>
        </is>
      </c>
      <c r="BN883" t="n">
        <v>0</v>
      </c>
      <c r="BO883" t="inlineStr"/>
      <c r="BP883" t="inlineStr"/>
      <c r="BQ883" t="inlineStr"/>
      <c r="BR883" t="inlineStr"/>
      <c r="BS883" t="inlineStr"/>
      <c r="BT883" t="inlineStr"/>
      <c r="BU883" t="inlineStr"/>
      <c r="BV883" t="inlineStr"/>
      <c r="BW883" t="inlineStr"/>
      <c r="BX883" t="inlineStr"/>
      <c r="BY883" t="inlineStr"/>
      <c r="BZ883" t="inlineStr"/>
      <c r="CA883" t="inlineStr"/>
      <c r="CB883" t="inlineStr"/>
      <c r="CC883" t="inlineStr"/>
      <c r="CD883" t="inlineStr"/>
      <c r="CE883" t="inlineStr"/>
      <c r="CF883" t="inlineStr"/>
      <c r="CG883" t="inlineStr"/>
      <c r="CH883" t="inlineStr"/>
      <c r="CI883" t="inlineStr"/>
      <c r="CJ883" t="inlineStr"/>
      <c r="CK883" t="inlineStr"/>
      <c r="CL883" t="inlineStr"/>
      <c r="CM883" t="inlineStr"/>
      <c r="CN883" t="inlineStr"/>
      <c r="CO883" t="inlineStr"/>
      <c r="CP883" t="inlineStr"/>
      <c r="CQ883" t="inlineStr"/>
      <c r="CR883" t="inlineStr"/>
      <c r="CS883" t="inlineStr"/>
      <c r="CT883" t="inlineStr"/>
      <c r="CU883" t="inlineStr"/>
      <c r="CV883" t="inlineStr"/>
      <c r="CW883" t="inlineStr"/>
      <c r="CX883" t="inlineStr"/>
      <c r="CY883" t="inlineStr"/>
      <c r="CZ883" t="inlineStr"/>
      <c r="DA883" t="inlineStr"/>
      <c r="DB883" t="inlineStr"/>
      <c r="DC883" t="inlineStr"/>
      <c r="DD883" t="inlineStr"/>
      <c r="DE883" t="inlineStr"/>
      <c r="DF883" t="inlineStr"/>
      <c r="DG883" t="inlineStr"/>
    </row>
    <row r="884">
      <c r="A884" t="inlineStr">
        <is>
          <t>III</t>
        </is>
      </c>
      <c r="B884" t="b">
        <v>1</v>
      </c>
      <c r="C884" t="inlineStr"/>
      <c r="D884" t="inlineStr"/>
      <c r="E884" t="n">
        <v>969</v>
      </c>
      <c r="F884">
        <f>HYPERLINK("https://portal.dnb.de/opac.htm?method=simpleSearch&amp;cqlMode=true&amp;query=idn%3D1066779120", "Portal")</f>
        <v/>
      </c>
      <c r="G884" t="inlineStr">
        <is>
          <t>Aaf</t>
        </is>
      </c>
      <c r="H884" t="inlineStr">
        <is>
          <t>L-1534-315201002</t>
        </is>
      </c>
      <c r="I884" t="inlineStr">
        <is>
          <t>1066779120</t>
        </is>
      </c>
      <c r="J884" t="inlineStr">
        <is>
          <t>III 101, 19</t>
        </is>
      </c>
      <c r="K884" t="inlineStr">
        <is>
          <t>III 101, 19</t>
        </is>
      </c>
      <c r="L884" t="inlineStr">
        <is>
          <t>III 101, 19</t>
        </is>
      </c>
      <c r="M884" t="inlineStr"/>
      <c r="N884" t="inlineStr">
        <is>
          <t xml:space="preserve">Henrici Glareani Heluetii, poetae laureati De geographia liber unus ab ipso authore iam tertio recognitus : </t>
        </is>
      </c>
      <c r="O884" t="inlineStr">
        <is>
          <t xml:space="preserve"> : </t>
        </is>
      </c>
      <c r="P884" t="inlineStr"/>
      <c r="Q884" t="inlineStr"/>
      <c r="R884" t="inlineStr"/>
      <c r="S884" t="inlineStr">
        <is>
          <t>bis 25 cm</t>
        </is>
      </c>
      <c r="T884" t="inlineStr"/>
      <c r="U884" t="inlineStr"/>
      <c r="V884" t="inlineStr"/>
      <c r="W884" t="inlineStr"/>
      <c r="X884" t="inlineStr"/>
      <c r="Y884" t="inlineStr"/>
      <c r="Z884" t="inlineStr"/>
      <c r="AA884" t="inlineStr"/>
      <c r="AB884" t="inlineStr"/>
      <c r="AC884" t="inlineStr"/>
      <c r="AD884" t="inlineStr"/>
      <c r="AE884" t="inlineStr"/>
      <c r="AF884" t="inlineStr"/>
      <c r="AG884" t="inlineStr"/>
      <c r="AH884" t="inlineStr"/>
      <c r="AI884" t="inlineStr">
        <is>
          <t>G</t>
        </is>
      </c>
      <c r="AJ884" t="inlineStr"/>
      <c r="AK884" t="inlineStr">
        <is>
          <t>x</t>
        </is>
      </c>
      <c r="AL884" t="inlineStr"/>
      <c r="AM884" t="inlineStr">
        <is>
          <t>h/E</t>
        </is>
      </c>
      <c r="AN884" t="inlineStr"/>
      <c r="AO884" t="inlineStr"/>
      <c r="AP884" t="inlineStr"/>
      <c r="AQ884" t="inlineStr"/>
      <c r="AR884" t="inlineStr"/>
      <c r="AS884" t="inlineStr">
        <is>
          <t>Pa</t>
        </is>
      </c>
      <c r="AT884" t="inlineStr">
        <is>
          <t>x</t>
        </is>
      </c>
      <c r="AU884" t="inlineStr"/>
      <c r="AV884" t="inlineStr"/>
      <c r="AW884" t="inlineStr"/>
      <c r="AX884" t="inlineStr"/>
      <c r="AY884" t="inlineStr"/>
      <c r="AZ884" t="inlineStr"/>
      <c r="BA884" t="inlineStr"/>
      <c r="BB884" t="inlineStr"/>
      <c r="BC884" t="inlineStr"/>
      <c r="BD884" t="inlineStr"/>
      <c r="BE884" t="inlineStr"/>
      <c r="BF884" t="inlineStr"/>
      <c r="BG884" t="n">
        <v>110</v>
      </c>
      <c r="BH884" t="inlineStr"/>
      <c r="BI884" t="inlineStr"/>
      <c r="BJ884" t="inlineStr"/>
      <c r="BK884" t="inlineStr"/>
      <c r="BL884" t="inlineStr"/>
      <c r="BM884" t="inlineStr">
        <is>
          <t>n</t>
        </is>
      </c>
      <c r="BN884" t="n">
        <v>0</v>
      </c>
      <c r="BO884" t="inlineStr"/>
      <c r="BP884" t="inlineStr"/>
      <c r="BQ884" t="inlineStr"/>
      <c r="BR884" t="inlineStr">
        <is>
          <t>x</t>
        </is>
      </c>
      <c r="BS884" t="inlineStr"/>
      <c r="BT884" t="inlineStr"/>
      <c r="BU884" t="inlineStr"/>
      <c r="BV884" t="inlineStr"/>
      <c r="BW884" t="inlineStr"/>
      <c r="BX884" t="inlineStr"/>
      <c r="BY884" t="inlineStr"/>
      <c r="BZ884" t="inlineStr"/>
      <c r="CA884" t="inlineStr"/>
      <c r="CB884" t="inlineStr"/>
      <c r="CC884" t="inlineStr"/>
      <c r="CD884" t="inlineStr"/>
      <c r="CE884" t="inlineStr"/>
      <c r="CF884" t="inlineStr"/>
      <c r="CG884" t="inlineStr"/>
      <c r="CH884" t="inlineStr"/>
      <c r="CI884" t="inlineStr"/>
      <c r="CJ884" t="inlineStr"/>
      <c r="CK884" t="inlineStr"/>
      <c r="CL884" t="inlineStr"/>
      <c r="CM884" t="inlineStr"/>
      <c r="CN884" t="inlineStr"/>
      <c r="CO884" t="inlineStr"/>
      <c r="CP884" t="inlineStr"/>
      <c r="CQ884" t="inlineStr"/>
      <c r="CR884" t="inlineStr"/>
      <c r="CS884" t="inlineStr"/>
      <c r="CT884" t="inlineStr"/>
      <c r="CU884" t="inlineStr"/>
      <c r="CV884" t="inlineStr"/>
      <c r="CW884" t="inlineStr"/>
      <c r="CX884" t="inlineStr"/>
      <c r="CY884" t="inlineStr"/>
      <c r="CZ884" t="inlineStr"/>
      <c r="DA884" t="inlineStr"/>
      <c r="DB884" t="inlineStr"/>
      <c r="DC884" t="inlineStr"/>
      <c r="DD884" t="inlineStr"/>
      <c r="DE884" t="inlineStr"/>
      <c r="DF884" t="inlineStr"/>
      <c r="DG884" t="inlineStr"/>
    </row>
    <row r="885">
      <c r="A885" t="inlineStr">
        <is>
          <t>III</t>
        </is>
      </c>
      <c r="B885" t="b">
        <v>1</v>
      </c>
      <c r="C885" t="inlineStr"/>
      <c r="D885" t="inlineStr"/>
      <c r="E885" t="n">
        <v>1001</v>
      </c>
      <c r="F885">
        <f>HYPERLINK("https://portal.dnb.de/opac.htm?method=simpleSearch&amp;cqlMode=true&amp;query=idn%3D995213216", "Portal")</f>
        <v/>
      </c>
      <c r="G885" t="inlineStr">
        <is>
          <t>Aal</t>
        </is>
      </c>
      <c r="H885" t="inlineStr">
        <is>
          <t>L-1533-158991907</t>
        </is>
      </c>
      <c r="I885" t="inlineStr">
        <is>
          <t>995213216</t>
        </is>
      </c>
      <c r="J885" t="inlineStr">
        <is>
          <t>III 101, 19 a</t>
        </is>
      </c>
      <c r="K885" t="inlineStr">
        <is>
          <t>III 101, 19 a</t>
        </is>
      </c>
      <c r="L885" t="inlineStr">
        <is>
          <t>III 101, 19 a</t>
        </is>
      </c>
      <c r="M885" t="inlineStr"/>
      <c r="N885" t="inlineStr">
        <is>
          <t>ENCHIRIDION|| LOCORVM COMMV||nium Ioannis Eckij, aduersus|| Lutheranos|| Ab authore iam quarto recognitum &amp;|| octo locis auctum, &amp; a pluri||bus mendis</t>
        </is>
      </c>
      <c r="O885" t="inlineStr">
        <is>
          <t xml:space="preserve"> : </t>
        </is>
      </c>
      <c r="P885" t="inlineStr"/>
      <c r="Q885" t="inlineStr"/>
      <c r="R885" t="inlineStr"/>
      <c r="S885" t="inlineStr">
        <is>
          <t>bis 25 cm</t>
        </is>
      </c>
      <c r="T885" t="inlineStr"/>
      <c r="U885" t="inlineStr"/>
      <c r="V885" t="inlineStr"/>
      <c r="W885" t="inlineStr"/>
      <c r="X885" t="inlineStr"/>
      <c r="Y885" t="inlineStr"/>
      <c r="Z885" t="inlineStr"/>
      <c r="AA885" t="inlineStr"/>
      <c r="AB885" t="inlineStr"/>
      <c r="AC885" t="inlineStr"/>
      <c r="AD885" t="inlineStr"/>
      <c r="AE885" t="inlineStr"/>
      <c r="AF885" t="inlineStr"/>
      <c r="AG885" t="inlineStr"/>
      <c r="AH885" t="inlineStr"/>
      <c r="AI885" t="inlineStr">
        <is>
          <t>Pg</t>
        </is>
      </c>
      <c r="AJ885" t="inlineStr">
        <is>
          <t xml:space="preserve">
flexibler Perg.bd.</t>
        </is>
      </c>
      <c r="AK885" t="inlineStr"/>
      <c r="AL885" t="inlineStr"/>
      <c r="AM885" t="inlineStr">
        <is>
          <t>h</t>
        </is>
      </c>
      <c r="AN885" t="inlineStr"/>
      <c r="AO885" t="inlineStr"/>
      <c r="AP885" t="inlineStr"/>
      <c r="AQ885" t="inlineStr"/>
      <c r="AR885" t="inlineStr"/>
      <c r="AS885" t="inlineStr">
        <is>
          <t>Pa</t>
        </is>
      </c>
      <c r="AT885" t="inlineStr"/>
      <c r="AU885" t="inlineStr"/>
      <c r="AV885" t="inlineStr"/>
      <c r="AW885" t="inlineStr"/>
      <c r="AX885" t="inlineStr"/>
      <c r="AY885" t="inlineStr"/>
      <c r="AZ885" t="inlineStr"/>
      <c r="BA885" t="inlineStr"/>
      <c r="BB885" t="inlineStr"/>
      <c r="BC885" t="inlineStr"/>
      <c r="BD885" t="inlineStr"/>
      <c r="BE885" t="inlineStr"/>
      <c r="BF885" t="inlineStr"/>
      <c r="BG885" t="n">
        <v>110</v>
      </c>
      <c r="BH885" t="inlineStr"/>
      <c r="BI885" t="inlineStr"/>
      <c r="BJ885" t="inlineStr"/>
      <c r="BK885" t="inlineStr"/>
      <c r="BL885" t="inlineStr"/>
      <c r="BM885" t="inlineStr">
        <is>
          <t>n</t>
        </is>
      </c>
      <c r="BN885" t="n">
        <v>0</v>
      </c>
      <c r="BO885" t="inlineStr"/>
      <c r="BP885" t="inlineStr"/>
      <c r="BQ885" t="inlineStr"/>
      <c r="BR885" t="inlineStr"/>
      <c r="BS885" t="inlineStr"/>
      <c r="BT885" t="inlineStr"/>
      <c r="BU885" t="inlineStr"/>
      <c r="BV885" t="inlineStr"/>
      <c r="BW885" t="inlineStr"/>
      <c r="BX885" t="inlineStr"/>
      <c r="BY885" t="inlineStr"/>
      <c r="BZ885" t="inlineStr"/>
      <c r="CA885" t="inlineStr"/>
      <c r="CB885" t="inlineStr"/>
      <c r="CC885" t="inlineStr"/>
      <c r="CD885" t="inlineStr"/>
      <c r="CE885" t="inlineStr"/>
      <c r="CF885" t="inlineStr"/>
      <c r="CG885" t="inlineStr"/>
      <c r="CH885" t="inlineStr"/>
      <c r="CI885" t="inlineStr"/>
      <c r="CJ885" t="inlineStr"/>
      <c r="CK885" t="inlineStr"/>
      <c r="CL885" t="inlineStr"/>
      <c r="CM885" t="inlineStr"/>
      <c r="CN885" t="inlineStr"/>
      <c r="CO885" t="inlineStr"/>
      <c r="CP885" t="inlineStr"/>
      <c r="CQ885" t="inlineStr"/>
      <c r="CR885" t="inlineStr"/>
      <c r="CS885" t="inlineStr"/>
      <c r="CT885" t="inlineStr"/>
      <c r="CU885" t="inlineStr"/>
      <c r="CV885" t="inlineStr"/>
      <c r="CW885" t="inlineStr"/>
      <c r="CX885" t="inlineStr"/>
      <c r="CY885" t="inlineStr"/>
      <c r="CZ885" t="inlineStr"/>
      <c r="DA885" t="inlineStr"/>
      <c r="DB885" t="inlineStr"/>
      <c r="DC885" t="inlineStr"/>
      <c r="DD885" t="inlineStr"/>
      <c r="DE885" t="inlineStr"/>
      <c r="DF885" t="inlineStr"/>
      <c r="DG885" t="inlineStr"/>
    </row>
    <row r="886">
      <c r="A886" t="inlineStr">
        <is>
          <t>III</t>
        </is>
      </c>
      <c r="B886" t="b">
        <v>1</v>
      </c>
      <c r="C886" t="inlineStr"/>
      <c r="D886" t="inlineStr"/>
      <c r="E886" t="n">
        <v>970</v>
      </c>
      <c r="F886">
        <f>HYPERLINK("https://portal.dnb.de/opac.htm?method=simpleSearch&amp;cqlMode=true&amp;query=idn%3D1066790272", "Portal")</f>
        <v/>
      </c>
      <c r="G886" t="inlineStr">
        <is>
          <t>Aaf</t>
        </is>
      </c>
      <c r="H886" t="inlineStr">
        <is>
          <t>L-1542-315211334</t>
        </is>
      </c>
      <c r="I886" t="inlineStr">
        <is>
          <t>1066790272</t>
        </is>
      </c>
      <c r="J886" t="inlineStr">
        <is>
          <t>III 101, 20</t>
        </is>
      </c>
      <c r="K886" t="inlineStr">
        <is>
          <t>III 101, 20</t>
        </is>
      </c>
      <c r="L886" t="inlineStr">
        <is>
          <t>III 101, 20</t>
        </is>
      </c>
      <c r="M886" t="inlineStr">
        <is>
          <t>steht bei GF</t>
        </is>
      </c>
      <c r="N886" t="inlineStr">
        <is>
          <t xml:space="preserve">Vulgata : aeditio veteris ac novi testamenti, quorum alterum ad Hebraicam, alterum ad Graedam veritatem emendatum est diligentissime, ut nova aeditio </t>
        </is>
      </c>
      <c r="O886" t="inlineStr">
        <is>
          <t xml:space="preserve"> : </t>
        </is>
      </c>
      <c r="P886" t="inlineStr"/>
      <c r="Q886" t="inlineStr"/>
      <c r="R886" t="inlineStr"/>
      <c r="S886" t="inlineStr">
        <is>
          <t>bis 35 cm</t>
        </is>
      </c>
      <c r="T886" t="inlineStr"/>
      <c r="U886" t="inlineStr"/>
      <c r="V886" t="inlineStr"/>
      <c r="W886" t="inlineStr"/>
      <c r="X886" t="inlineStr"/>
      <c r="Y886" t="inlineStr"/>
      <c r="Z886" t="inlineStr"/>
      <c r="AA886" t="inlineStr"/>
      <c r="AB886" t="inlineStr"/>
      <c r="AC886" t="inlineStr"/>
      <c r="AD886" t="inlineStr"/>
      <c r="AE886" t="inlineStr"/>
      <c r="AF886" t="inlineStr"/>
      <c r="AG886" t="inlineStr"/>
      <c r="AH886" t="inlineStr"/>
      <c r="AI886" t="inlineStr">
        <is>
          <t>HD</t>
        </is>
      </c>
      <c r="AJ886" t="inlineStr"/>
      <c r="AK886" t="inlineStr"/>
      <c r="AL886" t="inlineStr">
        <is>
          <t>x</t>
        </is>
      </c>
      <c r="AM886" t="inlineStr">
        <is>
          <t>f</t>
        </is>
      </c>
      <c r="AN886" t="inlineStr"/>
      <c r="AO886" t="inlineStr"/>
      <c r="AP886" t="inlineStr"/>
      <c r="AQ886" t="inlineStr"/>
      <c r="AR886" t="inlineStr"/>
      <c r="AS886" t="inlineStr">
        <is>
          <t>Pa</t>
        </is>
      </c>
      <c r="AT886" t="inlineStr"/>
      <c r="AU886" t="inlineStr"/>
      <c r="AV886" t="inlineStr"/>
      <c r="AW886" t="inlineStr"/>
      <c r="AX886" t="inlineStr">
        <is>
          <t>x</t>
        </is>
      </c>
      <c r="AY886" t="inlineStr"/>
      <c r="AZ886" t="inlineStr"/>
      <c r="BA886" t="inlineStr"/>
      <c r="BB886" t="inlineStr"/>
      <c r="BC886" t="inlineStr"/>
      <c r="BD886" t="inlineStr"/>
      <c r="BE886" t="inlineStr"/>
      <c r="BF886" t="inlineStr"/>
      <c r="BG886" t="n">
        <v>110</v>
      </c>
      <c r="BH886" t="inlineStr"/>
      <c r="BI886" t="inlineStr"/>
      <c r="BJ886" t="inlineStr"/>
      <c r="BK886" t="inlineStr"/>
      <c r="BL886" t="inlineStr"/>
      <c r="BM886" t="inlineStr">
        <is>
          <t>n</t>
        </is>
      </c>
      <c r="BN886" t="n">
        <v>0</v>
      </c>
      <c r="BO886" t="inlineStr"/>
      <c r="BP886" t="inlineStr">
        <is>
          <t>Gewebe</t>
        </is>
      </c>
      <c r="BQ886" t="inlineStr"/>
      <c r="BR886" t="inlineStr"/>
      <c r="BS886" t="inlineStr"/>
      <c r="BT886" t="inlineStr"/>
      <c r="BU886" t="inlineStr"/>
      <c r="BV886" t="inlineStr"/>
      <c r="BW886" t="inlineStr">
        <is>
          <t>x 110</t>
        </is>
      </c>
      <c r="BX886" t="inlineStr">
        <is>
          <t xml:space="preserve">
BB baucht</t>
        </is>
      </c>
      <c r="BY886" t="inlineStr"/>
      <c r="BZ886" t="inlineStr"/>
      <c r="CA886" t="inlineStr"/>
      <c r="CB886" t="inlineStr"/>
      <c r="CC886" t="inlineStr"/>
      <c r="CD886" t="inlineStr"/>
      <c r="CE886" t="inlineStr"/>
      <c r="CF886" t="inlineStr"/>
      <c r="CG886" t="inlineStr"/>
      <c r="CH886" t="inlineStr"/>
      <c r="CI886" t="inlineStr"/>
      <c r="CJ886" t="inlineStr"/>
      <c r="CK886" t="inlineStr"/>
      <c r="CL886" t="inlineStr"/>
      <c r="CM886" t="inlineStr"/>
      <c r="CN886" t="inlineStr"/>
      <c r="CO886" t="inlineStr"/>
      <c r="CP886" t="inlineStr"/>
      <c r="CQ886" t="inlineStr"/>
      <c r="CR886" t="inlineStr"/>
      <c r="CS886" t="inlineStr"/>
      <c r="CT886" t="inlineStr"/>
      <c r="CU886" t="inlineStr"/>
      <c r="CV886" t="inlineStr"/>
      <c r="CW886" t="inlineStr"/>
      <c r="CX886" t="inlineStr"/>
      <c r="CY886" t="inlineStr"/>
      <c r="CZ886" t="inlineStr"/>
      <c r="DA886" t="inlineStr"/>
      <c r="DB886" t="inlineStr"/>
      <c r="DC886" t="inlineStr"/>
      <c r="DD886" t="inlineStr"/>
      <c r="DE886" t="inlineStr"/>
      <c r="DF886" t="inlineStr"/>
      <c r="DG886" t="inlineStr"/>
    </row>
    <row r="887">
      <c r="A887" t="inlineStr">
        <is>
          <t>III</t>
        </is>
      </c>
      <c r="B887" t="b">
        <v>1</v>
      </c>
      <c r="C887" t="inlineStr">
        <is>
          <t>x</t>
        </is>
      </c>
      <c r="D887" t="inlineStr"/>
      <c r="E887" t="n">
        <v>971</v>
      </c>
      <c r="F887">
        <f>HYPERLINK("https://portal.dnb.de/opac.htm?method=simpleSearch&amp;cqlMode=true&amp;query=idn%3D106693360X", "Portal")</f>
        <v/>
      </c>
      <c r="G887" t="inlineStr">
        <is>
          <t>Aaf</t>
        </is>
      </c>
      <c r="H887" t="inlineStr">
        <is>
          <t>L-1542-315461683</t>
        </is>
      </c>
      <c r="I887" t="inlineStr">
        <is>
          <t>106693360X</t>
        </is>
      </c>
      <c r="J887" t="inlineStr">
        <is>
          <t>III 101, 21</t>
        </is>
      </c>
      <c r="K887" t="inlineStr">
        <is>
          <t>III 101, 21</t>
        </is>
      </c>
      <c r="L887" t="inlineStr">
        <is>
          <t>III 101, 21</t>
        </is>
      </c>
      <c r="M887" t="inlineStr"/>
      <c r="N887" t="inlineStr">
        <is>
          <t>Raimvndi Lvlii ... De secretis naturae siue quinta essentia libri duo. His accesserunt, Alberti Magni ... De mineralibus &amp; rebus metallicis libri quin</t>
        </is>
      </c>
      <c r="O887" t="inlineStr">
        <is>
          <t xml:space="preserve"> : </t>
        </is>
      </c>
      <c r="P887" t="inlineStr"/>
      <c r="Q887" t="inlineStr"/>
      <c r="R887" t="inlineStr"/>
      <c r="S887" t="inlineStr">
        <is>
          <t>bis 25 cm</t>
        </is>
      </c>
      <c r="T887" t="inlineStr"/>
      <c r="U887" t="inlineStr"/>
      <c r="V887" t="inlineStr"/>
      <c r="W887" t="inlineStr"/>
      <c r="X887" t="inlineStr"/>
      <c r="Y887" t="inlineStr"/>
      <c r="Z887" t="inlineStr"/>
      <c r="AA887" t="inlineStr"/>
      <c r="AB887" t="inlineStr"/>
      <c r="AC887" t="inlineStr"/>
      <c r="AD887" t="inlineStr"/>
      <c r="AE887" t="inlineStr"/>
      <c r="AF887" t="inlineStr"/>
      <c r="AG887" t="inlineStr"/>
      <c r="AH887" t="inlineStr"/>
      <c r="AI887" t="inlineStr">
        <is>
          <t>HL</t>
        </is>
      </c>
      <c r="AJ887" t="inlineStr"/>
      <c r="AK887" t="inlineStr">
        <is>
          <t>x</t>
        </is>
      </c>
      <c r="AL887" t="inlineStr"/>
      <c r="AM887" t="inlineStr">
        <is>
          <t>h/E</t>
        </is>
      </c>
      <c r="AN887" t="inlineStr"/>
      <c r="AO887" t="inlineStr"/>
      <c r="AP887" t="inlineStr"/>
      <c r="AQ887" t="inlineStr"/>
      <c r="AR887" t="inlineStr"/>
      <c r="AS887" t="inlineStr">
        <is>
          <t>Pa</t>
        </is>
      </c>
      <c r="AT887" t="inlineStr"/>
      <c r="AU887" t="inlineStr"/>
      <c r="AV887" t="inlineStr"/>
      <c r="AW887" t="inlineStr"/>
      <c r="AX887" t="inlineStr"/>
      <c r="AY887" t="inlineStr"/>
      <c r="AZ887" t="inlineStr"/>
      <c r="BA887" t="inlineStr"/>
      <c r="BB887" t="inlineStr"/>
      <c r="BC887" t="inlineStr"/>
      <c r="BD887" t="inlineStr"/>
      <c r="BE887" t="inlineStr"/>
      <c r="BF887" t="inlineStr"/>
      <c r="BG887" t="n">
        <v>110</v>
      </c>
      <c r="BH887" t="inlineStr"/>
      <c r="BI887" t="inlineStr"/>
      <c r="BJ887" t="inlineStr"/>
      <c r="BK887" t="inlineStr"/>
      <c r="BL887" t="inlineStr"/>
      <c r="BM887" t="inlineStr">
        <is>
          <t>ja vor</t>
        </is>
      </c>
      <c r="BN887" t="n">
        <v>1</v>
      </c>
      <c r="BO887" t="inlineStr"/>
      <c r="BP887" t="inlineStr"/>
      <c r="BQ887" t="inlineStr"/>
      <c r="BR887" t="inlineStr">
        <is>
          <t>x</t>
        </is>
      </c>
      <c r="BS887" t="inlineStr"/>
      <c r="BT887" t="inlineStr"/>
      <c r="BU887" t="inlineStr"/>
      <c r="BV887" t="inlineStr"/>
      <c r="BW887" t="inlineStr"/>
      <c r="BX887" t="inlineStr"/>
      <c r="BY887" t="inlineStr"/>
      <c r="BZ887" t="inlineStr"/>
      <c r="CA887" t="inlineStr">
        <is>
          <t>x</t>
        </is>
      </c>
      <c r="CB887" t="inlineStr">
        <is>
          <t>x</t>
        </is>
      </c>
      <c r="CC887" t="inlineStr">
        <is>
          <t>x</t>
        </is>
      </c>
      <c r="CD887" t="inlineStr">
        <is>
          <t>v</t>
        </is>
      </c>
      <c r="CE887" t="inlineStr"/>
      <c r="CF887" t="inlineStr"/>
      <c r="CG887" t="inlineStr"/>
      <c r="CH887" t="inlineStr"/>
      <c r="CI887" t="inlineStr"/>
      <c r="CJ887" t="inlineStr"/>
      <c r="CK887" t="inlineStr"/>
      <c r="CL887" t="inlineStr"/>
      <c r="CM887" t="n">
        <v>1</v>
      </c>
      <c r="CN887" t="inlineStr"/>
      <c r="CO887" t="inlineStr"/>
      <c r="CP887" t="inlineStr"/>
      <c r="CQ887" t="inlineStr"/>
      <c r="CR887" t="inlineStr"/>
      <c r="CS887" t="inlineStr"/>
      <c r="CT887" t="inlineStr"/>
      <c r="CU887" t="inlineStr"/>
      <c r="CV887" t="inlineStr"/>
      <c r="CW887" t="inlineStr"/>
      <c r="CX887" t="inlineStr"/>
      <c r="CY887" t="inlineStr"/>
      <c r="CZ887" t="inlineStr"/>
      <c r="DA887" t="inlineStr"/>
      <c r="DB887" t="inlineStr"/>
      <c r="DC887" t="inlineStr"/>
      <c r="DD887" t="inlineStr"/>
      <c r="DE887" t="inlineStr"/>
      <c r="DF887" t="inlineStr"/>
      <c r="DG887" t="inlineStr"/>
    </row>
    <row r="888">
      <c r="A888" t="inlineStr">
        <is>
          <t>III</t>
        </is>
      </c>
      <c r="B888" t="b">
        <v>1</v>
      </c>
      <c r="C888" t="inlineStr"/>
      <c r="D888" t="inlineStr"/>
      <c r="E888" t="n">
        <v>972</v>
      </c>
      <c r="F888">
        <f>HYPERLINK("https://portal.dnb.de/opac.htm?method=simpleSearch&amp;cqlMode=true&amp;query=idn%3D1066937400", "Portal")</f>
        <v/>
      </c>
      <c r="G888" t="inlineStr">
        <is>
          <t>Aaf</t>
        </is>
      </c>
      <c r="H888" t="inlineStr">
        <is>
          <t>L-1543-315465255</t>
        </is>
      </c>
      <c r="I888" t="inlineStr">
        <is>
          <t>1066937400</t>
        </is>
      </c>
      <c r="J888" t="inlineStr">
        <is>
          <t>III 101, 22</t>
        </is>
      </c>
      <c r="K888" t="inlineStr">
        <is>
          <t>III 101, 22</t>
        </is>
      </c>
      <c r="L888" t="inlineStr">
        <is>
          <t>III 101, 22</t>
        </is>
      </c>
      <c r="M888" t="inlineStr"/>
      <c r="N888" t="inlineStr">
        <is>
          <t xml:space="preserve">Opera utilissima del beato Agostini vescovo Hipponense di spiritu &amp; letera chiamata al beato Marcellino : </t>
        </is>
      </c>
      <c r="O888" t="inlineStr">
        <is>
          <t xml:space="preserve"> : </t>
        </is>
      </c>
      <c r="P888" t="inlineStr"/>
      <c r="Q888" t="inlineStr"/>
      <c r="R888" t="inlineStr"/>
      <c r="S888" t="inlineStr">
        <is>
          <t>bis 25 cm</t>
        </is>
      </c>
      <c r="T888" t="inlineStr"/>
      <c r="U888" t="inlineStr"/>
      <c r="V888" t="inlineStr"/>
      <c r="W888" t="inlineStr"/>
      <c r="X888" t="inlineStr"/>
      <c r="Y888" t="inlineStr"/>
      <c r="Z888" t="inlineStr"/>
      <c r="AA888" t="inlineStr"/>
      <c r="AB888" t="inlineStr"/>
      <c r="AC888" t="inlineStr"/>
      <c r="AD888" t="inlineStr"/>
      <c r="AE888" t="inlineStr"/>
      <c r="AF888" t="inlineStr"/>
      <c r="AG888" t="inlineStr"/>
      <c r="AH888" t="inlineStr"/>
      <c r="AI888" t="inlineStr">
        <is>
          <t>Pg</t>
        </is>
      </c>
      <c r="AJ888" t="inlineStr">
        <is>
          <t xml:space="preserve">
durchbrochener Perg.bd. mit Damast unterlegt</t>
        </is>
      </c>
      <c r="AK888" t="inlineStr"/>
      <c r="AL888" t="inlineStr"/>
      <c r="AM888" t="inlineStr">
        <is>
          <t>h</t>
        </is>
      </c>
      <c r="AN888" t="inlineStr"/>
      <c r="AO888" t="inlineStr"/>
      <c r="AP888" t="inlineStr"/>
      <c r="AQ888" t="inlineStr"/>
      <c r="AR888" t="inlineStr"/>
      <c r="AS888" t="inlineStr">
        <is>
          <t>Pa</t>
        </is>
      </c>
      <c r="AT888" t="inlineStr"/>
      <c r="AU888" t="inlineStr"/>
      <c r="AV888" t="inlineStr"/>
      <c r="AW888" t="inlineStr"/>
      <c r="AX888" t="inlineStr"/>
      <c r="AY888" t="inlineStr"/>
      <c r="AZ888" t="inlineStr"/>
      <c r="BA888" t="inlineStr"/>
      <c r="BB888" t="inlineStr"/>
      <c r="BC888" t="inlineStr"/>
      <c r="BD888" t="inlineStr"/>
      <c r="BE888" t="inlineStr"/>
      <c r="BF888" t="inlineStr"/>
      <c r="BG888" t="n">
        <v>110</v>
      </c>
      <c r="BH888" t="inlineStr"/>
      <c r="BI888" t="inlineStr"/>
      <c r="BJ888" t="inlineStr"/>
      <c r="BK888" t="inlineStr"/>
      <c r="BL888" t="inlineStr"/>
      <c r="BM888" t="inlineStr">
        <is>
          <t>n</t>
        </is>
      </c>
      <c r="BN888" t="n">
        <v>0</v>
      </c>
      <c r="BO888" t="inlineStr"/>
      <c r="BP888" t="inlineStr">
        <is>
          <t>Gewebe</t>
        </is>
      </c>
      <c r="BQ888" t="inlineStr"/>
      <c r="BR888" t="inlineStr"/>
      <c r="BS888" t="inlineStr"/>
      <c r="BT888" t="inlineStr"/>
      <c r="BU888" t="inlineStr"/>
      <c r="BV888" t="inlineStr">
        <is>
          <t>durchbrochener Perg.bd. mit Damast unterlegt</t>
        </is>
      </c>
      <c r="BW888" t="inlineStr"/>
      <c r="BX888" t="inlineStr"/>
      <c r="BY888" t="inlineStr"/>
      <c r="BZ888" t="inlineStr"/>
      <c r="CA888" t="inlineStr"/>
      <c r="CB888" t="inlineStr"/>
      <c r="CC888" t="inlineStr"/>
      <c r="CD888" t="inlineStr"/>
      <c r="CE888" t="inlineStr"/>
      <c r="CF888" t="inlineStr"/>
      <c r="CG888" t="inlineStr"/>
      <c r="CH888" t="inlineStr"/>
      <c r="CI888" t="inlineStr"/>
      <c r="CJ888" t="inlineStr"/>
      <c r="CK888" t="inlineStr"/>
      <c r="CL888" t="inlineStr"/>
      <c r="CM888" t="inlineStr"/>
      <c r="CN888" t="inlineStr"/>
      <c r="CO888" t="inlineStr"/>
      <c r="CP888" t="inlineStr"/>
      <c r="CQ888" t="inlineStr"/>
      <c r="CR888" t="inlineStr"/>
      <c r="CS888" t="inlineStr"/>
      <c r="CT888" t="inlineStr"/>
      <c r="CU888" t="inlineStr"/>
      <c r="CV888" t="inlineStr"/>
      <c r="CW888" t="inlineStr"/>
      <c r="CX888" t="inlineStr"/>
      <c r="CY888" t="inlineStr"/>
      <c r="CZ888" t="inlineStr"/>
      <c r="DA888" t="inlineStr"/>
      <c r="DB888" t="inlineStr"/>
      <c r="DC888" t="inlineStr"/>
      <c r="DD888" t="inlineStr"/>
      <c r="DE888" t="inlineStr"/>
      <c r="DF888" t="inlineStr"/>
      <c r="DG888" t="inlineStr"/>
    </row>
    <row r="889">
      <c r="A889" t="inlineStr">
        <is>
          <t>III</t>
        </is>
      </c>
      <c r="B889" t="b">
        <v>1</v>
      </c>
      <c r="C889" t="inlineStr"/>
      <c r="D889" t="inlineStr"/>
      <c r="E889" t="inlineStr"/>
      <c r="F889">
        <f>HYPERLINK("https://portal.dnb.de/opac.htm?method=simpleSearch&amp;cqlMode=true&amp;query=idn%3D1230020926", "Portal")</f>
        <v/>
      </c>
      <c r="G889" t="inlineStr">
        <is>
          <t>Qd</t>
        </is>
      </c>
      <c r="H889" t="inlineStr">
        <is>
          <t>L-1540-719396689</t>
        </is>
      </c>
      <c r="I889" t="inlineStr">
        <is>
          <t>1230020926</t>
        </is>
      </c>
      <c r="J889" t="inlineStr">
        <is>
          <t>III 101, 22 a</t>
        </is>
      </c>
      <c r="K889" t="inlineStr">
        <is>
          <t>III 101, 22 a</t>
        </is>
      </c>
      <c r="L889" t="inlineStr">
        <is>
          <t>III 101, 22 a</t>
        </is>
      </c>
      <c r="M889" t="inlineStr"/>
      <c r="N889" t="inlineStr">
        <is>
          <t xml:space="preserve">Sammelband mit Drucken von Comin da Trino : </t>
        </is>
      </c>
      <c r="O889" t="inlineStr">
        <is>
          <t xml:space="preserve"> : </t>
        </is>
      </c>
      <c r="P889" t="inlineStr"/>
      <c r="Q889" t="inlineStr"/>
      <c r="R889" t="inlineStr"/>
      <c r="S889" t="inlineStr">
        <is>
          <t>bis 25 cm</t>
        </is>
      </c>
      <c r="T889" t="inlineStr"/>
      <c r="U889" t="inlineStr"/>
      <c r="V889" t="inlineStr"/>
      <c r="W889" t="inlineStr"/>
      <c r="X889" t="inlineStr"/>
      <c r="Y889" t="inlineStr"/>
      <c r="Z889" t="inlineStr"/>
      <c r="AA889" t="inlineStr"/>
      <c r="AB889" t="inlineStr"/>
      <c r="AC889" t="inlineStr"/>
      <c r="AD889" t="inlineStr"/>
      <c r="AE889" t="inlineStr"/>
      <c r="AF889" t="inlineStr"/>
      <c r="AG889" t="inlineStr"/>
      <c r="AH889" t="inlineStr">
        <is>
          <t>x</t>
        </is>
      </c>
      <c r="AI889" t="inlineStr">
        <is>
          <t>L</t>
        </is>
      </c>
      <c r="AJ889" t="inlineStr"/>
      <c r="AK889" t="inlineStr"/>
      <c r="AL889" t="inlineStr"/>
      <c r="AM889" t="inlineStr">
        <is>
          <t>f/V</t>
        </is>
      </c>
      <c r="AN889" t="inlineStr"/>
      <c r="AO889" t="inlineStr"/>
      <c r="AP889" t="inlineStr"/>
      <c r="AQ889" t="inlineStr"/>
      <c r="AR889" t="inlineStr"/>
      <c r="AS889" t="inlineStr">
        <is>
          <t>Pa</t>
        </is>
      </c>
      <c r="AT889" t="inlineStr"/>
      <c r="AU889" t="inlineStr"/>
      <c r="AV889" t="inlineStr"/>
      <c r="AW889" t="inlineStr"/>
      <c r="AX889" t="inlineStr"/>
      <c r="AY889" t="inlineStr"/>
      <c r="AZ889" t="inlineStr"/>
      <c r="BA889" t="inlineStr"/>
      <c r="BB889" t="inlineStr"/>
      <c r="BC889" t="inlineStr"/>
      <c r="BD889" t="inlineStr"/>
      <c r="BE889" t="inlineStr"/>
      <c r="BF889" t="inlineStr"/>
      <c r="BG889" t="n">
        <v>60</v>
      </c>
      <c r="BH889" t="inlineStr"/>
      <c r="BI889" t="inlineStr"/>
      <c r="BJ889" t="inlineStr"/>
      <c r="BK889" t="inlineStr"/>
      <c r="BL889" t="inlineStr"/>
      <c r="BM889" t="inlineStr">
        <is>
          <t>n</t>
        </is>
      </c>
      <c r="BN889" t="n">
        <v>0</v>
      </c>
      <c r="BO889" t="inlineStr"/>
      <c r="BP889" t="inlineStr"/>
      <c r="BQ889" t="inlineStr"/>
      <c r="BR889" t="inlineStr"/>
      <c r="BS889" t="inlineStr"/>
      <c r="BT889" t="inlineStr">
        <is>
          <t>x sauer</t>
        </is>
      </c>
      <c r="BU889" t="inlineStr">
        <is>
          <t>x</t>
        </is>
      </c>
      <c r="BV889" t="inlineStr"/>
      <c r="BW889" t="inlineStr"/>
      <c r="BX889" t="inlineStr"/>
      <c r="BY889" t="inlineStr"/>
      <c r="BZ889" t="inlineStr"/>
      <c r="CA889" t="inlineStr"/>
      <c r="CB889" t="inlineStr"/>
      <c r="CC889" t="inlineStr"/>
      <c r="CD889" t="inlineStr"/>
      <c r="CE889" t="inlineStr"/>
      <c r="CF889" t="inlineStr"/>
      <c r="CG889" t="inlineStr"/>
      <c r="CH889" t="inlineStr"/>
      <c r="CI889" t="inlineStr"/>
      <c r="CJ889" t="inlineStr"/>
      <c r="CK889" t="inlineStr"/>
      <c r="CL889" t="inlineStr"/>
      <c r="CM889" t="inlineStr"/>
      <c r="CN889" t="inlineStr"/>
      <c r="CO889" t="inlineStr"/>
      <c r="CP889" t="inlineStr"/>
      <c r="CQ889" t="inlineStr"/>
      <c r="CR889" t="inlineStr"/>
      <c r="CS889" t="inlineStr"/>
      <c r="CT889" t="inlineStr"/>
      <c r="CU889" t="inlineStr"/>
      <c r="CV889" t="inlineStr"/>
      <c r="CW889" t="inlineStr"/>
      <c r="CX889" t="inlineStr"/>
      <c r="CY889" t="inlineStr"/>
      <c r="CZ889" t="inlineStr"/>
      <c r="DA889" t="inlineStr"/>
      <c r="DB889" t="inlineStr"/>
      <c r="DC889" t="inlineStr"/>
      <c r="DD889" t="inlineStr"/>
      <c r="DE889" t="inlineStr"/>
      <c r="DF889" t="inlineStr"/>
      <c r="DG889" t="inlineStr"/>
    </row>
    <row r="890">
      <c r="A890" t="inlineStr">
        <is>
          <t>III</t>
        </is>
      </c>
      <c r="B890" t="b">
        <v>1</v>
      </c>
      <c r="C890" t="inlineStr"/>
      <c r="D890" t="inlineStr"/>
      <c r="E890" t="n">
        <v>973</v>
      </c>
      <c r="F890">
        <f>HYPERLINK("https://portal.dnb.de/opac.htm?method=simpleSearch&amp;cqlMode=true&amp;query=idn%3D99390601X", "Portal")</f>
        <v/>
      </c>
      <c r="G890" t="inlineStr">
        <is>
          <t>Aal</t>
        </is>
      </c>
      <c r="H890" t="inlineStr">
        <is>
          <t>L-1557-15396765X</t>
        </is>
      </c>
      <c r="I890" t="inlineStr">
        <is>
          <t>99390601X</t>
        </is>
      </c>
      <c r="J890" t="inlineStr">
        <is>
          <t>III 101, 23</t>
        </is>
      </c>
      <c r="K890" t="inlineStr">
        <is>
          <t>III 101, 23</t>
        </is>
      </c>
      <c r="L890" t="inlineStr">
        <is>
          <t>III 101, 23</t>
        </is>
      </c>
      <c r="M890" t="inlineStr"/>
      <c r="N890" t="inlineStr">
        <is>
          <t xml:space="preserve">LE @RICCHEZZE DELLA LINGVA|| VOLGARE SOPRA IL BOCCACCIO|| : </t>
        </is>
      </c>
      <c r="O890" t="inlineStr">
        <is>
          <t xml:space="preserve"> : </t>
        </is>
      </c>
      <c r="P890" t="inlineStr"/>
      <c r="Q890" t="inlineStr"/>
      <c r="R890" t="inlineStr"/>
      <c r="S890" t="inlineStr">
        <is>
          <t>bis 25 cm</t>
        </is>
      </c>
      <c r="T890" t="inlineStr"/>
      <c r="U890" t="inlineStr"/>
      <c r="V890" t="inlineStr"/>
      <c r="W890" t="inlineStr"/>
      <c r="X890" t="inlineStr"/>
      <c r="Y890" t="inlineStr"/>
      <c r="Z890" t="inlineStr"/>
      <c r="AA890" t="inlineStr"/>
      <c r="AB890" t="inlineStr"/>
      <c r="AC890" t="inlineStr"/>
      <c r="AD890" t="inlineStr"/>
      <c r="AE890" t="inlineStr"/>
      <c r="AF890" t="inlineStr"/>
      <c r="AG890" t="inlineStr"/>
      <c r="AH890" t="inlineStr"/>
      <c r="AI890" t="inlineStr">
        <is>
          <t>HL</t>
        </is>
      </c>
      <c r="AJ890" t="inlineStr"/>
      <c r="AK890" t="inlineStr"/>
      <c r="AL890" t="inlineStr"/>
      <c r="AM890" t="inlineStr">
        <is>
          <t>f</t>
        </is>
      </c>
      <c r="AN890" t="inlineStr"/>
      <c r="AO890" t="inlineStr"/>
      <c r="AP890" t="inlineStr"/>
      <c r="AQ890" t="inlineStr"/>
      <c r="AR890" t="inlineStr"/>
      <c r="AS890" t="inlineStr">
        <is>
          <t>Pa</t>
        </is>
      </c>
      <c r="AT890" t="inlineStr"/>
      <c r="AU890" t="inlineStr"/>
      <c r="AV890" t="inlineStr"/>
      <c r="AW890" t="inlineStr"/>
      <c r="AX890" t="inlineStr"/>
      <c r="AY890" t="inlineStr"/>
      <c r="AZ890" t="inlineStr"/>
      <c r="BA890" t="inlineStr"/>
      <c r="BB890" t="inlineStr"/>
      <c r="BC890" t="inlineStr"/>
      <c r="BD890" t="inlineStr"/>
      <c r="BE890" t="inlineStr"/>
      <c r="BF890" t="inlineStr"/>
      <c r="BG890" t="n">
        <v>60</v>
      </c>
      <c r="BH890" t="inlineStr"/>
      <c r="BI890" t="inlineStr"/>
      <c r="BJ890" t="inlineStr"/>
      <c r="BK890" t="inlineStr"/>
      <c r="BL890" t="inlineStr"/>
      <c r="BM890" t="inlineStr">
        <is>
          <t>n</t>
        </is>
      </c>
      <c r="BN890" t="n">
        <v>0</v>
      </c>
      <c r="BO890" t="inlineStr"/>
      <c r="BP890" t="inlineStr"/>
      <c r="BQ890" t="inlineStr"/>
      <c r="BR890" t="inlineStr"/>
      <c r="BS890" t="inlineStr"/>
      <c r="BT890" t="inlineStr"/>
      <c r="BU890" t="inlineStr"/>
      <c r="BV890" t="inlineStr"/>
      <c r="BW890" t="inlineStr"/>
      <c r="BX890" t="inlineStr"/>
      <c r="BY890" t="inlineStr"/>
      <c r="BZ890" t="inlineStr"/>
      <c r="CA890" t="inlineStr"/>
      <c r="CB890" t="inlineStr"/>
      <c r="CC890" t="inlineStr"/>
      <c r="CD890" t="inlineStr"/>
      <c r="CE890" t="inlineStr"/>
      <c r="CF890" t="inlineStr"/>
      <c r="CG890" t="inlineStr"/>
      <c r="CH890" t="inlineStr"/>
      <c r="CI890" t="inlineStr"/>
      <c r="CJ890" t="inlineStr"/>
      <c r="CK890" t="inlineStr"/>
      <c r="CL890" t="inlineStr"/>
      <c r="CM890" t="inlineStr"/>
      <c r="CN890" t="inlineStr"/>
      <c r="CO890" t="inlineStr"/>
      <c r="CP890" t="inlineStr"/>
      <c r="CQ890" t="inlineStr"/>
      <c r="CR890" t="inlineStr"/>
      <c r="CS890" t="inlineStr"/>
      <c r="CT890" t="inlineStr"/>
      <c r="CU890" t="inlineStr"/>
      <c r="CV890" t="inlineStr"/>
      <c r="CW890" t="inlineStr"/>
      <c r="CX890" t="inlineStr"/>
      <c r="CY890" t="inlineStr"/>
      <c r="CZ890" t="inlineStr"/>
      <c r="DA890" t="inlineStr"/>
      <c r="DB890" t="inlineStr"/>
      <c r="DC890" t="inlineStr"/>
      <c r="DD890" t="inlineStr"/>
      <c r="DE890" t="inlineStr"/>
      <c r="DF890" t="inlineStr"/>
      <c r="DG890" t="inlineStr"/>
    </row>
    <row r="891">
      <c r="A891" t="inlineStr">
        <is>
          <t>III</t>
        </is>
      </c>
      <c r="B891" t="b">
        <v>1</v>
      </c>
      <c r="C891" t="inlineStr"/>
      <c r="D891" t="inlineStr"/>
      <c r="E891" t="n">
        <v>974</v>
      </c>
      <c r="F891">
        <f>HYPERLINK("https://portal.dnb.de/opac.htm?method=simpleSearch&amp;cqlMode=true&amp;query=idn%3D1132656729", "Portal")</f>
        <v/>
      </c>
      <c r="G891" t="inlineStr">
        <is>
          <t>Af</t>
        </is>
      </c>
      <c r="H891" t="inlineStr">
        <is>
          <t>L-1560-406972435</t>
        </is>
      </c>
      <c r="I891" t="inlineStr">
        <is>
          <t>1132656729</t>
        </is>
      </c>
      <c r="J891" t="inlineStr">
        <is>
          <t>III 101, 24</t>
        </is>
      </c>
      <c r="K891" t="inlineStr">
        <is>
          <t>III 101, 24</t>
        </is>
      </c>
      <c r="L891" t="inlineStr">
        <is>
          <t>III 101, 24</t>
        </is>
      </c>
      <c r="M891" t="inlineStr"/>
      <c r="N891" t="inlineStr">
        <is>
          <t>Omnia opera Aristotelis</t>
        </is>
      </c>
      <c r="O891" t="inlineStr">
        <is>
          <t>8. : Metaphy</t>
        </is>
      </c>
      <c r="P891" t="inlineStr"/>
      <c r="Q891" t="inlineStr"/>
      <c r="R891" t="inlineStr"/>
      <c r="S891" t="inlineStr">
        <is>
          <t>bis 25 cm</t>
        </is>
      </c>
      <c r="T891" t="inlineStr"/>
      <c r="U891" t="inlineStr"/>
      <c r="V891" t="inlineStr"/>
      <c r="W891" t="inlineStr"/>
      <c r="X891" t="inlineStr"/>
      <c r="Y891" t="inlineStr"/>
      <c r="Z891" t="inlineStr"/>
      <c r="AA891" t="inlineStr"/>
      <c r="AB891" t="inlineStr"/>
      <c r="AC891" t="inlineStr"/>
      <c r="AD891" t="inlineStr"/>
      <c r="AE891" t="inlineStr"/>
      <c r="AF891" t="inlineStr"/>
      <c r="AG891" t="inlineStr"/>
      <c r="AH891" t="inlineStr"/>
      <c r="AI891" t="inlineStr">
        <is>
          <t>L</t>
        </is>
      </c>
      <c r="AJ891" t="inlineStr"/>
      <c r="AK891" t="inlineStr"/>
      <c r="AL891" t="inlineStr"/>
      <c r="AM891" t="inlineStr">
        <is>
          <t>f/V</t>
        </is>
      </c>
      <c r="AN891" t="inlineStr"/>
      <c r="AO891" t="inlineStr"/>
      <c r="AP891" t="inlineStr"/>
      <c r="AQ891" t="inlineStr"/>
      <c r="AR891" t="inlineStr"/>
      <c r="AS891" t="inlineStr">
        <is>
          <t>Pa</t>
        </is>
      </c>
      <c r="AT891" t="inlineStr"/>
      <c r="AU891" t="inlineStr"/>
      <c r="AV891" t="inlineStr"/>
      <c r="AW891" t="inlineStr"/>
      <c r="AX891" t="inlineStr"/>
      <c r="AY891" t="inlineStr"/>
      <c r="AZ891" t="inlineStr"/>
      <c r="BA891" t="inlineStr"/>
      <c r="BB891" t="inlineStr"/>
      <c r="BC891" t="inlineStr"/>
      <c r="BD891" t="inlineStr"/>
      <c r="BE891" t="n">
        <v>2</v>
      </c>
      <c r="BF891" t="inlineStr">
        <is>
          <t>x</t>
        </is>
      </c>
      <c r="BG891" t="n">
        <v>45</v>
      </c>
      <c r="BH891" t="inlineStr"/>
      <c r="BI891" t="inlineStr"/>
      <c r="BJ891" t="inlineStr"/>
      <c r="BK891" t="inlineStr"/>
      <c r="BL891" t="inlineStr"/>
      <c r="BM891" t="inlineStr">
        <is>
          <t>n</t>
        </is>
      </c>
      <c r="BN891" t="n">
        <v>0</v>
      </c>
      <c r="BO891" t="inlineStr"/>
      <c r="BP891" t="inlineStr">
        <is>
          <t>Gewebe</t>
        </is>
      </c>
      <c r="BQ891" t="inlineStr"/>
      <c r="BR891" t="inlineStr"/>
      <c r="BS891" t="inlineStr"/>
      <c r="BT891" t="inlineStr"/>
      <c r="BU891" t="inlineStr"/>
      <c r="BV891" t="inlineStr"/>
      <c r="BW891" t="inlineStr"/>
      <c r="BX891" t="inlineStr"/>
      <c r="BY891" t="inlineStr"/>
      <c r="BZ891" t="inlineStr"/>
      <c r="CA891" t="inlineStr"/>
      <c r="CB891" t="inlineStr"/>
      <c r="CC891" t="inlineStr"/>
      <c r="CD891" t="inlineStr"/>
      <c r="CE891" t="inlineStr"/>
      <c r="CF891" t="inlineStr"/>
      <c r="CG891" t="inlineStr"/>
      <c r="CH891" t="inlineStr"/>
      <c r="CI891" t="inlineStr"/>
      <c r="CJ891" t="inlineStr"/>
      <c r="CK891" t="inlineStr"/>
      <c r="CL891" t="inlineStr"/>
      <c r="CM891" t="inlineStr"/>
      <c r="CN891" t="inlineStr"/>
      <c r="CO891" t="inlineStr"/>
      <c r="CP891" t="inlineStr"/>
      <c r="CQ891" t="inlineStr"/>
      <c r="CR891" t="inlineStr"/>
      <c r="CS891" t="inlineStr"/>
      <c r="CT891" t="inlineStr"/>
      <c r="CU891" t="inlineStr"/>
      <c r="CV891" t="inlineStr"/>
      <c r="CW891" t="inlineStr"/>
      <c r="CX891" t="inlineStr"/>
      <c r="CY891" t="inlineStr"/>
      <c r="CZ891" t="inlineStr"/>
      <c r="DA891" t="inlineStr"/>
      <c r="DB891" t="inlineStr"/>
      <c r="DC891" t="inlineStr"/>
      <c r="DD891" t="inlineStr"/>
      <c r="DE891" t="inlineStr"/>
      <c r="DF891" t="inlineStr"/>
      <c r="DG891" t="inlineStr"/>
    </row>
    <row r="892">
      <c r="A892" t="inlineStr">
        <is>
          <t>III</t>
        </is>
      </c>
      <c r="B892" t="b">
        <v>1</v>
      </c>
      <c r="C892" t="inlineStr">
        <is>
          <t>x</t>
        </is>
      </c>
      <c r="D892" t="inlineStr"/>
      <c r="E892" t="n">
        <v>975</v>
      </c>
      <c r="F892">
        <f>HYPERLINK("https://portal.dnb.de/opac.htm?method=simpleSearch&amp;cqlMode=true&amp;query=idn%3D993938299", "Portal")</f>
        <v/>
      </c>
      <c r="G892" t="inlineStr">
        <is>
          <t>Aal</t>
        </is>
      </c>
      <c r="H892" t="inlineStr">
        <is>
          <t>L-1543-154047686</t>
        </is>
      </c>
      <c r="I892" t="inlineStr">
        <is>
          <t>993938299</t>
        </is>
      </c>
      <c r="J892" t="inlineStr">
        <is>
          <t>III 101, 25</t>
        </is>
      </c>
      <c r="K892" t="inlineStr">
        <is>
          <t>III 101, 25</t>
        </is>
      </c>
      <c r="L892" t="inlineStr">
        <is>
          <t>III 101, 25</t>
        </is>
      </c>
      <c r="M892" t="inlineStr"/>
      <c r="N892" t="inlineStr">
        <is>
          <t xml:space="preserve">La @GRAMMATI||CA VOLGARE DI M. AL||BERTO DE GLI ACHA||RISI DA CENTO : </t>
        </is>
      </c>
      <c r="O892" t="inlineStr">
        <is>
          <t xml:space="preserve"> : </t>
        </is>
      </c>
      <c r="P892" t="inlineStr"/>
      <c r="Q892" t="inlineStr"/>
      <c r="R892" t="inlineStr"/>
      <c r="S892" t="inlineStr">
        <is>
          <t>bis 25 cm</t>
        </is>
      </c>
      <c r="T892" t="inlineStr"/>
      <c r="U892" t="inlineStr"/>
      <c r="V892" t="inlineStr"/>
      <c r="W892" t="inlineStr"/>
      <c r="X892" t="inlineStr"/>
      <c r="Y892" t="inlineStr"/>
      <c r="Z892" t="inlineStr"/>
      <c r="AA892" t="inlineStr"/>
      <c r="AB892" t="inlineStr"/>
      <c r="AC892" t="inlineStr"/>
      <c r="AD892" t="inlineStr"/>
      <c r="AE892" t="inlineStr"/>
      <c r="AF892" t="inlineStr"/>
      <c r="AG892" t="inlineStr"/>
      <c r="AH892" t="inlineStr"/>
      <c r="AI892" t="inlineStr">
        <is>
          <t>HG</t>
        </is>
      </c>
      <c r="AJ892" t="inlineStr"/>
      <c r="AK892" t="inlineStr"/>
      <c r="AL892" t="inlineStr">
        <is>
          <t>x</t>
        </is>
      </c>
      <c r="AM892" t="inlineStr">
        <is>
          <t>h/E</t>
        </is>
      </c>
      <c r="AN892" t="inlineStr"/>
      <c r="AO892" t="inlineStr"/>
      <c r="AP892" t="inlineStr"/>
      <c r="AQ892" t="inlineStr"/>
      <c r="AR892" t="inlineStr"/>
      <c r="AS892" t="inlineStr">
        <is>
          <t>Pa</t>
        </is>
      </c>
      <c r="AT892" t="inlineStr">
        <is>
          <t>x</t>
        </is>
      </c>
      <c r="AU892" t="inlineStr"/>
      <c r="AV892" t="inlineStr"/>
      <c r="AW892" t="inlineStr"/>
      <c r="AX892" t="inlineStr"/>
      <c r="AY892" t="inlineStr"/>
      <c r="AZ892" t="inlineStr"/>
      <c r="BA892" t="inlineStr"/>
      <c r="BB892" t="inlineStr"/>
      <c r="BC892" t="inlineStr"/>
      <c r="BD892" t="inlineStr"/>
      <c r="BE892" t="inlineStr"/>
      <c r="BF892" t="inlineStr"/>
      <c r="BG892" t="n">
        <v>110</v>
      </c>
      <c r="BH892" t="inlineStr"/>
      <c r="BI892" t="inlineStr"/>
      <c r="BJ892" t="inlineStr"/>
      <c r="BK892" t="inlineStr"/>
      <c r="BL892" t="inlineStr"/>
      <c r="BM892" t="inlineStr">
        <is>
          <t>ja vor</t>
        </is>
      </c>
      <c r="BN892" t="n">
        <v>0.5</v>
      </c>
      <c r="BO892" t="inlineStr"/>
      <c r="BP892" t="inlineStr"/>
      <c r="BQ892" t="inlineStr"/>
      <c r="BR892" t="inlineStr"/>
      <c r="BS892" t="inlineStr"/>
      <c r="BT892" t="inlineStr"/>
      <c r="BU892" t="inlineStr"/>
      <c r="BV892" t="inlineStr"/>
      <c r="BW892" t="inlineStr"/>
      <c r="BX892" t="inlineStr"/>
      <c r="BY892" t="inlineStr"/>
      <c r="BZ892" t="inlineStr"/>
      <c r="CA892" t="inlineStr">
        <is>
          <t>x</t>
        </is>
      </c>
      <c r="CB892" t="inlineStr">
        <is>
          <t>x</t>
        </is>
      </c>
      <c r="CC892" t="inlineStr"/>
      <c r="CD892" t="inlineStr"/>
      <c r="CE892" t="inlineStr"/>
      <c r="CF892" t="inlineStr"/>
      <c r="CG892" t="inlineStr"/>
      <c r="CH892" t="inlineStr"/>
      <c r="CI892" t="inlineStr"/>
      <c r="CJ892" t="inlineStr"/>
      <c r="CK892" t="inlineStr"/>
      <c r="CL892" t="inlineStr"/>
      <c r="CM892" t="n">
        <v>0.5</v>
      </c>
      <c r="CN892" t="inlineStr"/>
      <c r="CO892" t="inlineStr"/>
      <c r="CP892" t="inlineStr"/>
      <c r="CQ892" t="inlineStr"/>
      <c r="CR892" t="inlineStr"/>
      <c r="CS892" t="inlineStr"/>
      <c r="CT892" t="inlineStr"/>
      <c r="CU892" t="inlineStr"/>
      <c r="CV892" t="inlineStr"/>
      <c r="CW892" t="inlineStr"/>
      <c r="CX892" t="inlineStr"/>
      <c r="CY892" t="inlineStr"/>
      <c r="CZ892" t="inlineStr"/>
      <c r="DA892" t="inlineStr"/>
      <c r="DB892" t="inlineStr"/>
      <c r="DC892" t="inlineStr"/>
      <c r="DD892" t="inlineStr"/>
      <c r="DE892" t="inlineStr"/>
      <c r="DF892" t="inlineStr"/>
      <c r="DG892" t="inlineStr"/>
    </row>
    <row r="893">
      <c r="A893" t="inlineStr">
        <is>
          <t>III</t>
        </is>
      </c>
      <c r="B893" t="b">
        <v>1</v>
      </c>
      <c r="C893" t="inlineStr"/>
      <c r="D893" t="inlineStr"/>
      <c r="E893" t="n">
        <v>976</v>
      </c>
      <c r="F893">
        <f>HYPERLINK("https://portal.dnb.de/opac.htm?method=simpleSearch&amp;cqlMode=true&amp;query=idn%3D1066864705", "Portal")</f>
        <v/>
      </c>
      <c r="G893" t="inlineStr">
        <is>
          <t>Aaf</t>
        </is>
      </c>
      <c r="H893" t="inlineStr">
        <is>
          <t>L-1549-315323094</t>
        </is>
      </c>
      <c r="I893" t="inlineStr">
        <is>
          <t>1066864705</t>
        </is>
      </c>
      <c r="J893" t="inlineStr">
        <is>
          <t>III 101, 27</t>
        </is>
      </c>
      <c r="K893" t="inlineStr">
        <is>
          <t>III 101, 27</t>
        </is>
      </c>
      <c r="L893" t="inlineStr">
        <is>
          <t>III 101, 27 -1</t>
        </is>
      </c>
      <c r="M893" t="inlineStr"/>
      <c r="N893" t="inlineStr">
        <is>
          <t xml:space="preserve">Opera di M. Francesco Petrarca, de rimedi de l' vna et l' altra fortvna, ad Azone, tradotta per Remigio fiorentino : </t>
        </is>
      </c>
      <c r="O893" t="inlineStr">
        <is>
          <t xml:space="preserve"> : </t>
        </is>
      </c>
      <c r="P893" t="inlineStr"/>
      <c r="Q893" t="inlineStr"/>
      <c r="R893" t="inlineStr"/>
      <c r="S893" t="inlineStr">
        <is>
          <t>bis 25 cm</t>
        </is>
      </c>
      <c r="T893" t="inlineStr"/>
      <c r="U893" t="inlineStr"/>
      <c r="V893" t="inlineStr"/>
      <c r="W893" t="inlineStr"/>
      <c r="X893" t="inlineStr"/>
      <c r="Y893" t="inlineStr"/>
      <c r="Z893" t="inlineStr"/>
      <c r="AA893" t="inlineStr"/>
      <c r="AB893" t="inlineStr"/>
      <c r="AC893" t="inlineStr"/>
      <c r="AD893" t="inlineStr"/>
      <c r="AE893" t="inlineStr"/>
      <c r="AF893" t="inlineStr"/>
      <c r="AG893" t="inlineStr"/>
      <c r="AH893" t="inlineStr"/>
      <c r="AI893" t="inlineStr">
        <is>
          <t>Pa</t>
        </is>
      </c>
      <c r="AJ893" t="inlineStr"/>
      <c r="AK893" t="inlineStr"/>
      <c r="AL893" t="inlineStr"/>
      <c r="AM893" t="inlineStr">
        <is>
          <t>f</t>
        </is>
      </c>
      <c r="AN893" t="inlineStr"/>
      <c r="AO893" t="inlineStr"/>
      <c r="AP893" t="inlineStr"/>
      <c r="AQ893" t="inlineStr"/>
      <c r="AR893" t="inlineStr"/>
      <c r="AS893" t="inlineStr">
        <is>
          <t>Pa</t>
        </is>
      </c>
      <c r="AT893" t="inlineStr"/>
      <c r="AU893" t="inlineStr"/>
      <c r="AV893" t="inlineStr"/>
      <c r="AW893" t="inlineStr"/>
      <c r="AX893" t="inlineStr"/>
      <c r="AY893" t="inlineStr"/>
      <c r="AZ893" t="inlineStr"/>
      <c r="BA893" t="inlineStr"/>
      <c r="BB893" t="inlineStr"/>
      <c r="BC893" t="inlineStr"/>
      <c r="BD893" t="inlineStr"/>
      <c r="BE893" t="inlineStr"/>
      <c r="BF893" t="inlineStr"/>
      <c r="BG893" t="n">
        <v>60</v>
      </c>
      <c r="BH893" t="inlineStr"/>
      <c r="BI893" t="inlineStr"/>
      <c r="BJ893" t="inlineStr"/>
      <c r="BK893" t="inlineStr"/>
      <c r="BL893" t="inlineStr"/>
      <c r="BM893" t="inlineStr">
        <is>
          <t>n</t>
        </is>
      </c>
      <c r="BN893" t="n">
        <v>0</v>
      </c>
      <c r="BO893" t="inlineStr"/>
      <c r="BP893" t="inlineStr"/>
      <c r="BQ893" t="inlineStr"/>
      <c r="BR893" t="inlineStr"/>
      <c r="BS893" t="inlineStr"/>
      <c r="BT893" t="inlineStr"/>
      <c r="BU893" t="inlineStr"/>
      <c r="BV893" t="inlineStr"/>
      <c r="BW893" t="inlineStr"/>
      <c r="BX893" t="inlineStr"/>
      <c r="BY893" t="inlineStr"/>
      <c r="BZ893" t="inlineStr"/>
      <c r="CA893" t="inlineStr"/>
      <c r="CB893" t="inlineStr"/>
      <c r="CC893" t="inlineStr"/>
      <c r="CD893" t="inlineStr"/>
      <c r="CE893" t="inlineStr"/>
      <c r="CF893" t="inlineStr"/>
      <c r="CG893" t="inlineStr"/>
      <c r="CH893" t="inlineStr"/>
      <c r="CI893" t="inlineStr"/>
      <c r="CJ893" t="inlineStr"/>
      <c r="CK893" t="inlineStr"/>
      <c r="CL893" t="inlineStr"/>
      <c r="CM893" t="inlineStr"/>
      <c r="CN893" t="inlineStr"/>
      <c r="CO893" t="inlineStr"/>
      <c r="CP893" t="inlineStr"/>
      <c r="CQ893" t="inlineStr"/>
      <c r="CR893" t="inlineStr"/>
      <c r="CS893" t="inlineStr"/>
      <c r="CT893" t="inlineStr"/>
      <c r="CU893" t="inlineStr"/>
      <c r="CV893" t="inlineStr"/>
      <c r="CW893" t="inlineStr"/>
      <c r="CX893" t="inlineStr"/>
      <c r="CY893" t="inlineStr"/>
      <c r="CZ893" t="inlineStr"/>
      <c r="DA893" t="inlineStr"/>
      <c r="DB893" t="inlineStr"/>
      <c r="DC893" t="inlineStr"/>
      <c r="DD893" t="inlineStr"/>
      <c r="DE893" t="inlineStr"/>
      <c r="DF893" t="inlineStr"/>
      <c r="DG893" t="inlineStr"/>
    </row>
    <row r="894">
      <c r="A894" t="inlineStr">
        <is>
          <t>III</t>
        </is>
      </c>
      <c r="B894" t="b">
        <v>0</v>
      </c>
      <c r="C894" t="inlineStr"/>
      <c r="D894" t="inlineStr"/>
      <c r="E894" t="inlineStr"/>
      <c r="F894">
        <f>HYPERLINK("https://portal.dnb.de/opac.htm?method=simpleSearch&amp;cqlMode=true&amp;query=idn%3D", "Portal")</f>
        <v/>
      </c>
      <c r="G894" t="inlineStr"/>
      <c r="H894" t="inlineStr"/>
      <c r="I894" t="inlineStr"/>
      <c r="J894" t="inlineStr"/>
      <c r="K894" t="inlineStr"/>
      <c r="L894" t="inlineStr">
        <is>
          <t>III 101, 27 -2</t>
        </is>
      </c>
      <c r="M894" t="inlineStr"/>
      <c r="N894" t="inlineStr"/>
      <c r="O894" t="inlineStr"/>
      <c r="P894" t="inlineStr"/>
      <c r="Q894" t="inlineStr"/>
      <c r="R894" t="inlineStr"/>
      <c r="S894" t="inlineStr">
        <is>
          <t>bis 25 cm</t>
        </is>
      </c>
      <c r="T894" t="inlineStr"/>
      <c r="U894" t="inlineStr"/>
      <c r="V894" t="inlineStr"/>
      <c r="W894" t="inlineStr"/>
      <c r="X894" t="inlineStr"/>
      <c r="Y894" t="inlineStr"/>
      <c r="Z894" t="inlineStr"/>
      <c r="AA894" t="inlineStr"/>
      <c r="AB894" t="inlineStr"/>
      <c r="AC894" t="inlineStr"/>
      <c r="AD894" t="inlineStr"/>
      <c r="AE894" t="inlineStr"/>
      <c r="AF894" t="inlineStr"/>
      <c r="AG894" t="inlineStr"/>
      <c r="AH894" t="inlineStr"/>
      <c r="AI894" t="inlineStr">
        <is>
          <t>Pa</t>
        </is>
      </c>
      <c r="AJ894" t="inlineStr"/>
      <c r="AK894" t="inlineStr"/>
      <c r="AL894" t="inlineStr"/>
      <c r="AM894" t="inlineStr">
        <is>
          <t>f</t>
        </is>
      </c>
      <c r="AN894" t="inlineStr"/>
      <c r="AO894" t="inlineStr"/>
      <c r="AP894" t="inlineStr"/>
      <c r="AQ894" t="inlineStr"/>
      <c r="AR894" t="inlineStr"/>
      <c r="AS894" t="inlineStr">
        <is>
          <t>Pa</t>
        </is>
      </c>
      <c r="AT894" t="inlineStr"/>
      <c r="AU894" t="inlineStr"/>
      <c r="AV894" t="inlineStr"/>
      <c r="AW894" t="inlineStr"/>
      <c r="AX894" t="inlineStr"/>
      <c r="AY894" t="inlineStr"/>
      <c r="AZ894" t="inlineStr"/>
      <c r="BA894" t="inlineStr"/>
      <c r="BB894" t="inlineStr"/>
      <c r="BC894" t="inlineStr"/>
      <c r="BD894" t="inlineStr"/>
      <c r="BE894" t="inlineStr"/>
      <c r="BF894" t="inlineStr"/>
      <c r="BG894" t="n">
        <v>60</v>
      </c>
      <c r="BH894" t="inlineStr"/>
      <c r="BI894" t="inlineStr"/>
      <c r="BJ894" t="inlineStr"/>
      <c r="BK894" t="inlineStr"/>
      <c r="BL894" t="inlineStr"/>
      <c r="BM894" t="inlineStr">
        <is>
          <t>n</t>
        </is>
      </c>
      <c r="BN894" t="n">
        <v>0</v>
      </c>
      <c r="BO894" t="inlineStr"/>
      <c r="BP894" t="inlineStr"/>
      <c r="BQ894" t="inlineStr"/>
      <c r="BR894" t="inlineStr"/>
      <c r="BS894" t="inlineStr"/>
      <c r="BT894" t="inlineStr"/>
      <c r="BU894" t="inlineStr"/>
      <c r="BV894" t="inlineStr"/>
      <c r="BW894" t="inlineStr"/>
      <c r="BX894" t="inlineStr"/>
      <c r="BY894" t="inlineStr"/>
      <c r="BZ894" t="inlineStr"/>
      <c r="CA894" t="inlineStr"/>
      <c r="CB894" t="inlineStr"/>
      <c r="CC894" t="inlineStr"/>
      <c r="CD894" t="inlineStr"/>
      <c r="CE894" t="inlineStr"/>
      <c r="CF894" t="inlineStr"/>
      <c r="CG894" t="inlineStr"/>
      <c r="CH894" t="inlineStr"/>
      <c r="CI894" t="inlineStr"/>
      <c r="CJ894" t="inlineStr"/>
      <c r="CK894" t="inlineStr"/>
      <c r="CL894" t="inlineStr"/>
      <c r="CM894" t="inlineStr"/>
      <c r="CN894" t="inlineStr"/>
      <c r="CO894" t="inlineStr"/>
      <c r="CP894" t="inlineStr"/>
      <c r="CQ894" t="inlineStr"/>
      <c r="CR894" t="inlineStr"/>
      <c r="CS894" t="inlineStr"/>
      <c r="CT894" t="inlineStr"/>
      <c r="CU894" t="inlineStr"/>
      <c r="CV894" t="inlineStr"/>
      <c r="CW894" t="inlineStr"/>
      <c r="CX894" t="inlineStr"/>
      <c r="CY894" t="inlineStr"/>
      <c r="CZ894" t="inlineStr"/>
      <c r="DA894" t="inlineStr"/>
      <c r="DB894" t="inlineStr"/>
      <c r="DC894" t="inlineStr"/>
      <c r="DD894" t="inlineStr"/>
      <c r="DE894" t="inlineStr"/>
      <c r="DF894" t="inlineStr"/>
      <c r="DG894" t="inlineStr"/>
    </row>
    <row r="895">
      <c r="A895" t="inlineStr">
        <is>
          <t>III</t>
        </is>
      </c>
      <c r="B895" t="b">
        <v>1</v>
      </c>
      <c r="C895" t="inlineStr"/>
      <c r="D895" t="inlineStr"/>
      <c r="E895" t="n">
        <v>1008</v>
      </c>
      <c r="F895">
        <f>HYPERLINK("https://portal.dnb.de/opac.htm?method=simpleSearch&amp;cqlMode=true&amp;query=idn%3D999822306", "Portal")</f>
        <v/>
      </c>
      <c r="G895" t="inlineStr">
        <is>
          <t>Aal</t>
        </is>
      </c>
      <c r="H895" t="inlineStr">
        <is>
          <t>L-1557-169504190</t>
        </is>
      </c>
      <c r="I895" t="inlineStr">
        <is>
          <t>999822306</t>
        </is>
      </c>
      <c r="J895" t="inlineStr">
        <is>
          <t>III 101, 27 a</t>
        </is>
      </c>
      <c r="K895" t="inlineStr">
        <is>
          <t>III 101, 27 a</t>
        </is>
      </c>
      <c r="L895" t="inlineStr">
        <is>
          <t>III 101, 27 a</t>
        </is>
      </c>
      <c r="M895" t="inlineStr"/>
      <c r="N895" t="inlineStr">
        <is>
          <t>Le @Transformationi di [Publius Ovidius Naso, übers. von] M. Lodovico Dolce : In qvesta qvarta impressione da lui in molti luoghi ricorrette ; Con Pri</t>
        </is>
      </c>
      <c r="O895" t="inlineStr">
        <is>
          <t xml:space="preserve"> : </t>
        </is>
      </c>
      <c r="P895" t="inlineStr"/>
      <c r="Q895" t="inlineStr"/>
      <c r="R895" t="inlineStr"/>
      <c r="S895" t="inlineStr">
        <is>
          <t>bis 25 cm</t>
        </is>
      </c>
      <c r="T895" t="inlineStr"/>
      <c r="U895" t="inlineStr"/>
      <c r="V895" t="inlineStr"/>
      <c r="W895" t="inlineStr"/>
      <c r="X895" t="inlineStr"/>
      <c r="Y895" t="inlineStr"/>
      <c r="Z895" t="inlineStr"/>
      <c r="AA895" t="inlineStr"/>
      <c r="AB895" t="inlineStr"/>
      <c r="AC895" t="inlineStr"/>
      <c r="AD895" t="inlineStr"/>
      <c r="AE895" t="inlineStr"/>
      <c r="AF895" t="inlineStr"/>
      <c r="AG895" t="inlineStr"/>
      <c r="AH895" t="inlineStr"/>
      <c r="AI895" t="inlineStr">
        <is>
          <t>HL</t>
        </is>
      </c>
      <c r="AJ895" t="inlineStr"/>
      <c r="AK895" t="inlineStr"/>
      <c r="AL895" t="inlineStr"/>
      <c r="AM895" t="inlineStr">
        <is>
          <t>f/V</t>
        </is>
      </c>
      <c r="AN895" t="inlineStr"/>
      <c r="AO895" t="inlineStr"/>
      <c r="AP895" t="inlineStr"/>
      <c r="AQ895" t="inlineStr"/>
      <c r="AR895" t="inlineStr"/>
      <c r="AS895" t="inlineStr">
        <is>
          <t>Pa</t>
        </is>
      </c>
      <c r="AT895" t="inlineStr"/>
      <c r="AU895" t="inlineStr"/>
      <c r="AV895" t="inlineStr"/>
      <c r="AW895" t="inlineStr"/>
      <c r="AX895" t="inlineStr"/>
      <c r="AY895" t="inlineStr"/>
      <c r="AZ895" t="inlineStr"/>
      <c r="BA895" t="inlineStr"/>
      <c r="BB895" t="inlineStr"/>
      <c r="BC895" t="inlineStr"/>
      <c r="BD895" t="inlineStr"/>
      <c r="BE895" t="inlineStr"/>
      <c r="BF895" t="inlineStr"/>
      <c r="BG895" t="n">
        <v>110</v>
      </c>
      <c r="BH895" t="inlineStr"/>
      <c r="BI895" t="inlineStr"/>
      <c r="BJ895" t="inlineStr"/>
      <c r="BK895" t="inlineStr"/>
      <c r="BL895" t="inlineStr"/>
      <c r="BM895" t="inlineStr">
        <is>
          <t>n</t>
        </is>
      </c>
      <c r="BN895" t="n">
        <v>0</v>
      </c>
      <c r="BO895" t="inlineStr"/>
      <c r="BP895" t="inlineStr"/>
      <c r="BQ895" t="inlineStr"/>
      <c r="BR895" t="inlineStr"/>
      <c r="BS895" t="inlineStr"/>
      <c r="BT895" t="inlineStr"/>
      <c r="BU895" t="inlineStr"/>
      <c r="BV895" t="inlineStr"/>
      <c r="BW895" t="inlineStr"/>
      <c r="BX895" t="inlineStr"/>
      <c r="BY895" t="inlineStr"/>
      <c r="BZ895" t="inlineStr"/>
      <c r="CA895" t="inlineStr"/>
      <c r="CB895" t="inlineStr"/>
      <c r="CC895" t="inlineStr"/>
      <c r="CD895" t="inlineStr"/>
      <c r="CE895" t="inlineStr"/>
      <c r="CF895" t="inlineStr"/>
      <c r="CG895" t="inlineStr"/>
      <c r="CH895" t="inlineStr"/>
      <c r="CI895" t="inlineStr"/>
      <c r="CJ895" t="inlineStr"/>
      <c r="CK895" t="inlineStr"/>
      <c r="CL895" t="inlineStr"/>
      <c r="CM895" t="inlineStr"/>
      <c r="CN895" t="inlineStr"/>
      <c r="CO895" t="inlineStr"/>
      <c r="CP895" t="inlineStr"/>
      <c r="CQ895" t="inlineStr"/>
      <c r="CR895" t="inlineStr"/>
      <c r="CS895" t="inlineStr"/>
      <c r="CT895" t="inlineStr"/>
      <c r="CU895" t="inlineStr"/>
      <c r="CV895" t="inlineStr"/>
      <c r="CW895" t="inlineStr"/>
      <c r="CX895" t="inlineStr"/>
      <c r="CY895" t="inlineStr"/>
      <c r="CZ895" t="inlineStr"/>
      <c r="DA895" t="inlineStr"/>
      <c r="DB895" t="inlineStr"/>
      <c r="DC895" t="inlineStr"/>
      <c r="DD895" t="inlineStr"/>
      <c r="DE895" t="inlineStr"/>
      <c r="DF895" t="inlineStr"/>
      <c r="DG895" t="inlineStr"/>
    </row>
    <row r="896">
      <c r="A896" t="inlineStr">
        <is>
          <t>III</t>
        </is>
      </c>
      <c r="B896" t="b">
        <v>1</v>
      </c>
      <c r="C896" t="inlineStr">
        <is>
          <t>x</t>
        </is>
      </c>
      <c r="D896" t="inlineStr"/>
      <c r="E896" t="n">
        <v>977</v>
      </c>
      <c r="F896">
        <f>HYPERLINK("https://portal.dnb.de/opac.htm?method=simpleSearch&amp;cqlMode=true&amp;query=idn%3D1066850593", "Portal")</f>
        <v/>
      </c>
      <c r="G896" t="inlineStr">
        <is>
          <t>Aaf</t>
        </is>
      </c>
      <c r="H896" t="inlineStr">
        <is>
          <t>L-5305-31530958X</t>
        </is>
      </c>
      <c r="I896" t="inlineStr">
        <is>
          <t>1066850593</t>
        </is>
      </c>
      <c r="J896" t="inlineStr">
        <is>
          <t>III 101, 28</t>
        </is>
      </c>
      <c r="K896" t="inlineStr">
        <is>
          <t>III 101, 28</t>
        </is>
      </c>
      <c r="L896" t="inlineStr">
        <is>
          <t>III 101, 28</t>
        </is>
      </c>
      <c r="M896" t="inlineStr"/>
      <c r="N896" t="inlineStr">
        <is>
          <t xml:space="preserve">Hamiša hunše torah : </t>
        </is>
      </c>
      <c r="O896" t="inlineStr">
        <is>
          <t xml:space="preserve"> : </t>
        </is>
      </c>
      <c r="P896" t="inlineStr"/>
      <c r="Q896" t="inlineStr"/>
      <c r="R896" t="inlineStr"/>
      <c r="S896" t="inlineStr">
        <is>
          <t>bis 25 cm</t>
        </is>
      </c>
      <c r="T896" t="inlineStr"/>
      <c r="U896" t="inlineStr"/>
      <c r="V896" t="inlineStr"/>
      <c r="W896" t="inlineStr"/>
      <c r="X896" t="inlineStr"/>
      <c r="Y896" t="inlineStr"/>
      <c r="Z896" t="inlineStr"/>
      <c r="AA896" t="inlineStr"/>
      <c r="AB896" t="inlineStr"/>
      <c r="AC896" t="inlineStr"/>
      <c r="AD896" t="inlineStr"/>
      <c r="AE896" t="inlineStr"/>
      <c r="AF896" t="inlineStr"/>
      <c r="AG896" t="inlineStr"/>
      <c r="AH896" t="inlineStr"/>
      <c r="AI896" t="inlineStr">
        <is>
          <t>L</t>
        </is>
      </c>
      <c r="AJ896" t="inlineStr"/>
      <c r="AK896" t="inlineStr"/>
      <c r="AL896" t="inlineStr"/>
      <c r="AM896" t="inlineStr">
        <is>
          <t>f</t>
        </is>
      </c>
      <c r="AN896" t="inlineStr"/>
      <c r="AO896" t="inlineStr">
        <is>
          <t>x</t>
        </is>
      </c>
      <c r="AP896" t="inlineStr"/>
      <c r="AQ896" t="inlineStr"/>
      <c r="AR896" t="inlineStr"/>
      <c r="AS896" t="inlineStr">
        <is>
          <t>Pa</t>
        </is>
      </c>
      <c r="AT896" t="inlineStr"/>
      <c r="AU896" t="inlineStr"/>
      <c r="AV896" t="inlineStr"/>
      <c r="AW896" t="inlineStr"/>
      <c r="AX896" t="inlineStr"/>
      <c r="AY896" t="inlineStr"/>
      <c r="AZ896" t="inlineStr"/>
      <c r="BA896" t="inlineStr"/>
      <c r="BB896" t="inlineStr"/>
      <c r="BC896" t="inlineStr"/>
      <c r="BD896" t="inlineStr"/>
      <c r="BE896" t="inlineStr"/>
      <c r="BF896" t="inlineStr"/>
      <c r="BG896" t="n">
        <v>45</v>
      </c>
      <c r="BH896" t="inlineStr"/>
      <c r="BI896" t="inlineStr"/>
      <c r="BJ896" t="inlineStr"/>
      <c r="BK896" t="inlineStr"/>
      <c r="BL896" t="inlineStr"/>
      <c r="BM896" t="inlineStr">
        <is>
          <t>ja vor</t>
        </is>
      </c>
      <c r="BN896" t="n">
        <v>1</v>
      </c>
      <c r="BO896" t="inlineStr"/>
      <c r="BP896" t="inlineStr">
        <is>
          <t>Wellpappe</t>
        </is>
      </c>
      <c r="BQ896" t="inlineStr"/>
      <c r="BR896" t="inlineStr"/>
      <c r="BS896" t="inlineStr"/>
      <c r="BT896" t="inlineStr"/>
      <c r="BU896" t="inlineStr"/>
      <c r="BV896" t="inlineStr"/>
      <c r="BW896" t="inlineStr"/>
      <c r="BX896" t="inlineStr"/>
      <c r="BY896" t="inlineStr">
        <is>
          <t>Umschlag (Leder pudert)</t>
        </is>
      </c>
      <c r="BZ896" t="inlineStr"/>
      <c r="CA896" t="inlineStr">
        <is>
          <t>x</t>
        </is>
      </c>
      <c r="CB896" t="inlineStr">
        <is>
          <t>x</t>
        </is>
      </c>
      <c r="CC896" t="inlineStr"/>
      <c r="CD896" t="inlineStr"/>
      <c r="CE896" t="inlineStr"/>
      <c r="CF896" t="inlineStr"/>
      <c r="CG896" t="inlineStr"/>
      <c r="CH896" t="inlineStr"/>
      <c r="CI896" t="inlineStr"/>
      <c r="CJ896" t="inlineStr"/>
      <c r="CK896" t="inlineStr"/>
      <c r="CL896" t="inlineStr"/>
      <c r="CM896" t="n">
        <v>1</v>
      </c>
      <c r="CN896" t="inlineStr">
        <is>
          <t>evtl. festigen mit Klucel</t>
        </is>
      </c>
      <c r="CO896" t="inlineStr"/>
      <c r="CP896" t="inlineStr"/>
      <c r="CQ896" t="inlineStr"/>
      <c r="CR896" t="inlineStr"/>
      <c r="CS896" t="inlineStr"/>
      <c r="CT896" t="inlineStr"/>
      <c r="CU896" t="inlineStr"/>
      <c r="CV896" t="inlineStr"/>
      <c r="CW896" t="inlineStr"/>
      <c r="CX896" t="inlineStr"/>
      <c r="CY896" t="inlineStr"/>
      <c r="CZ896" t="inlineStr"/>
      <c r="DA896" t="inlineStr"/>
      <c r="DB896" t="inlineStr"/>
      <c r="DC896" t="inlineStr"/>
      <c r="DD896" t="inlineStr"/>
      <c r="DE896" t="inlineStr"/>
      <c r="DF896" t="inlineStr"/>
      <c r="DG896" t="inlineStr"/>
    </row>
    <row r="897">
      <c r="A897" t="inlineStr">
        <is>
          <t>III</t>
        </is>
      </c>
      <c r="B897" t="b">
        <v>1</v>
      </c>
      <c r="C897" t="inlineStr"/>
      <c r="D897" t="inlineStr"/>
      <c r="E897" t="n">
        <v>978</v>
      </c>
      <c r="F897">
        <f>HYPERLINK("https://portal.dnb.de/opac.htm?method=simpleSearch&amp;cqlMode=true&amp;query=idn%3D1066865108", "Portal")</f>
        <v/>
      </c>
      <c r="G897" t="inlineStr">
        <is>
          <t>Aaf</t>
        </is>
      </c>
      <c r="H897" t="inlineStr">
        <is>
          <t>L-1548-315323426</t>
        </is>
      </c>
      <c r="I897" t="inlineStr">
        <is>
          <t>1066865108</t>
        </is>
      </c>
      <c r="J897" t="inlineStr">
        <is>
          <t>III 101, 29</t>
        </is>
      </c>
      <c r="K897" t="inlineStr">
        <is>
          <t>III 101, 29</t>
        </is>
      </c>
      <c r="L897" t="inlineStr">
        <is>
          <t>III 101, 29</t>
        </is>
      </c>
      <c r="M897" t="inlineStr"/>
      <c r="N897" t="inlineStr">
        <is>
          <t>La @geografia di Clavdio Ptolemeo Alessandrino : con alcuni comenti &amp; aggiunte fatteui da Sebastiano munstero Alamanno, Con le tauole non solamente an</t>
        </is>
      </c>
      <c r="O897" t="inlineStr">
        <is>
          <t xml:space="preserve"> : </t>
        </is>
      </c>
      <c r="P897" t="inlineStr"/>
      <c r="Q897" t="inlineStr"/>
      <c r="R897" t="inlineStr"/>
      <c r="S897" t="inlineStr">
        <is>
          <t>bis 25 cm</t>
        </is>
      </c>
      <c r="T897" t="inlineStr"/>
      <c r="U897" t="inlineStr"/>
      <c r="V897" t="inlineStr"/>
      <c r="W897" t="inlineStr"/>
      <c r="X897" t="inlineStr"/>
      <c r="Y897" t="inlineStr"/>
      <c r="Z897" t="inlineStr"/>
      <c r="AA897" t="inlineStr"/>
      <c r="AB897" t="inlineStr"/>
      <c r="AC897" t="inlineStr"/>
      <c r="AD897" t="inlineStr"/>
      <c r="AE897" t="inlineStr"/>
      <c r="AF897" t="inlineStr"/>
      <c r="AG897" t="inlineStr"/>
      <c r="AH897" t="inlineStr"/>
      <c r="AI897" t="inlineStr">
        <is>
          <t>L</t>
        </is>
      </c>
      <c r="AJ897" t="inlineStr"/>
      <c r="AK897" t="inlineStr"/>
      <c r="AL897" t="inlineStr">
        <is>
          <t>x</t>
        </is>
      </c>
      <c r="AM897" t="inlineStr">
        <is>
          <t>f/V</t>
        </is>
      </c>
      <c r="AN897" t="inlineStr"/>
      <c r="AO897" t="inlineStr"/>
      <c r="AP897" t="inlineStr"/>
      <c r="AQ897" t="inlineStr"/>
      <c r="AR897" t="inlineStr"/>
      <c r="AS897" t="inlineStr">
        <is>
          <t>Pa</t>
        </is>
      </c>
      <c r="AT897" t="inlineStr"/>
      <c r="AU897" t="inlineStr"/>
      <c r="AV897" t="inlineStr"/>
      <c r="AW897" t="inlineStr"/>
      <c r="AX897" t="inlineStr"/>
      <c r="AY897" t="inlineStr"/>
      <c r="AZ897" t="inlineStr"/>
      <c r="BA897" t="inlineStr"/>
      <c r="BB897" t="inlineStr"/>
      <c r="BC897" t="inlineStr"/>
      <c r="BD897" t="inlineStr"/>
      <c r="BE897" t="inlineStr"/>
      <c r="BF897" t="inlineStr"/>
      <c r="BG897" t="n">
        <v>45</v>
      </c>
      <c r="BH897" t="inlineStr"/>
      <c r="BI897" t="inlineStr"/>
      <c r="BJ897" t="inlineStr"/>
      <c r="BK897" t="inlineStr"/>
      <c r="BL897" t="inlineStr"/>
      <c r="BM897" t="inlineStr">
        <is>
          <t>n</t>
        </is>
      </c>
      <c r="BN897" t="n">
        <v>0</v>
      </c>
      <c r="BO897" t="inlineStr"/>
      <c r="BP897" t="inlineStr">
        <is>
          <t>Gewebe</t>
        </is>
      </c>
      <c r="BQ897" t="inlineStr"/>
      <c r="BR897" t="inlineStr"/>
      <c r="BS897" t="inlineStr"/>
      <c r="BT897" t="inlineStr"/>
      <c r="BU897" t="inlineStr"/>
      <c r="BV897" t="inlineStr">
        <is>
          <t>Rücken ist bereits gebrochen, scheint aber stabil genug</t>
        </is>
      </c>
      <c r="BW897" t="inlineStr"/>
      <c r="BX897" t="inlineStr"/>
      <c r="BY897" t="inlineStr"/>
      <c r="BZ897" t="inlineStr"/>
      <c r="CA897" t="inlineStr"/>
      <c r="CB897" t="inlineStr"/>
      <c r="CC897" t="inlineStr"/>
      <c r="CD897" t="inlineStr"/>
      <c r="CE897" t="inlineStr"/>
      <c r="CF897" t="inlineStr"/>
      <c r="CG897" t="inlineStr"/>
      <c r="CH897" t="inlineStr"/>
      <c r="CI897" t="inlineStr"/>
      <c r="CJ897" t="inlineStr"/>
      <c r="CK897" t="inlineStr"/>
      <c r="CL897" t="inlineStr"/>
      <c r="CM897" t="inlineStr"/>
      <c r="CN897" t="inlineStr"/>
      <c r="CO897" t="inlineStr"/>
      <c r="CP897" t="inlineStr"/>
      <c r="CQ897" t="inlineStr"/>
      <c r="CR897" t="inlineStr"/>
      <c r="CS897" t="inlineStr"/>
      <c r="CT897" t="inlineStr"/>
      <c r="CU897" t="inlineStr"/>
      <c r="CV897" t="inlineStr"/>
      <c r="CW897" t="inlineStr"/>
      <c r="CX897" t="inlineStr"/>
      <c r="CY897" t="inlineStr"/>
      <c r="CZ897" t="inlineStr"/>
      <c r="DA897" t="inlineStr"/>
      <c r="DB897" t="inlineStr"/>
      <c r="DC897" t="inlineStr"/>
      <c r="DD897" t="inlineStr"/>
      <c r="DE897" t="inlineStr"/>
      <c r="DF897" t="inlineStr"/>
      <c r="DG897" t="inlineStr"/>
    </row>
    <row r="898">
      <c r="A898" t="inlineStr">
        <is>
          <t>III</t>
        </is>
      </c>
      <c r="B898" t="b">
        <v>1</v>
      </c>
      <c r="C898" t="inlineStr"/>
      <c r="D898" t="inlineStr"/>
      <c r="E898" t="n">
        <v>980</v>
      </c>
      <c r="F898">
        <f>HYPERLINK("https://portal.dnb.de/opac.htm?method=simpleSearch&amp;cqlMode=true&amp;query=idn%3D100005554X", "Portal")</f>
        <v/>
      </c>
      <c r="G898" t="inlineStr">
        <is>
          <t>Afl</t>
        </is>
      </c>
      <c r="H898" t="inlineStr">
        <is>
          <t>L-1503-169953904</t>
        </is>
      </c>
      <c r="I898" t="inlineStr">
        <is>
          <t>100005554X</t>
        </is>
      </c>
      <c r="J898" t="inlineStr">
        <is>
          <t>III 101, 30</t>
        </is>
      </c>
      <c r="K898" t="inlineStr">
        <is>
          <t>III 101, 30</t>
        </is>
      </c>
      <c r="L898" t="inlineStr">
        <is>
          <t>III 101, 30</t>
        </is>
      </c>
      <c r="M898" t="inlineStr"/>
      <c r="N898" t="inlineStr">
        <is>
          <t>Cosmographia Pape Pij.|| Asia Papae Pii: Historiam rerum ubiq. gestarum cū lo-||corum descriptione complectitur||</t>
        </is>
      </c>
      <c r="O898" t="inlineStr">
        <is>
          <t>[Teil 2.] : Europa Pii Pontificis nostrorum temporum uarias continens historias fehlt</t>
        </is>
      </c>
      <c r="P898" t="inlineStr"/>
      <c r="Q898" t="inlineStr"/>
      <c r="R898" t="inlineStr"/>
      <c r="S898" t="inlineStr">
        <is>
          <t>bis 25 cm</t>
        </is>
      </c>
      <c r="T898" t="inlineStr"/>
      <c r="U898" t="inlineStr"/>
      <c r="V898" t="inlineStr"/>
      <c r="W898" t="inlineStr"/>
      <c r="X898" t="inlineStr"/>
      <c r="Y898" t="inlineStr"/>
      <c r="Z898" t="inlineStr"/>
      <c r="AA898" t="inlineStr"/>
      <c r="AB898" t="inlineStr"/>
      <c r="AC898" t="inlineStr"/>
      <c r="AD898" t="inlineStr"/>
      <c r="AE898" t="inlineStr"/>
      <c r="AF898" t="inlineStr"/>
      <c r="AG898" t="inlineStr"/>
      <c r="AH898" t="inlineStr"/>
      <c r="AI898" t="inlineStr">
        <is>
          <t>L</t>
        </is>
      </c>
      <c r="AJ898" t="inlineStr"/>
      <c r="AK898" t="inlineStr"/>
      <c r="AL898" t="inlineStr">
        <is>
          <t>x</t>
        </is>
      </c>
      <c r="AM898" t="inlineStr">
        <is>
          <t>f</t>
        </is>
      </c>
      <c r="AN898" t="inlineStr"/>
      <c r="AO898" t="inlineStr"/>
      <c r="AP898" t="inlineStr"/>
      <c r="AQ898" t="inlineStr"/>
      <c r="AR898" t="inlineStr"/>
      <c r="AS898" t="inlineStr">
        <is>
          <t>Pa</t>
        </is>
      </c>
      <c r="AT898" t="inlineStr"/>
      <c r="AU898" t="inlineStr"/>
      <c r="AV898" t="inlineStr"/>
      <c r="AW898" t="inlineStr"/>
      <c r="AX898" t="inlineStr"/>
      <c r="AY898" t="inlineStr"/>
      <c r="AZ898" t="inlineStr"/>
      <c r="BA898" t="inlineStr"/>
      <c r="BB898" t="inlineStr"/>
      <c r="BC898" t="inlineStr"/>
      <c r="BD898" t="inlineStr"/>
      <c r="BE898" t="inlineStr"/>
      <c r="BF898" t="inlineStr"/>
      <c r="BG898" t="n">
        <v>110</v>
      </c>
      <c r="BH898" t="inlineStr"/>
      <c r="BI898" t="inlineStr"/>
      <c r="BJ898" t="inlineStr"/>
      <c r="BK898" t="inlineStr"/>
      <c r="BL898" t="inlineStr"/>
      <c r="BM898" t="inlineStr">
        <is>
          <t>n</t>
        </is>
      </c>
      <c r="BN898" t="n">
        <v>0</v>
      </c>
      <c r="BO898" t="inlineStr"/>
      <c r="BP898" t="inlineStr">
        <is>
          <t>Gewebe</t>
        </is>
      </c>
      <c r="BQ898" t="inlineStr"/>
      <c r="BR898" t="inlineStr"/>
      <c r="BS898" t="inlineStr"/>
      <c r="BT898" t="inlineStr"/>
      <c r="BU898" t="inlineStr"/>
      <c r="BV898" t="inlineStr"/>
      <c r="BW898" t="inlineStr"/>
      <c r="BX898" t="inlineStr"/>
      <c r="BY898" t="inlineStr"/>
      <c r="BZ898" t="inlineStr"/>
      <c r="CA898" t="inlineStr"/>
      <c r="CB898" t="inlineStr"/>
      <c r="CC898" t="inlineStr"/>
      <c r="CD898" t="inlineStr"/>
      <c r="CE898" t="inlineStr"/>
      <c r="CF898" t="inlineStr"/>
      <c r="CG898" t="inlineStr"/>
      <c r="CH898" t="inlineStr"/>
      <c r="CI898" t="inlineStr"/>
      <c r="CJ898" t="inlineStr"/>
      <c r="CK898" t="inlineStr"/>
      <c r="CL898" t="inlineStr"/>
      <c r="CM898" t="inlineStr"/>
      <c r="CN898" t="inlineStr"/>
      <c r="CO898" t="inlineStr"/>
      <c r="CP898" t="inlineStr"/>
      <c r="CQ898" t="inlineStr"/>
      <c r="CR898" t="inlineStr"/>
      <c r="CS898" t="inlineStr"/>
      <c r="CT898" t="inlineStr"/>
      <c r="CU898" t="inlineStr"/>
      <c r="CV898" t="inlineStr"/>
      <c r="CW898" t="inlineStr"/>
      <c r="CX898" t="inlineStr"/>
      <c r="CY898" t="inlineStr"/>
      <c r="CZ898" t="inlineStr"/>
      <c r="DA898" t="inlineStr"/>
      <c r="DB898" t="inlineStr"/>
      <c r="DC898" t="inlineStr"/>
      <c r="DD898" t="inlineStr"/>
      <c r="DE898" t="inlineStr"/>
      <c r="DF898" t="inlineStr"/>
      <c r="DG898" t="inlineStr"/>
    </row>
    <row r="899">
      <c r="A899" t="inlineStr">
        <is>
          <t>III</t>
        </is>
      </c>
      <c r="B899" t="b">
        <v>1</v>
      </c>
      <c r="C899" t="inlineStr"/>
      <c r="D899" t="inlineStr"/>
      <c r="E899" t="n">
        <v>982</v>
      </c>
      <c r="F899">
        <f>HYPERLINK("https://portal.dnb.de/opac.htm?method=simpleSearch&amp;cqlMode=true&amp;query=idn%3D1066933421", "Portal")</f>
        <v/>
      </c>
      <c r="G899" t="inlineStr">
        <is>
          <t>Aaf</t>
        </is>
      </c>
      <c r="H899" t="inlineStr">
        <is>
          <t>L-1524-315461527</t>
        </is>
      </c>
      <c r="I899" t="inlineStr">
        <is>
          <t>1066933421</t>
        </is>
      </c>
      <c r="J899" t="inlineStr">
        <is>
          <t>III 101, 31</t>
        </is>
      </c>
      <c r="K899" t="inlineStr">
        <is>
          <t>III 101, 31</t>
        </is>
      </c>
      <c r="L899" t="inlineStr">
        <is>
          <t>III 101, 31</t>
        </is>
      </c>
      <c r="M899" t="inlineStr"/>
      <c r="N899" t="inlineStr">
        <is>
          <t>Libro maistreuole : Opera nuouamente stampata del 1524, in Venetia, laquale insegna maistreuolmente con nuouo modo &amp; arte a legere a li grandi &amp; picco</t>
        </is>
      </c>
      <c r="O899" t="inlineStr">
        <is>
          <t xml:space="preserve"> : </t>
        </is>
      </c>
      <c r="P899" t="inlineStr"/>
      <c r="Q899" t="inlineStr"/>
      <c r="R899" t="inlineStr"/>
      <c r="S899" t="inlineStr">
        <is>
          <t>bis 25 cm</t>
        </is>
      </c>
      <c r="T899" t="inlineStr"/>
      <c r="U899" t="inlineStr"/>
      <c r="V899" t="inlineStr"/>
      <c r="W899" t="inlineStr"/>
      <c r="X899" t="inlineStr"/>
      <c r="Y899" t="inlineStr"/>
      <c r="Z899" t="inlineStr"/>
      <c r="AA899" t="inlineStr"/>
      <c r="AB899" t="inlineStr"/>
      <c r="AC899" t="inlineStr"/>
      <c r="AD899" t="inlineStr"/>
      <c r="AE899" t="inlineStr"/>
      <c r="AF899" t="inlineStr"/>
      <c r="AG899" t="inlineStr"/>
      <c r="AH899" t="inlineStr"/>
      <c r="AI899" t="inlineStr">
        <is>
          <t>HL</t>
        </is>
      </c>
      <c r="AJ899" t="inlineStr"/>
      <c r="AK899" t="inlineStr"/>
      <c r="AL899" t="inlineStr"/>
      <c r="AM899" t="inlineStr">
        <is>
          <t>f</t>
        </is>
      </c>
      <c r="AN899" t="inlineStr"/>
      <c r="AO899" t="inlineStr"/>
      <c r="AP899" t="inlineStr"/>
      <c r="AQ899" t="inlineStr"/>
      <c r="AR899" t="inlineStr"/>
      <c r="AS899" t="inlineStr">
        <is>
          <t>Pa</t>
        </is>
      </c>
      <c r="AT899" t="inlineStr"/>
      <c r="AU899" t="inlineStr"/>
      <c r="AV899" t="inlineStr"/>
      <c r="AW899" t="inlineStr"/>
      <c r="AX899" t="inlineStr"/>
      <c r="AY899" t="inlineStr"/>
      <c r="AZ899" t="inlineStr"/>
      <c r="BA899" t="inlineStr"/>
      <c r="BB899" t="inlineStr"/>
      <c r="BC899" t="inlineStr"/>
      <c r="BD899" t="inlineStr"/>
      <c r="BE899" t="inlineStr"/>
      <c r="BF899" t="inlineStr"/>
      <c r="BG899" t="n">
        <v>110</v>
      </c>
      <c r="BH899" t="inlineStr"/>
      <c r="BI899" t="inlineStr"/>
      <c r="BJ899" t="inlineStr"/>
      <c r="BK899" t="inlineStr">
        <is>
          <t>x</t>
        </is>
      </c>
      <c r="BL899" t="inlineStr">
        <is>
          <t>x</t>
        </is>
      </c>
      <c r="BM899" t="inlineStr">
        <is>
          <t>n</t>
        </is>
      </c>
      <c r="BN899" t="n">
        <v>0</v>
      </c>
      <c r="BO899" t="inlineStr"/>
      <c r="BP899" t="inlineStr"/>
      <c r="BQ899" t="inlineStr"/>
      <c r="BR899" t="inlineStr"/>
      <c r="BS899" t="inlineStr"/>
      <c r="BT899" t="inlineStr"/>
      <c r="BU899" t="inlineStr"/>
      <c r="BV899" t="inlineStr"/>
      <c r="BW899" t="inlineStr"/>
      <c r="BX899" t="inlineStr"/>
      <c r="BY899" t="inlineStr"/>
      <c r="BZ899" t="inlineStr"/>
      <c r="CA899" t="inlineStr"/>
      <c r="CB899" t="inlineStr"/>
      <c r="CC899" t="inlineStr"/>
      <c r="CD899" t="inlineStr"/>
      <c r="CE899" t="inlineStr"/>
      <c r="CF899" t="inlineStr"/>
      <c r="CG899" t="inlineStr"/>
      <c r="CH899" t="inlineStr"/>
      <c r="CI899" t="inlineStr"/>
      <c r="CJ899" t="inlineStr"/>
      <c r="CK899" t="inlineStr"/>
      <c r="CL899" t="inlineStr"/>
      <c r="CM899" t="inlineStr"/>
      <c r="CN899" t="inlineStr"/>
      <c r="CO899" t="inlineStr"/>
      <c r="CP899" t="inlineStr"/>
      <c r="CQ899" t="inlineStr"/>
      <c r="CR899" t="inlineStr"/>
      <c r="CS899" t="inlineStr"/>
      <c r="CT899" t="inlineStr"/>
      <c r="CU899" t="inlineStr"/>
      <c r="CV899" t="inlineStr"/>
      <c r="CW899" t="inlineStr"/>
      <c r="CX899" t="inlineStr"/>
      <c r="CY899" t="inlineStr"/>
      <c r="CZ899" t="inlineStr"/>
      <c r="DA899" t="inlineStr"/>
      <c r="DB899" t="inlineStr"/>
      <c r="DC899" t="inlineStr"/>
      <c r="DD899" t="inlineStr"/>
      <c r="DE899" t="inlineStr"/>
      <c r="DF899" t="inlineStr"/>
      <c r="DG899" t="inlineStr"/>
    </row>
    <row r="900">
      <c r="A900" t="inlineStr">
        <is>
          <t>III</t>
        </is>
      </c>
      <c r="B900" t="b">
        <v>1</v>
      </c>
      <c r="C900" t="inlineStr"/>
      <c r="D900" t="inlineStr"/>
      <c r="E900" t="n">
        <v>983</v>
      </c>
      <c r="F900">
        <f>HYPERLINK("https://portal.dnb.de/opac.htm?method=simpleSearch&amp;cqlMode=true&amp;query=idn%3D1002341744", "Portal")</f>
        <v/>
      </c>
      <c r="G900" t="inlineStr">
        <is>
          <t>Aal</t>
        </is>
      </c>
      <c r="H900" t="inlineStr">
        <is>
          <t>L-1551-177066873</t>
        </is>
      </c>
      <c r="I900" t="inlineStr">
        <is>
          <t>1002341744</t>
        </is>
      </c>
      <c r="J900" t="inlineStr">
        <is>
          <t>III 101, 32</t>
        </is>
      </c>
      <c r="K900" t="inlineStr">
        <is>
          <t>III 101, 32</t>
        </is>
      </c>
      <c r="L900" t="inlineStr">
        <is>
          <t>III 101, 32</t>
        </is>
      </c>
      <c r="M900" t="inlineStr"/>
      <c r="N900" t="inlineStr">
        <is>
          <t>Hǎmišša hụmšê tôrā : Adjectis insuper e rabinorum commentariis annotationibus</t>
        </is>
      </c>
      <c r="O900" t="inlineStr">
        <is>
          <t xml:space="preserve"> : </t>
        </is>
      </c>
      <c r="P900" t="inlineStr"/>
      <c r="Q900" t="inlineStr"/>
      <c r="R900" t="inlineStr"/>
      <c r="S900" t="inlineStr">
        <is>
          <t>bis 25 cm</t>
        </is>
      </c>
      <c r="T900" t="inlineStr"/>
      <c r="U900" t="inlineStr"/>
      <c r="V900" t="inlineStr"/>
      <c r="W900" t="inlineStr"/>
      <c r="X900" t="inlineStr"/>
      <c r="Y900" t="inlineStr"/>
      <c r="Z900" t="inlineStr"/>
      <c r="AA900" t="inlineStr"/>
      <c r="AB900" t="inlineStr"/>
      <c r="AC900" t="inlineStr"/>
      <c r="AD900" t="inlineStr"/>
      <c r="AE900" t="inlineStr"/>
      <c r="AF900" t="inlineStr"/>
      <c r="AG900" t="inlineStr"/>
      <c r="AH900" t="inlineStr"/>
      <c r="AI900" t="inlineStr">
        <is>
          <t>L</t>
        </is>
      </c>
      <c r="AJ900" t="inlineStr"/>
      <c r="AK900" t="inlineStr"/>
      <c r="AL900" t="inlineStr">
        <is>
          <t>x</t>
        </is>
      </c>
      <c r="AM900" t="inlineStr">
        <is>
          <t>f</t>
        </is>
      </c>
      <c r="AN900" t="inlineStr"/>
      <c r="AO900" t="inlineStr"/>
      <c r="AP900" t="inlineStr"/>
      <c r="AQ900" t="inlineStr"/>
      <c r="AR900" t="inlineStr"/>
      <c r="AS900" t="inlineStr">
        <is>
          <t>Pa</t>
        </is>
      </c>
      <c r="AT900" t="inlineStr"/>
      <c r="AU900" t="inlineStr"/>
      <c r="AV900" t="inlineStr"/>
      <c r="AW900" t="inlineStr"/>
      <c r="AX900" t="inlineStr"/>
      <c r="AY900" t="inlineStr"/>
      <c r="AZ900" t="inlineStr"/>
      <c r="BA900" t="inlineStr"/>
      <c r="BB900" t="inlineStr"/>
      <c r="BC900" t="inlineStr"/>
      <c r="BD900" t="inlineStr"/>
      <c r="BE900" t="inlineStr"/>
      <c r="BF900" t="inlineStr"/>
      <c r="BG900" t="n">
        <v>110</v>
      </c>
      <c r="BH900" t="inlineStr"/>
      <c r="BI900" t="inlineStr"/>
      <c r="BJ900" t="inlineStr"/>
      <c r="BK900" t="inlineStr">
        <is>
          <t>x</t>
        </is>
      </c>
      <c r="BL900" t="inlineStr">
        <is>
          <t>x</t>
        </is>
      </c>
      <c r="BM900" t="inlineStr">
        <is>
          <t>n</t>
        </is>
      </c>
      <c r="BN900" t="n">
        <v>0</v>
      </c>
      <c r="BO900" t="inlineStr"/>
      <c r="BP900" t="inlineStr">
        <is>
          <t>Gewebe</t>
        </is>
      </c>
      <c r="BQ900" t="inlineStr"/>
      <c r="BR900" t="inlineStr"/>
      <c r="BS900" t="inlineStr"/>
      <c r="BT900" t="inlineStr"/>
      <c r="BU900" t="inlineStr"/>
      <c r="BV900" t="inlineStr"/>
      <c r="BW900" t="inlineStr"/>
      <c r="BX900" t="inlineStr"/>
      <c r="BY900" t="inlineStr"/>
      <c r="BZ900" t="inlineStr"/>
      <c r="CA900" t="inlineStr"/>
      <c r="CB900" t="inlineStr"/>
      <c r="CC900" t="inlineStr"/>
      <c r="CD900" t="inlineStr"/>
      <c r="CE900" t="inlineStr"/>
      <c r="CF900" t="inlineStr"/>
      <c r="CG900" t="inlineStr"/>
      <c r="CH900" t="inlineStr"/>
      <c r="CI900" t="inlineStr"/>
      <c r="CJ900" t="inlineStr"/>
      <c r="CK900" t="inlineStr"/>
      <c r="CL900" t="inlineStr"/>
      <c r="CM900" t="inlineStr"/>
      <c r="CN900" t="inlineStr"/>
      <c r="CO900" t="inlineStr"/>
      <c r="CP900" t="inlineStr"/>
      <c r="CQ900" t="inlineStr"/>
      <c r="CR900" t="inlineStr"/>
      <c r="CS900" t="inlineStr"/>
      <c r="CT900" t="inlineStr"/>
      <c r="CU900" t="inlineStr"/>
      <c r="CV900" t="inlineStr"/>
      <c r="CW900" t="inlineStr"/>
      <c r="CX900" t="inlineStr"/>
      <c r="CY900" t="inlineStr"/>
      <c r="CZ900" t="inlineStr"/>
      <c r="DA900" t="inlineStr"/>
      <c r="DB900" t="inlineStr"/>
      <c r="DC900" t="inlineStr"/>
      <c r="DD900" t="inlineStr"/>
      <c r="DE900" t="inlineStr"/>
      <c r="DF900" t="inlineStr"/>
      <c r="DG900" t="inlineStr"/>
    </row>
    <row r="901">
      <c r="A901" t="inlineStr">
        <is>
          <t>III</t>
        </is>
      </c>
      <c r="B901" t="b">
        <v>1</v>
      </c>
      <c r="C901" t="inlineStr"/>
      <c r="D901" t="inlineStr"/>
      <c r="E901" t="n">
        <v>984</v>
      </c>
      <c r="F901">
        <f>HYPERLINK("https://portal.dnb.de/opac.htm?method=simpleSearch&amp;cqlMode=true&amp;query=idn%3D998707805", "Portal")</f>
        <v/>
      </c>
      <c r="G901" t="inlineStr">
        <is>
          <t>Aal</t>
        </is>
      </c>
      <c r="H901" t="inlineStr">
        <is>
          <t>L-1552-166775851</t>
        </is>
      </c>
      <c r="I901" t="inlineStr">
        <is>
          <t>998707805</t>
        </is>
      </c>
      <c r="J901" t="inlineStr">
        <is>
          <t>III 101, 33</t>
        </is>
      </c>
      <c r="K901" t="inlineStr">
        <is>
          <t>III 101, 33</t>
        </is>
      </c>
      <c r="L901" t="inlineStr">
        <is>
          <t>III 101, 33</t>
        </is>
      </c>
      <c r="M901" t="inlineStr"/>
      <c r="N901" t="inlineStr">
        <is>
          <t xml:space="preserve">ESPOSITIONI|| VOLGARE|| DEL ... : </t>
        </is>
      </c>
      <c r="O901" t="inlineStr">
        <is>
          <t xml:space="preserve"> : </t>
        </is>
      </c>
      <c r="P901" t="inlineStr"/>
      <c r="Q901" t="inlineStr"/>
      <c r="R901" t="inlineStr"/>
      <c r="S901" t="inlineStr">
        <is>
          <t>bis 25 cm</t>
        </is>
      </c>
      <c r="T901" t="inlineStr"/>
      <c r="U901" t="inlineStr"/>
      <c r="V901" t="inlineStr"/>
      <c r="W901" t="inlineStr"/>
      <c r="X901" t="inlineStr"/>
      <c r="Y901" t="inlineStr"/>
      <c r="Z901" t="inlineStr"/>
      <c r="AA901" t="inlineStr"/>
      <c r="AB901" t="inlineStr"/>
      <c r="AC901" t="inlineStr"/>
      <c r="AD901" t="inlineStr"/>
      <c r="AE901" t="inlineStr"/>
      <c r="AF901" t="inlineStr"/>
      <c r="AG901" t="inlineStr"/>
      <c r="AH901" t="inlineStr"/>
      <c r="AI901" t="inlineStr">
        <is>
          <t>Pg</t>
        </is>
      </c>
      <c r="AJ901" t="inlineStr"/>
      <c r="AK901" t="inlineStr"/>
      <c r="AL901" t="inlineStr"/>
      <c r="AM901" t="inlineStr">
        <is>
          <t>h</t>
        </is>
      </c>
      <c r="AN901" t="inlineStr"/>
      <c r="AO901" t="inlineStr"/>
      <c r="AP901" t="inlineStr"/>
      <c r="AQ901" t="inlineStr"/>
      <c r="AR901" t="inlineStr"/>
      <c r="AS901" t="inlineStr">
        <is>
          <t>Pa</t>
        </is>
      </c>
      <c r="AT901" t="inlineStr"/>
      <c r="AU901" t="inlineStr"/>
      <c r="AV901" t="inlineStr"/>
      <c r="AW901" t="inlineStr"/>
      <c r="AX901" t="inlineStr"/>
      <c r="AY901" t="inlineStr"/>
      <c r="AZ901" t="inlineStr"/>
      <c r="BA901" t="inlineStr"/>
      <c r="BB901" t="inlineStr"/>
      <c r="BC901" t="inlineStr"/>
      <c r="BD901" t="inlineStr"/>
      <c r="BE901" t="inlineStr"/>
      <c r="BF901" t="inlineStr"/>
      <c r="BG901" t="n">
        <v>60</v>
      </c>
      <c r="BH901" t="inlineStr"/>
      <c r="BI901" t="inlineStr"/>
      <c r="BJ901" t="inlineStr"/>
      <c r="BK901" t="inlineStr"/>
      <c r="BL901" t="inlineStr"/>
      <c r="BM901" t="inlineStr">
        <is>
          <t>n</t>
        </is>
      </c>
      <c r="BN901" t="n">
        <v>0</v>
      </c>
      <c r="BO901" t="inlineStr"/>
      <c r="BP901" t="inlineStr"/>
      <c r="BQ901" t="inlineStr"/>
      <c r="BR901" t="inlineStr"/>
      <c r="BS901" t="inlineStr"/>
      <c r="BT901" t="inlineStr"/>
      <c r="BU901" t="inlineStr"/>
      <c r="BV901" t="inlineStr"/>
      <c r="BW901" t="inlineStr"/>
      <c r="BX901" t="inlineStr"/>
      <c r="BY901" t="inlineStr"/>
      <c r="BZ901" t="inlineStr"/>
      <c r="CA901" t="inlineStr"/>
      <c r="CB901" t="inlineStr"/>
      <c r="CC901" t="inlineStr"/>
      <c r="CD901" t="inlineStr"/>
      <c r="CE901" t="inlineStr"/>
      <c r="CF901" t="inlineStr"/>
      <c r="CG901" t="inlineStr"/>
      <c r="CH901" t="inlineStr"/>
      <c r="CI901" t="inlineStr"/>
      <c r="CJ901" t="inlineStr"/>
      <c r="CK901" t="inlineStr"/>
      <c r="CL901" t="inlineStr"/>
      <c r="CM901" t="inlineStr"/>
      <c r="CN901" t="inlineStr"/>
      <c r="CO901" t="inlineStr"/>
      <c r="CP901" t="inlineStr"/>
      <c r="CQ901" t="inlineStr"/>
      <c r="CR901" t="inlineStr"/>
      <c r="CS901" t="inlineStr"/>
      <c r="CT901" t="inlineStr"/>
      <c r="CU901" t="inlineStr"/>
      <c r="CV901" t="inlineStr"/>
      <c r="CW901" t="inlineStr"/>
      <c r="CX901" t="inlineStr"/>
      <c r="CY901" t="inlineStr"/>
      <c r="CZ901" t="inlineStr"/>
      <c r="DA901" t="inlineStr"/>
      <c r="DB901" t="inlineStr"/>
      <c r="DC901" t="inlineStr"/>
      <c r="DD901" t="inlineStr"/>
      <c r="DE901" t="inlineStr"/>
      <c r="DF901" t="inlineStr"/>
      <c r="DG901" t="inlineStr"/>
    </row>
    <row r="902">
      <c r="A902" t="inlineStr">
        <is>
          <t>III</t>
        </is>
      </c>
      <c r="B902" t="b">
        <v>1</v>
      </c>
      <c r="C902" t="inlineStr"/>
      <c r="D902" t="inlineStr"/>
      <c r="E902" t="n">
        <v>986</v>
      </c>
      <c r="F902">
        <f>HYPERLINK("https://portal.dnb.de/opac.htm?method=simpleSearch&amp;cqlMode=true&amp;query=idn%3D994827342", "Portal")</f>
        <v/>
      </c>
      <c r="G902" t="inlineStr">
        <is>
          <t>Aal</t>
        </is>
      </c>
      <c r="H902" t="inlineStr">
        <is>
          <t>L-1540-158110234</t>
        </is>
      </c>
      <c r="I902" t="inlineStr">
        <is>
          <t>994827342</t>
        </is>
      </c>
      <c r="J902" t="inlineStr">
        <is>
          <t>III 101, 34</t>
        </is>
      </c>
      <c r="K902" t="inlineStr">
        <is>
          <t>III 101, 34</t>
        </is>
      </c>
      <c r="L902" t="inlineStr">
        <is>
          <t>III 101, 34</t>
        </is>
      </c>
      <c r="M902" t="inlineStr"/>
      <c r="N902" t="inlineStr">
        <is>
          <t>De Platonicae atque Aristotelicae philosophiae differentia, libellus : Nuper in lucem editus. Georgiou tou Gemistou tou kai Plethonos peri on Aristote</t>
        </is>
      </c>
      <c r="O902" t="inlineStr">
        <is>
          <t xml:space="preserve"> : </t>
        </is>
      </c>
      <c r="P902" t="inlineStr"/>
      <c r="Q902" t="inlineStr"/>
      <c r="R902" t="inlineStr"/>
      <c r="S902" t="inlineStr">
        <is>
          <t>bis 25 cm</t>
        </is>
      </c>
      <c r="T902" t="inlineStr"/>
      <c r="U902" t="inlineStr"/>
      <c r="V902" t="inlineStr"/>
      <c r="W902" t="inlineStr"/>
      <c r="X902" t="inlineStr"/>
      <c r="Y902" t="inlineStr"/>
      <c r="Z902" t="inlineStr"/>
      <c r="AA902" t="inlineStr"/>
      <c r="AB902" t="inlineStr"/>
      <c r="AC902" t="inlineStr"/>
      <c r="AD902" t="inlineStr"/>
      <c r="AE902" t="inlineStr"/>
      <c r="AF902" t="inlineStr"/>
      <c r="AG902" t="inlineStr"/>
      <c r="AH902" t="inlineStr"/>
      <c r="AI902" t="inlineStr">
        <is>
          <t>Pa</t>
        </is>
      </c>
      <c r="AJ902" t="inlineStr"/>
      <c r="AK902" t="inlineStr"/>
      <c r="AL902" t="inlineStr"/>
      <c r="AM902" t="inlineStr">
        <is>
          <t>h/E</t>
        </is>
      </c>
      <c r="AN902" t="inlineStr"/>
      <c r="AO902" t="inlineStr"/>
      <c r="AP902" t="inlineStr"/>
      <c r="AQ902" t="inlineStr"/>
      <c r="AR902" t="inlineStr"/>
      <c r="AS902" t="inlineStr">
        <is>
          <t>Pa</t>
        </is>
      </c>
      <c r="AT902" t="inlineStr"/>
      <c r="AU902" t="inlineStr"/>
      <c r="AV902" t="inlineStr"/>
      <c r="AW902" t="inlineStr"/>
      <c r="AX902" t="inlineStr"/>
      <c r="AY902" t="inlineStr"/>
      <c r="AZ902" t="inlineStr"/>
      <c r="BA902" t="inlineStr"/>
      <c r="BB902" t="inlineStr"/>
      <c r="BC902" t="inlineStr"/>
      <c r="BD902" t="inlineStr"/>
      <c r="BE902" t="inlineStr"/>
      <c r="BF902" t="inlineStr"/>
      <c r="BG902" t="n">
        <v>110</v>
      </c>
      <c r="BH902" t="inlineStr"/>
      <c r="BI902" t="inlineStr"/>
      <c r="BJ902" t="inlineStr"/>
      <c r="BK902" t="inlineStr"/>
      <c r="BL902" t="inlineStr"/>
      <c r="BM902" t="inlineStr">
        <is>
          <t>n</t>
        </is>
      </c>
      <c r="BN902" t="n">
        <v>0</v>
      </c>
      <c r="BO902" t="inlineStr"/>
      <c r="BP902" t="inlineStr"/>
      <c r="BQ902" t="inlineStr"/>
      <c r="BR902" t="inlineStr"/>
      <c r="BS902" t="inlineStr"/>
      <c r="BT902" t="inlineStr"/>
      <c r="BU902" t="inlineStr"/>
      <c r="BV902" t="inlineStr"/>
      <c r="BW902" t="inlineStr"/>
      <c r="BX902" t="inlineStr"/>
      <c r="BY902" t="inlineStr"/>
      <c r="BZ902" t="inlineStr"/>
      <c r="CA902" t="inlineStr"/>
      <c r="CB902" t="inlineStr"/>
      <c r="CC902" t="inlineStr"/>
      <c r="CD902" t="inlineStr"/>
      <c r="CE902" t="inlineStr"/>
      <c r="CF902" t="inlineStr"/>
      <c r="CG902" t="inlineStr"/>
      <c r="CH902" t="inlineStr"/>
      <c r="CI902" t="inlineStr"/>
      <c r="CJ902" t="inlineStr"/>
      <c r="CK902" t="inlineStr"/>
      <c r="CL902" t="inlineStr"/>
      <c r="CM902" t="inlineStr"/>
      <c r="CN902" t="inlineStr"/>
      <c r="CO902" t="inlineStr"/>
      <c r="CP902" t="inlineStr"/>
      <c r="CQ902" t="inlineStr"/>
      <c r="CR902" t="inlineStr"/>
      <c r="CS902" t="inlineStr"/>
      <c r="CT902" t="inlineStr"/>
      <c r="CU902" t="inlineStr"/>
      <c r="CV902" t="inlineStr"/>
      <c r="CW902" t="inlineStr"/>
      <c r="CX902" t="inlineStr"/>
      <c r="CY902" t="inlineStr"/>
      <c r="CZ902" t="inlineStr"/>
      <c r="DA902" t="inlineStr"/>
      <c r="DB902" t="inlineStr"/>
      <c r="DC902" t="inlineStr"/>
      <c r="DD902" t="inlineStr"/>
      <c r="DE902" t="inlineStr"/>
      <c r="DF902" t="inlineStr"/>
      <c r="DG902" t="inlineStr"/>
    </row>
    <row r="903">
      <c r="A903" t="inlineStr">
        <is>
          <t>III</t>
        </is>
      </c>
      <c r="B903" t="b">
        <v>1</v>
      </c>
      <c r="C903" t="inlineStr"/>
      <c r="D903" t="inlineStr"/>
      <c r="E903" t="n">
        <v>987</v>
      </c>
      <c r="F903">
        <f>HYPERLINK("https://portal.dnb.de/opac.htm?method=simpleSearch&amp;cqlMode=true&amp;query=idn%3D1002741084", "Portal")</f>
        <v/>
      </c>
      <c r="G903" t="inlineStr">
        <is>
          <t>Aal</t>
        </is>
      </c>
      <c r="H903" t="inlineStr">
        <is>
          <t>L-1555-177913347</t>
        </is>
      </c>
      <c r="I903" t="inlineStr">
        <is>
          <t>1002741084</t>
        </is>
      </c>
      <c r="J903" t="inlineStr">
        <is>
          <t>III 101, 35</t>
        </is>
      </c>
      <c r="K903" t="inlineStr">
        <is>
          <t>III 101, 35</t>
        </is>
      </c>
      <c r="L903" t="inlineStr">
        <is>
          <t>III 101, 35</t>
        </is>
      </c>
      <c r="M903" t="inlineStr"/>
      <c r="N903" t="inlineStr">
        <is>
          <t xml:space="preserve">Publii Virgilii Maronis opera omnia innumeris pene : </t>
        </is>
      </c>
      <c r="O903" t="inlineStr">
        <is>
          <t xml:space="preserve"> : </t>
        </is>
      </c>
      <c r="P903" t="inlineStr"/>
      <c r="Q903" t="inlineStr"/>
      <c r="R903" t="inlineStr"/>
      <c r="S903" t="inlineStr">
        <is>
          <t>bis 35 cm</t>
        </is>
      </c>
      <c r="T903" t="inlineStr"/>
      <c r="U903" t="inlineStr"/>
      <c r="V903" t="inlineStr"/>
      <c r="W903" t="inlineStr"/>
      <c r="X903" t="inlineStr"/>
      <c r="Y903" t="inlineStr"/>
      <c r="Z903" t="inlineStr"/>
      <c r="AA903" t="inlineStr"/>
      <c r="AB903" t="inlineStr"/>
      <c r="AC903" t="inlineStr"/>
      <c r="AD903" t="inlineStr"/>
      <c r="AE903" t="inlineStr"/>
      <c r="AF903" t="inlineStr"/>
      <c r="AG903" t="inlineStr"/>
      <c r="AH903" t="inlineStr"/>
      <c r="AI903" t="inlineStr">
        <is>
          <t>Pg</t>
        </is>
      </c>
      <c r="AJ903" t="inlineStr"/>
      <c r="AK903" t="inlineStr"/>
      <c r="AL903" t="inlineStr"/>
      <c r="AM903" t="inlineStr">
        <is>
          <t>h/E</t>
        </is>
      </c>
      <c r="AN903" t="inlineStr"/>
      <c r="AO903" t="inlineStr"/>
      <c r="AP903" t="inlineStr"/>
      <c r="AQ903" t="inlineStr"/>
      <c r="AR903" t="inlineStr"/>
      <c r="AS903" t="inlineStr">
        <is>
          <t>Pa</t>
        </is>
      </c>
      <c r="AT903" t="inlineStr"/>
      <c r="AU903" t="inlineStr"/>
      <c r="AV903" t="inlineStr"/>
      <c r="AW903" t="inlineStr"/>
      <c r="AX903" t="inlineStr"/>
      <c r="AY903" t="inlineStr"/>
      <c r="AZ903" t="inlineStr"/>
      <c r="BA903" t="inlineStr"/>
      <c r="BB903" t="inlineStr"/>
      <c r="BC903" t="inlineStr"/>
      <c r="BD903" t="inlineStr"/>
      <c r="BE903" t="inlineStr"/>
      <c r="BF903" t="inlineStr"/>
      <c r="BG903" t="n">
        <v>110</v>
      </c>
      <c r="BH903" t="inlineStr"/>
      <c r="BI903" t="inlineStr"/>
      <c r="BJ903" t="inlineStr"/>
      <c r="BK903" t="inlineStr"/>
      <c r="BL903" t="inlineStr"/>
      <c r="BM903" t="inlineStr">
        <is>
          <t>n</t>
        </is>
      </c>
      <c r="BN903" t="n">
        <v>0</v>
      </c>
      <c r="BO903" t="inlineStr"/>
      <c r="BP903" t="inlineStr">
        <is>
          <t>Gewebe</t>
        </is>
      </c>
      <c r="BQ903" t="inlineStr"/>
      <c r="BR903" t="inlineStr"/>
      <c r="BS903" t="inlineStr"/>
      <c r="BT903" t="inlineStr"/>
      <c r="BU903" t="inlineStr"/>
      <c r="BV903" t="inlineStr"/>
      <c r="BW903" t="inlineStr"/>
      <c r="BX903" t="inlineStr"/>
      <c r="BY903" t="inlineStr"/>
      <c r="BZ903" t="inlineStr"/>
      <c r="CA903" t="inlineStr"/>
      <c r="CB903" t="inlineStr"/>
      <c r="CC903" t="inlineStr"/>
      <c r="CD903" t="inlineStr"/>
      <c r="CE903" t="inlineStr"/>
      <c r="CF903" t="inlineStr"/>
      <c r="CG903" t="inlineStr"/>
      <c r="CH903" t="inlineStr"/>
      <c r="CI903" t="inlineStr"/>
      <c r="CJ903" t="inlineStr"/>
      <c r="CK903" t="inlineStr"/>
      <c r="CL903" t="inlineStr"/>
      <c r="CM903" t="inlineStr"/>
      <c r="CN903" t="inlineStr"/>
      <c r="CO903" t="inlineStr"/>
      <c r="CP903" t="inlineStr"/>
      <c r="CQ903" t="inlineStr"/>
      <c r="CR903" t="inlineStr"/>
      <c r="CS903" t="inlineStr"/>
      <c r="CT903" t="inlineStr"/>
      <c r="CU903" t="inlineStr"/>
      <c r="CV903" t="inlineStr"/>
      <c r="CW903" t="inlineStr"/>
      <c r="CX903" t="inlineStr"/>
      <c r="CY903" t="inlineStr"/>
      <c r="CZ903" t="inlineStr"/>
      <c r="DA903" t="inlineStr"/>
      <c r="DB903" t="inlineStr"/>
      <c r="DC903" t="inlineStr"/>
      <c r="DD903" t="inlineStr"/>
      <c r="DE903" t="inlineStr"/>
      <c r="DF903" t="inlineStr"/>
      <c r="DG903" t="inlineStr"/>
    </row>
    <row r="904">
      <c r="A904" t="inlineStr">
        <is>
          <t>III</t>
        </is>
      </c>
      <c r="B904" t="b">
        <v>1</v>
      </c>
      <c r="C904" t="inlineStr"/>
      <c r="D904" t="inlineStr"/>
      <c r="E904" t="n">
        <v>988</v>
      </c>
      <c r="F904">
        <f>HYPERLINK("https://portal.dnb.de/opac.htm?method=simpleSearch&amp;cqlMode=true&amp;query=idn%3D994245459", "Portal")</f>
        <v/>
      </c>
      <c r="G904" t="inlineStr">
        <is>
          <t>Aal</t>
        </is>
      </c>
      <c r="H904" t="inlineStr">
        <is>
          <t>L-1550-154864390</t>
        </is>
      </c>
      <c r="I904" t="inlineStr">
        <is>
          <t>994245459</t>
        </is>
      </c>
      <c r="J904" t="inlineStr">
        <is>
          <t>III 101, 36</t>
        </is>
      </c>
      <c r="K904" t="inlineStr">
        <is>
          <t>III 101, 36</t>
        </is>
      </c>
      <c r="L904" t="inlineStr">
        <is>
          <t>III 101, 36</t>
        </is>
      </c>
      <c r="M904" t="inlineStr"/>
      <c r="N904" t="inlineStr">
        <is>
          <t>PIROTECHNIA|| : LI DIECE LIBRI DELLA|| PIROTECHNIA,|| Nelli quali si tratta non solo la diuersita|| delle minere, ma ancho quanto si ricer||ca alla pr</t>
        </is>
      </c>
      <c r="O904" t="inlineStr">
        <is>
          <t xml:space="preserve"> : </t>
        </is>
      </c>
      <c r="P904" t="inlineStr"/>
      <c r="Q904" t="inlineStr"/>
      <c r="R904" t="inlineStr"/>
      <c r="S904" t="inlineStr">
        <is>
          <t>bis 25 cm</t>
        </is>
      </c>
      <c r="T904" t="inlineStr"/>
      <c r="U904" t="inlineStr"/>
      <c r="V904" t="inlineStr"/>
      <c r="W904" t="inlineStr"/>
      <c r="X904" t="inlineStr"/>
      <c r="Y904" t="inlineStr"/>
      <c r="Z904" t="inlineStr"/>
      <c r="AA904" t="inlineStr"/>
      <c r="AB904" t="inlineStr"/>
      <c r="AC904" t="inlineStr"/>
      <c r="AD904" t="inlineStr"/>
      <c r="AE904" t="inlineStr"/>
      <c r="AF904" t="inlineStr"/>
      <c r="AG904" t="inlineStr"/>
      <c r="AH904" t="inlineStr"/>
      <c r="AI904" t="inlineStr">
        <is>
          <t>HD</t>
        </is>
      </c>
      <c r="AJ904" t="inlineStr"/>
      <c r="AK904" t="inlineStr"/>
      <c r="AL904" t="inlineStr"/>
      <c r="AM904" t="inlineStr">
        <is>
          <t>f</t>
        </is>
      </c>
      <c r="AN904" t="inlineStr"/>
      <c r="AO904" t="inlineStr"/>
      <c r="AP904" t="inlineStr"/>
      <c r="AQ904" t="inlineStr"/>
      <c r="AR904" t="inlineStr"/>
      <c r="AS904" t="inlineStr">
        <is>
          <t>Pa</t>
        </is>
      </c>
      <c r="AT904" t="inlineStr"/>
      <c r="AU904" t="inlineStr"/>
      <c r="AV904" t="inlineStr"/>
      <c r="AW904" t="inlineStr"/>
      <c r="AX904" t="inlineStr"/>
      <c r="AY904" t="inlineStr"/>
      <c r="AZ904" t="inlineStr"/>
      <c r="BA904" t="inlineStr"/>
      <c r="BB904" t="inlineStr"/>
      <c r="BC904" t="inlineStr"/>
      <c r="BD904" t="inlineStr"/>
      <c r="BE904" t="inlineStr"/>
      <c r="BF904" t="inlineStr"/>
      <c r="BG904" t="n">
        <v>110</v>
      </c>
      <c r="BH904" t="inlineStr"/>
      <c r="BI904" t="inlineStr"/>
      <c r="BJ904" t="inlineStr"/>
      <c r="BK904" t="inlineStr"/>
      <c r="BL904" t="inlineStr"/>
      <c r="BM904" t="inlineStr">
        <is>
          <t>n</t>
        </is>
      </c>
      <c r="BN904" t="n">
        <v>0</v>
      </c>
      <c r="BO904" t="inlineStr"/>
      <c r="BP904" t="inlineStr">
        <is>
          <t>Gewebe</t>
        </is>
      </c>
      <c r="BQ904" t="inlineStr"/>
      <c r="BR904" t="inlineStr"/>
      <c r="BS904" t="inlineStr"/>
      <c r="BT904" t="inlineStr"/>
      <c r="BU904" t="inlineStr"/>
      <c r="BV904" t="inlineStr"/>
      <c r="BW904" t="inlineStr"/>
      <c r="BX904" t="inlineStr"/>
      <c r="BY904" t="inlineStr"/>
      <c r="BZ904" t="inlineStr"/>
      <c r="CA904" t="inlineStr"/>
      <c r="CB904" t="inlineStr"/>
      <c r="CC904" t="inlineStr"/>
      <c r="CD904" t="inlineStr"/>
      <c r="CE904" t="inlineStr"/>
      <c r="CF904" t="inlineStr"/>
      <c r="CG904" t="inlineStr"/>
      <c r="CH904" t="inlineStr"/>
      <c r="CI904" t="inlineStr"/>
      <c r="CJ904" t="inlineStr"/>
      <c r="CK904" t="inlineStr"/>
      <c r="CL904" t="inlineStr"/>
      <c r="CM904" t="inlineStr"/>
      <c r="CN904" t="inlineStr"/>
      <c r="CO904" t="inlineStr"/>
      <c r="CP904" t="inlineStr"/>
      <c r="CQ904" t="inlineStr"/>
      <c r="CR904" t="inlineStr"/>
      <c r="CS904" t="inlineStr"/>
      <c r="CT904" t="inlineStr"/>
      <c r="CU904" t="inlineStr"/>
      <c r="CV904" t="inlineStr"/>
      <c r="CW904" t="inlineStr"/>
      <c r="CX904" t="inlineStr"/>
      <c r="CY904" t="inlineStr"/>
      <c r="CZ904" t="inlineStr"/>
      <c r="DA904" t="inlineStr"/>
      <c r="DB904" t="inlineStr"/>
      <c r="DC904" t="inlineStr"/>
      <c r="DD904" t="inlineStr"/>
      <c r="DE904" t="inlineStr"/>
      <c r="DF904" t="inlineStr"/>
      <c r="DG904" t="inlineStr"/>
    </row>
    <row r="905">
      <c r="A905" t="inlineStr">
        <is>
          <t>III</t>
        </is>
      </c>
      <c r="B905" t="b">
        <v>1</v>
      </c>
      <c r="C905" t="inlineStr"/>
      <c r="D905" t="inlineStr"/>
      <c r="E905" t="n">
        <v>989</v>
      </c>
      <c r="F905">
        <f>HYPERLINK("https://portal.dnb.de/opac.htm?method=simpleSearch&amp;cqlMode=true&amp;query=idn%3D997391812", "Portal")</f>
        <v/>
      </c>
      <c r="G905" t="inlineStr">
        <is>
          <t>Aal</t>
        </is>
      </c>
      <c r="H905" t="inlineStr">
        <is>
          <t>L-1540-163763593</t>
        </is>
      </c>
      <c r="I905" t="inlineStr">
        <is>
          <t>997391812</t>
        </is>
      </c>
      <c r="J905" t="inlineStr">
        <is>
          <t>III 101, 37</t>
        </is>
      </c>
      <c r="K905" t="inlineStr">
        <is>
          <t>III 101, 37</t>
        </is>
      </c>
      <c r="L905" t="inlineStr">
        <is>
          <t>III 101, 37</t>
        </is>
      </c>
      <c r="M905" t="inlineStr"/>
      <c r="N905" t="inlineStr">
        <is>
          <t>Horatius|| Cum Quinque Commentis|| : Qvinti Horatii|| Flacci Poemata omnia</t>
        </is>
      </c>
      <c r="O905" t="inlineStr">
        <is>
          <t xml:space="preserve"> : </t>
        </is>
      </c>
      <c r="P905" t="inlineStr"/>
      <c r="Q905" t="inlineStr"/>
      <c r="R905" t="inlineStr"/>
      <c r="S905" t="inlineStr">
        <is>
          <t>bis 35 cm</t>
        </is>
      </c>
      <c r="T905" t="inlineStr"/>
      <c r="U905" t="inlineStr"/>
      <c r="V905" t="inlineStr"/>
      <c r="W905" t="inlineStr"/>
      <c r="X905" t="inlineStr"/>
      <c r="Y905" t="inlineStr"/>
      <c r="Z905" t="inlineStr"/>
      <c r="AA905" t="inlineStr"/>
      <c r="AB905" t="inlineStr"/>
      <c r="AC905" t="inlineStr"/>
      <c r="AD905" t="inlineStr"/>
      <c r="AE905" t="inlineStr"/>
      <c r="AF905" t="inlineStr"/>
      <c r="AG905" t="inlineStr"/>
      <c r="AH905" t="inlineStr"/>
      <c r="AI905" t="inlineStr">
        <is>
          <t>Pg</t>
        </is>
      </c>
      <c r="AJ905" t="inlineStr">
        <is>
          <t xml:space="preserve">
flexibler Perg.bd.</t>
        </is>
      </c>
      <c r="AK905" t="inlineStr"/>
      <c r="AL905" t="inlineStr">
        <is>
          <t>x</t>
        </is>
      </c>
      <c r="AM905" t="inlineStr">
        <is>
          <t>h</t>
        </is>
      </c>
      <c r="AN905" t="inlineStr"/>
      <c r="AO905" t="inlineStr"/>
      <c r="AP905" t="inlineStr"/>
      <c r="AQ905" t="inlineStr"/>
      <c r="AR905" t="inlineStr"/>
      <c r="AS905" t="inlineStr">
        <is>
          <t>Pa</t>
        </is>
      </c>
      <c r="AT905" t="inlineStr"/>
      <c r="AU905" t="inlineStr"/>
      <c r="AV905" t="inlineStr"/>
      <c r="AW905" t="inlineStr"/>
      <c r="AX905" t="inlineStr"/>
      <c r="AY905" t="inlineStr"/>
      <c r="AZ905" t="inlineStr"/>
      <c r="BA905" t="inlineStr"/>
      <c r="BB905" t="inlineStr"/>
      <c r="BC905" t="inlineStr"/>
      <c r="BD905" t="inlineStr"/>
      <c r="BE905" t="n">
        <v>2</v>
      </c>
      <c r="BF905" t="inlineStr"/>
      <c r="BG905" t="n">
        <v>110</v>
      </c>
      <c r="BH905" t="inlineStr"/>
      <c r="BI905" t="inlineStr"/>
      <c r="BJ905" t="inlineStr"/>
      <c r="BK905" t="inlineStr"/>
      <c r="BL905" t="inlineStr"/>
      <c r="BM905" t="inlineStr">
        <is>
          <t>n</t>
        </is>
      </c>
      <c r="BN905" t="n">
        <v>0</v>
      </c>
      <c r="BO905" t="inlineStr"/>
      <c r="BP905" t="inlineStr">
        <is>
          <t>Gewebe</t>
        </is>
      </c>
      <c r="BQ905" t="inlineStr"/>
      <c r="BR905" t="inlineStr"/>
      <c r="BS905" t="inlineStr"/>
      <c r="BT905" t="inlineStr"/>
      <c r="BU905" t="inlineStr"/>
      <c r="BV905" t="inlineStr"/>
      <c r="BW905" t="inlineStr"/>
      <c r="BX905" t="inlineStr"/>
      <c r="BY905" t="inlineStr"/>
      <c r="BZ905" t="inlineStr"/>
      <c r="CA905" t="inlineStr"/>
      <c r="CB905" t="inlineStr"/>
      <c r="CC905" t="inlineStr"/>
      <c r="CD905" t="inlineStr"/>
      <c r="CE905" t="inlineStr"/>
      <c r="CF905" t="inlineStr"/>
      <c r="CG905" t="inlineStr"/>
      <c r="CH905" t="inlineStr"/>
      <c r="CI905" t="inlineStr"/>
      <c r="CJ905" t="inlineStr"/>
      <c r="CK905" t="inlineStr"/>
      <c r="CL905" t="inlineStr"/>
      <c r="CM905" t="inlineStr"/>
      <c r="CN905" t="inlineStr"/>
      <c r="CO905" t="inlineStr"/>
      <c r="CP905" t="inlineStr"/>
      <c r="CQ905" t="inlineStr"/>
      <c r="CR905" t="inlineStr"/>
      <c r="CS905" t="inlineStr"/>
      <c r="CT905" t="inlineStr"/>
      <c r="CU905" t="inlineStr"/>
      <c r="CV905" t="inlineStr"/>
      <c r="CW905" t="inlineStr"/>
      <c r="CX905" t="inlineStr"/>
      <c r="CY905" t="inlineStr"/>
      <c r="CZ905" t="inlineStr"/>
      <c r="DA905" t="inlineStr"/>
      <c r="DB905" t="inlineStr"/>
      <c r="DC905" t="inlineStr"/>
      <c r="DD905" t="inlineStr"/>
      <c r="DE905" t="inlineStr"/>
      <c r="DF905" t="inlineStr"/>
      <c r="DG905" t="inlineStr"/>
    </row>
    <row r="906">
      <c r="A906" t="inlineStr">
        <is>
          <t>III</t>
        </is>
      </c>
      <c r="B906" t="b">
        <v>1</v>
      </c>
      <c r="C906" t="inlineStr"/>
      <c r="D906" t="inlineStr"/>
      <c r="E906" t="n">
        <v>991</v>
      </c>
      <c r="F906">
        <f>HYPERLINK("https://portal.dnb.de/opac.htm?method=simpleSearch&amp;cqlMode=true&amp;query=idn%3D99981530X", "Portal")</f>
        <v/>
      </c>
      <c r="G906" t="inlineStr">
        <is>
          <t>Aal</t>
        </is>
      </c>
      <c r="H906" t="inlineStr">
        <is>
          <t>L-1540-169496759</t>
        </is>
      </c>
      <c r="I906" t="inlineStr">
        <is>
          <t>99981530X</t>
        </is>
      </c>
      <c r="J906" t="inlineStr">
        <is>
          <t>III 101, 38</t>
        </is>
      </c>
      <c r="K906" t="inlineStr">
        <is>
          <t>III 101, 38</t>
        </is>
      </c>
      <c r="L906" t="inlineStr">
        <is>
          <t>III 101, 38</t>
        </is>
      </c>
      <c r="M906" t="inlineStr"/>
      <c r="N906" t="inlineStr">
        <is>
          <t>Publii Ovidii Nasonis Metamorphoseon, hoc est transformationum, libri quindecim : cum indice fabularum locupletissimo</t>
        </is>
      </c>
      <c r="O906" t="inlineStr">
        <is>
          <t xml:space="preserve"> : </t>
        </is>
      </c>
      <c r="P906" t="inlineStr"/>
      <c r="Q906" t="inlineStr"/>
      <c r="R906" t="inlineStr"/>
      <c r="S906" t="inlineStr">
        <is>
          <t>bis 25 cm</t>
        </is>
      </c>
      <c r="T906" t="inlineStr"/>
      <c r="U906" t="inlineStr"/>
      <c r="V906" t="inlineStr"/>
      <c r="W906" t="inlineStr"/>
      <c r="X906" t="inlineStr"/>
      <c r="Y906" t="inlineStr"/>
      <c r="Z906" t="inlineStr"/>
      <c r="AA906" t="inlineStr"/>
      <c r="AB906" t="inlineStr"/>
      <c r="AC906" t="inlineStr"/>
      <c r="AD906" t="inlineStr"/>
      <c r="AE906" t="inlineStr"/>
      <c r="AF906" t="inlineStr"/>
      <c r="AG906" t="inlineStr"/>
      <c r="AH906" t="inlineStr"/>
      <c r="AI906" t="inlineStr">
        <is>
          <t>Pg</t>
        </is>
      </c>
      <c r="AJ906" t="inlineStr"/>
      <c r="AK906" t="inlineStr"/>
      <c r="AL906" t="inlineStr">
        <is>
          <t>x</t>
        </is>
      </c>
      <c r="AM906" t="inlineStr">
        <is>
          <t>h/E</t>
        </is>
      </c>
      <c r="AN906" t="inlineStr"/>
      <c r="AO906" t="inlineStr"/>
      <c r="AP906" t="inlineStr"/>
      <c r="AQ906" t="inlineStr"/>
      <c r="AR906" t="inlineStr"/>
      <c r="AS906" t="inlineStr">
        <is>
          <t>Pa</t>
        </is>
      </c>
      <c r="AT906" t="inlineStr"/>
      <c r="AU906" t="inlineStr"/>
      <c r="AV906" t="inlineStr"/>
      <c r="AW906" t="inlineStr"/>
      <c r="AX906" t="inlineStr"/>
      <c r="AY906" t="inlineStr"/>
      <c r="AZ906" t="inlineStr"/>
      <c r="BA906" t="inlineStr"/>
      <c r="BB906" t="inlineStr"/>
      <c r="BC906" t="inlineStr"/>
      <c r="BD906" t="inlineStr"/>
      <c r="BE906" t="n">
        <v>4</v>
      </c>
      <c r="BF906" t="inlineStr"/>
      <c r="BG906" t="n">
        <v>110</v>
      </c>
      <c r="BH906" t="inlineStr"/>
      <c r="BI906" t="inlineStr"/>
      <c r="BJ906" t="inlineStr"/>
      <c r="BK906" t="inlineStr">
        <is>
          <t>x</t>
        </is>
      </c>
      <c r="BL906" t="inlineStr"/>
      <c r="BM906" t="inlineStr">
        <is>
          <t>n</t>
        </is>
      </c>
      <c r="BN906" t="n">
        <v>0</v>
      </c>
      <c r="BO906" t="inlineStr"/>
      <c r="BP906" t="inlineStr">
        <is>
          <t>Gewebe</t>
        </is>
      </c>
      <c r="BQ906" t="inlineStr"/>
      <c r="BR906" t="inlineStr"/>
      <c r="BS906" t="inlineStr"/>
      <c r="BT906" t="inlineStr"/>
      <c r="BU906" t="inlineStr"/>
      <c r="BV906" t="inlineStr"/>
      <c r="BW906" t="inlineStr"/>
      <c r="BX906" t="inlineStr"/>
      <c r="BY906" t="inlineStr"/>
      <c r="BZ906" t="inlineStr"/>
      <c r="CA906" t="inlineStr"/>
      <c r="CB906" t="inlineStr"/>
      <c r="CC906" t="inlineStr"/>
      <c r="CD906" t="inlineStr"/>
      <c r="CE906" t="inlineStr"/>
      <c r="CF906" t="inlineStr"/>
      <c r="CG906" t="inlineStr"/>
      <c r="CH906" t="inlineStr"/>
      <c r="CI906" t="inlineStr"/>
      <c r="CJ906" t="inlineStr"/>
      <c r="CK906" t="inlineStr"/>
      <c r="CL906" t="inlineStr"/>
      <c r="CM906" t="inlineStr"/>
      <c r="CN906" t="inlineStr"/>
      <c r="CO906" t="inlineStr"/>
      <c r="CP906" t="inlineStr"/>
      <c r="CQ906" t="inlineStr"/>
      <c r="CR906" t="inlineStr"/>
      <c r="CS906" t="inlineStr"/>
      <c r="CT906" t="inlineStr"/>
      <c r="CU906" t="inlineStr"/>
      <c r="CV906" t="inlineStr"/>
      <c r="CW906" t="inlineStr"/>
      <c r="CX906" t="inlineStr"/>
      <c r="CY906" t="inlineStr"/>
      <c r="CZ906" t="inlineStr"/>
      <c r="DA906" t="inlineStr"/>
      <c r="DB906" t="inlineStr"/>
      <c r="DC906" t="inlineStr"/>
      <c r="DD906" t="inlineStr"/>
      <c r="DE906" t="inlineStr"/>
      <c r="DF906" t="inlineStr"/>
      <c r="DG906" t="inlineStr"/>
    </row>
    <row r="907">
      <c r="A907" t="inlineStr">
        <is>
          <t>III</t>
        </is>
      </c>
      <c r="B907" t="b">
        <v>1</v>
      </c>
      <c r="C907" t="inlineStr"/>
      <c r="D907" t="inlineStr"/>
      <c r="E907" t="n">
        <v>992</v>
      </c>
      <c r="F907">
        <f>HYPERLINK("https://portal.dnb.de/opac.htm?method=simpleSearch&amp;cqlMode=true&amp;query=idn%3D995639922", "Portal")</f>
        <v/>
      </c>
      <c r="G907" t="inlineStr">
        <is>
          <t>Aal</t>
        </is>
      </c>
      <c r="H907" t="inlineStr">
        <is>
          <t>L-1548-160341663</t>
        </is>
      </c>
      <c r="I907" t="inlineStr">
        <is>
          <t>995639922</t>
        </is>
      </c>
      <c r="J907" t="inlineStr">
        <is>
          <t>III 101, 39</t>
        </is>
      </c>
      <c r="K907" t="inlineStr">
        <is>
          <t>III 101, 39</t>
        </is>
      </c>
      <c r="L907" t="inlineStr">
        <is>
          <t>III 101, 39</t>
        </is>
      </c>
      <c r="M907" t="inlineStr"/>
      <c r="N907" t="inlineStr">
        <is>
          <t>Marsilio Ficino ... de le tre Vite, cioè, A qual guisa si possono le persone letterate mantenere in sanità : Per qual guisa si possa l'huo. mo prolung</t>
        </is>
      </c>
      <c r="O907" t="inlineStr">
        <is>
          <t xml:space="preserve"> : </t>
        </is>
      </c>
      <c r="P907" t="inlineStr"/>
      <c r="Q907" t="inlineStr"/>
      <c r="R907" t="inlineStr"/>
      <c r="S907" t="inlineStr">
        <is>
          <t>bis 25 cm</t>
        </is>
      </c>
      <c r="T907" t="inlineStr"/>
      <c r="U907" t="inlineStr"/>
      <c r="V907" t="inlineStr"/>
      <c r="W907" t="inlineStr"/>
      <c r="X907" t="inlineStr"/>
      <c r="Y907" t="inlineStr"/>
      <c r="Z907" t="inlineStr"/>
      <c r="AA907" t="inlineStr"/>
      <c r="AB907" t="inlineStr"/>
      <c r="AC907" t="inlineStr"/>
      <c r="AD907" t="inlineStr"/>
      <c r="AE907" t="inlineStr"/>
      <c r="AF907" t="inlineStr"/>
      <c r="AG907" t="inlineStr"/>
      <c r="AH907" t="inlineStr"/>
      <c r="AI907" t="inlineStr">
        <is>
          <t>Pg</t>
        </is>
      </c>
      <c r="AJ907" t="inlineStr"/>
      <c r="AK907" t="inlineStr"/>
      <c r="AL907" t="inlineStr"/>
      <c r="AM907" t="inlineStr">
        <is>
          <t>h</t>
        </is>
      </c>
      <c r="AN907" t="inlineStr"/>
      <c r="AO907" t="inlineStr"/>
      <c r="AP907" t="inlineStr"/>
      <c r="AQ907" t="inlineStr"/>
      <c r="AR907" t="inlineStr"/>
      <c r="AS907" t="inlineStr">
        <is>
          <t>Pa</t>
        </is>
      </c>
      <c r="AT907" t="inlineStr"/>
      <c r="AU907" t="inlineStr"/>
      <c r="AV907" t="inlineStr"/>
      <c r="AW907" t="inlineStr"/>
      <c r="AX907" t="inlineStr"/>
      <c r="AY907" t="inlineStr"/>
      <c r="AZ907" t="inlineStr"/>
      <c r="BA907" t="inlineStr"/>
      <c r="BB907" t="inlineStr"/>
      <c r="BC907" t="inlineStr"/>
      <c r="BD907" t="inlineStr"/>
      <c r="BE907" t="inlineStr"/>
      <c r="BF907" t="inlineStr"/>
      <c r="BG907" t="n">
        <v>110</v>
      </c>
      <c r="BH907" t="inlineStr"/>
      <c r="BI907" t="inlineStr"/>
      <c r="BJ907" t="inlineStr"/>
      <c r="BK907" t="inlineStr"/>
      <c r="BL907" t="inlineStr"/>
      <c r="BM907" t="inlineStr">
        <is>
          <t>n</t>
        </is>
      </c>
      <c r="BN907" t="n">
        <v>0</v>
      </c>
      <c r="BO907" t="inlineStr"/>
      <c r="BP907" t="inlineStr"/>
      <c r="BQ907" t="inlineStr"/>
      <c r="BR907" t="inlineStr"/>
      <c r="BS907" t="inlineStr"/>
      <c r="BT907" t="inlineStr"/>
      <c r="BU907" t="inlineStr"/>
      <c r="BV907" t="inlineStr"/>
      <c r="BW907" t="inlineStr"/>
      <c r="BX907" t="inlineStr"/>
      <c r="BY907" t="inlineStr"/>
      <c r="BZ907" t="inlineStr"/>
      <c r="CA907" t="inlineStr"/>
      <c r="CB907" t="inlineStr"/>
      <c r="CC907" t="inlineStr"/>
      <c r="CD907" t="inlineStr"/>
      <c r="CE907" t="inlineStr"/>
      <c r="CF907" t="inlineStr"/>
      <c r="CG907" t="inlineStr"/>
      <c r="CH907" t="inlineStr"/>
      <c r="CI907" t="inlineStr"/>
      <c r="CJ907" t="inlineStr"/>
      <c r="CK907" t="inlineStr"/>
      <c r="CL907" t="inlineStr"/>
      <c r="CM907" t="inlineStr"/>
      <c r="CN907" t="inlineStr"/>
      <c r="CO907" t="inlineStr"/>
      <c r="CP907" t="inlineStr"/>
      <c r="CQ907" t="inlineStr"/>
      <c r="CR907" t="inlineStr"/>
      <c r="CS907" t="inlineStr"/>
      <c r="CT907" t="inlineStr"/>
      <c r="CU907" t="inlineStr"/>
      <c r="CV907" t="inlineStr"/>
      <c r="CW907" t="inlineStr"/>
      <c r="CX907" t="inlineStr"/>
      <c r="CY907" t="inlineStr"/>
      <c r="CZ907" t="inlineStr"/>
      <c r="DA907" t="inlineStr"/>
      <c r="DB907" t="inlineStr"/>
      <c r="DC907" t="inlineStr"/>
      <c r="DD907" t="inlineStr"/>
      <c r="DE907" t="inlineStr"/>
      <c r="DF907" t="inlineStr"/>
      <c r="DG907" t="inlineStr"/>
    </row>
    <row r="908">
      <c r="A908" t="inlineStr">
        <is>
          <t>III</t>
        </is>
      </c>
      <c r="B908" t="b">
        <v>1</v>
      </c>
      <c r="C908" t="inlineStr"/>
      <c r="D908" t="inlineStr"/>
      <c r="E908" t="n">
        <v>993</v>
      </c>
      <c r="F908">
        <f>HYPERLINK("https://portal.dnb.de/opac.htm?method=simpleSearch&amp;cqlMode=true&amp;query=idn%3D999831461", "Portal")</f>
        <v/>
      </c>
      <c r="G908" t="inlineStr">
        <is>
          <t>Aal</t>
        </is>
      </c>
      <c r="H908" t="inlineStr">
        <is>
          <t>L-1558-169513238</t>
        </is>
      </c>
      <c r="I908" t="inlineStr">
        <is>
          <t>999831461</t>
        </is>
      </c>
      <c r="J908" t="inlineStr">
        <is>
          <t>III 101, 40</t>
        </is>
      </c>
      <c r="K908" t="inlineStr">
        <is>
          <t>III 101, 40</t>
        </is>
      </c>
      <c r="L908" t="inlineStr">
        <is>
          <t>III 101, 40</t>
        </is>
      </c>
      <c r="M908" t="inlineStr"/>
      <c r="N908" t="inlineStr">
        <is>
          <t xml:space="preserve">Onvphrii Panvinii Veronensis Fratris Eremitae Augustiniani Reipvblicae Romanae commentariorum libri tres ... : </t>
        </is>
      </c>
      <c r="O908" t="inlineStr">
        <is>
          <t xml:space="preserve"> : </t>
        </is>
      </c>
      <c r="P908" t="inlineStr"/>
      <c r="Q908" t="inlineStr"/>
      <c r="R908" t="inlineStr"/>
      <c r="S908" t="inlineStr">
        <is>
          <t>bis 25 cm</t>
        </is>
      </c>
      <c r="T908" t="inlineStr"/>
      <c r="U908" t="inlineStr"/>
      <c r="V908" t="inlineStr"/>
      <c r="W908" t="inlineStr"/>
      <c r="X908" t="inlineStr"/>
      <c r="Y908" t="inlineStr"/>
      <c r="Z908" t="inlineStr"/>
      <c r="AA908" t="inlineStr"/>
      <c r="AB908" t="inlineStr"/>
      <c r="AC908" t="inlineStr"/>
      <c r="AD908" t="inlineStr"/>
      <c r="AE908" t="inlineStr"/>
      <c r="AF908" t="inlineStr"/>
      <c r="AG908" t="inlineStr"/>
      <c r="AH908" t="inlineStr"/>
      <c r="AI908" t="inlineStr">
        <is>
          <t>HPg</t>
        </is>
      </c>
      <c r="AJ908" t="inlineStr"/>
      <c r="AK908" t="inlineStr"/>
      <c r="AL908" t="inlineStr"/>
      <c r="AM908" t="inlineStr">
        <is>
          <t>h</t>
        </is>
      </c>
      <c r="AN908" t="inlineStr"/>
      <c r="AO908" t="inlineStr"/>
      <c r="AP908" t="inlineStr"/>
      <c r="AQ908" t="inlineStr"/>
      <c r="AR908" t="inlineStr"/>
      <c r="AS908" t="inlineStr">
        <is>
          <t>Pa</t>
        </is>
      </c>
      <c r="AT908" t="inlineStr"/>
      <c r="AU908" t="inlineStr"/>
      <c r="AV908" t="inlineStr"/>
      <c r="AW908" t="inlineStr"/>
      <c r="AX908" t="inlineStr"/>
      <c r="AY908" t="inlineStr"/>
      <c r="AZ908" t="inlineStr"/>
      <c r="BA908" t="inlineStr"/>
      <c r="BB908" t="inlineStr"/>
      <c r="BC908" t="inlineStr"/>
      <c r="BD908" t="inlineStr"/>
      <c r="BE908" t="inlineStr"/>
      <c r="BF908" t="inlineStr"/>
      <c r="BG908" t="n">
        <v>110</v>
      </c>
      <c r="BH908" t="inlineStr"/>
      <c r="BI908" t="inlineStr"/>
      <c r="BJ908" t="inlineStr"/>
      <c r="BK908" t="inlineStr"/>
      <c r="BL908" t="inlineStr"/>
      <c r="BM908" t="inlineStr">
        <is>
          <t>n</t>
        </is>
      </c>
      <c r="BN908" t="n">
        <v>0</v>
      </c>
      <c r="BO908" t="inlineStr"/>
      <c r="BP908" t="inlineStr"/>
      <c r="BQ908" t="inlineStr"/>
      <c r="BR908" t="inlineStr"/>
      <c r="BS908" t="inlineStr"/>
      <c r="BT908" t="inlineStr"/>
      <c r="BU908" t="inlineStr"/>
      <c r="BV908" t="inlineStr"/>
      <c r="BW908" t="inlineStr"/>
      <c r="BX908" t="inlineStr"/>
      <c r="BY908" t="inlineStr"/>
      <c r="BZ908" t="inlineStr"/>
      <c r="CA908" t="inlineStr"/>
      <c r="CB908" t="inlineStr"/>
      <c r="CC908" t="inlineStr"/>
      <c r="CD908" t="inlineStr"/>
      <c r="CE908" t="inlineStr"/>
      <c r="CF908" t="inlineStr"/>
      <c r="CG908" t="inlineStr"/>
      <c r="CH908" t="inlineStr"/>
      <c r="CI908" t="inlineStr"/>
      <c r="CJ908" t="inlineStr"/>
      <c r="CK908" t="inlineStr"/>
      <c r="CL908" t="inlineStr"/>
      <c r="CM908" t="inlineStr"/>
      <c r="CN908" t="inlineStr"/>
      <c r="CO908" t="inlineStr"/>
      <c r="CP908" t="inlineStr"/>
      <c r="CQ908" t="inlineStr"/>
      <c r="CR908" t="inlineStr"/>
      <c r="CS908" t="inlineStr"/>
      <c r="CT908" t="inlineStr"/>
      <c r="CU908" t="inlineStr"/>
      <c r="CV908" t="inlineStr"/>
      <c r="CW908" t="inlineStr"/>
      <c r="CX908" t="inlineStr"/>
      <c r="CY908" t="inlineStr"/>
      <c r="CZ908" t="inlineStr"/>
      <c r="DA908" t="inlineStr"/>
      <c r="DB908" t="inlineStr"/>
      <c r="DC908" t="inlineStr"/>
      <c r="DD908" t="inlineStr"/>
      <c r="DE908" t="inlineStr"/>
      <c r="DF908" t="inlineStr"/>
      <c r="DG908" t="inlineStr"/>
    </row>
    <row r="909">
      <c r="A909" t="inlineStr">
        <is>
          <t>III</t>
        </is>
      </c>
      <c r="B909" t="b">
        <v>1</v>
      </c>
      <c r="C909" t="inlineStr">
        <is>
          <t>x</t>
        </is>
      </c>
      <c r="D909" t="inlineStr"/>
      <c r="E909" t="n">
        <v>994</v>
      </c>
      <c r="F909">
        <f>HYPERLINK("https://portal.dnb.de/opac.htm?method=simpleSearch&amp;cqlMode=true&amp;query=idn%3D994566255", "Portal")</f>
        <v/>
      </c>
      <c r="G909" t="inlineStr">
        <is>
          <t>Aal</t>
        </is>
      </c>
      <c r="H909" t="inlineStr">
        <is>
          <t>L-1501-15663757X</t>
        </is>
      </c>
      <c r="I909" t="inlineStr">
        <is>
          <t>994566255</t>
        </is>
      </c>
      <c r="J909" t="inlineStr">
        <is>
          <t>III 101, 41</t>
        </is>
      </c>
      <c r="K909" t="inlineStr">
        <is>
          <t>III 101, 41</t>
        </is>
      </c>
      <c r="L909" t="inlineStr">
        <is>
          <t>III 101, 41</t>
        </is>
      </c>
      <c r="M909" t="inlineStr">
        <is>
          <t>steht bei GF</t>
        </is>
      </c>
      <c r="N909" t="inlineStr">
        <is>
          <t xml:space="preserve">Digestum uetus|| de Tortis : </t>
        </is>
      </c>
      <c r="O909" t="inlineStr">
        <is>
          <t xml:space="preserve"> : </t>
        </is>
      </c>
      <c r="P909" t="inlineStr"/>
      <c r="Q909" t="inlineStr"/>
      <c r="R909" t="inlineStr"/>
      <c r="S909" t="inlineStr">
        <is>
          <t>&gt; 42 cm</t>
        </is>
      </c>
      <c r="T909" t="inlineStr"/>
      <c r="U909" t="inlineStr"/>
      <c r="V909" t="inlineStr"/>
      <c r="W909" t="inlineStr"/>
      <c r="X909" t="inlineStr"/>
      <c r="Y909" t="inlineStr"/>
      <c r="Z909" t="inlineStr"/>
      <c r="AA909" t="inlineStr"/>
      <c r="AB909" t="inlineStr"/>
      <c r="AC909" t="inlineStr"/>
      <c r="AD909" t="inlineStr"/>
      <c r="AE909" t="inlineStr"/>
      <c r="AF909" t="inlineStr"/>
      <c r="AG909" t="inlineStr"/>
      <c r="AH909" t="inlineStr"/>
      <c r="AI909" t="inlineStr">
        <is>
          <t>HD</t>
        </is>
      </c>
      <c r="AJ909" t="inlineStr"/>
      <c r="AK909" t="inlineStr"/>
      <c r="AL909" t="inlineStr"/>
      <c r="AM909" t="inlineStr">
        <is>
          <t>f</t>
        </is>
      </c>
      <c r="AN909" t="inlineStr"/>
      <c r="AO909" t="inlineStr"/>
      <c r="AP909" t="inlineStr"/>
      <c r="AQ909" t="inlineStr"/>
      <c r="AR909" t="inlineStr">
        <is>
          <t>x</t>
        </is>
      </c>
      <c r="AS909" t="inlineStr">
        <is>
          <t>Pa</t>
        </is>
      </c>
      <c r="AT909" t="inlineStr"/>
      <c r="AU909" t="inlineStr"/>
      <c r="AV909" t="inlineStr"/>
      <c r="AW909" t="inlineStr"/>
      <c r="AX909" t="inlineStr"/>
      <c r="AY909" t="inlineStr"/>
      <c r="AZ909" t="inlineStr"/>
      <c r="BA909" t="inlineStr"/>
      <c r="BB909" t="inlineStr"/>
      <c r="BC909" t="inlineStr">
        <is>
          <t>I/R</t>
        </is>
      </c>
      <c r="BD909" t="inlineStr">
        <is>
          <t>x</t>
        </is>
      </c>
      <c r="BE909" t="inlineStr"/>
      <c r="BF909" t="inlineStr"/>
      <c r="BG909" t="n">
        <v>60</v>
      </c>
      <c r="BH909" t="inlineStr"/>
      <c r="BI909" t="inlineStr"/>
      <c r="BJ909" t="inlineStr"/>
      <c r="BK909" t="inlineStr"/>
      <c r="BL909" t="inlineStr"/>
      <c r="BM909" t="inlineStr">
        <is>
          <t>ja vor</t>
        </is>
      </c>
      <c r="BN909" t="n">
        <v>0.5</v>
      </c>
      <c r="BO909" t="inlineStr"/>
      <c r="BP909" t="inlineStr"/>
      <c r="BQ909" t="inlineStr"/>
      <c r="BR909" t="inlineStr"/>
      <c r="BS909" t="inlineStr"/>
      <c r="BT909" t="inlineStr">
        <is>
          <t>x sauer</t>
        </is>
      </c>
      <c r="BU909" t="inlineStr">
        <is>
          <t>x</t>
        </is>
      </c>
      <c r="BV909" t="inlineStr"/>
      <c r="BW909" t="inlineStr"/>
      <c r="BX909" t="inlineStr"/>
      <c r="BY909" t="inlineStr">
        <is>
          <t>Box (sperrt)</t>
        </is>
      </c>
      <c r="BZ909" t="inlineStr"/>
      <c r="CA909" t="inlineStr"/>
      <c r="CB909" t="inlineStr"/>
      <c r="CC909" t="inlineStr"/>
      <c r="CD909" t="inlineStr"/>
      <c r="CE909" t="inlineStr"/>
      <c r="CF909" t="inlineStr"/>
      <c r="CG909" t="inlineStr"/>
      <c r="CH909" t="inlineStr"/>
      <c r="CI909" t="inlineStr"/>
      <c r="CJ909" t="inlineStr"/>
      <c r="CK909" t="inlineStr"/>
      <c r="CL909" t="inlineStr"/>
      <c r="CM909" t="inlineStr"/>
      <c r="CN909" t="inlineStr"/>
      <c r="CO909" t="inlineStr">
        <is>
          <t>x</t>
        </is>
      </c>
      <c r="CP909" t="inlineStr"/>
      <c r="CQ909" t="inlineStr"/>
      <c r="CR909" t="inlineStr"/>
      <c r="CS909" t="inlineStr"/>
      <c r="CT909" t="inlineStr"/>
      <c r="CU909" t="inlineStr"/>
      <c r="CV909" t="inlineStr"/>
      <c r="CW909" t="inlineStr"/>
      <c r="CX909" t="inlineStr"/>
      <c r="CY909" t="inlineStr"/>
      <c r="CZ909" t="inlineStr"/>
      <c r="DA909" t="inlineStr"/>
      <c r="DB909" t="inlineStr"/>
      <c r="DC909" t="inlineStr"/>
      <c r="DD909" t="inlineStr"/>
      <c r="DE909" t="inlineStr"/>
      <c r="DF909" t="n">
        <v>0.5</v>
      </c>
      <c r="DG909" t="inlineStr">
        <is>
          <t>Vorsatz trocken reinigen (v.a. hinten)</t>
        </is>
      </c>
    </row>
    <row r="910">
      <c r="A910" t="inlineStr">
        <is>
          <t>III</t>
        </is>
      </c>
      <c r="B910" t="b">
        <v>1</v>
      </c>
      <c r="C910" t="inlineStr">
        <is>
          <t>x</t>
        </is>
      </c>
      <c r="D910" t="inlineStr"/>
      <c r="E910" t="n">
        <v>995</v>
      </c>
      <c r="F910">
        <f>HYPERLINK("https://portal.dnb.de/opac.htm?method=simpleSearch&amp;cqlMode=true&amp;query=idn%3D1002268591", "Portal")</f>
        <v/>
      </c>
      <c r="G910" t="inlineStr">
        <is>
          <t>Aal</t>
        </is>
      </c>
      <c r="H910" t="inlineStr">
        <is>
          <t>L-1536-17692017X</t>
        </is>
      </c>
      <c r="I910" t="inlineStr">
        <is>
          <t>1002268591</t>
        </is>
      </c>
      <c r="J910" t="inlineStr">
        <is>
          <t>III 101, 42</t>
        </is>
      </c>
      <c r="K910" t="inlineStr">
        <is>
          <t>III 101, 42</t>
        </is>
      </c>
      <c r="L910" t="inlineStr">
        <is>
          <t>III 101, 42</t>
        </is>
      </c>
      <c r="M910" t="inlineStr"/>
      <c r="N910" t="inlineStr">
        <is>
          <t xml:space="preserve">Habes hic amice lector|| : </t>
        </is>
      </c>
      <c r="O910" t="inlineStr">
        <is>
          <t xml:space="preserve"> : </t>
        </is>
      </c>
      <c r="P910" t="inlineStr"/>
      <c r="Q910" t="inlineStr"/>
      <c r="R910" t="inlineStr"/>
      <c r="S910" t="inlineStr">
        <is>
          <t>bis 35 cm</t>
        </is>
      </c>
      <c r="T910" t="inlineStr"/>
      <c r="U910" t="inlineStr"/>
      <c r="V910" t="inlineStr"/>
      <c r="W910" t="inlineStr"/>
      <c r="X910" t="inlineStr"/>
      <c r="Y910" t="inlineStr"/>
      <c r="Z910" t="inlineStr"/>
      <c r="AA910" t="inlineStr"/>
      <c r="AB910" t="inlineStr"/>
      <c r="AC910" t="inlineStr"/>
      <c r="AD910" t="inlineStr"/>
      <c r="AE910" t="inlineStr"/>
      <c r="AF910" t="inlineStr"/>
      <c r="AG910" t="inlineStr"/>
      <c r="AH910" t="inlineStr"/>
      <c r="AI910" t="inlineStr">
        <is>
          <t>Pg</t>
        </is>
      </c>
      <c r="AJ910" t="inlineStr"/>
      <c r="AK910" t="inlineStr"/>
      <c r="AL910" t="inlineStr"/>
      <c r="AM910" t="inlineStr">
        <is>
          <t>h</t>
        </is>
      </c>
      <c r="AN910" t="inlineStr"/>
      <c r="AO910" t="inlineStr"/>
      <c r="AP910" t="inlineStr"/>
      <c r="AQ910" t="inlineStr"/>
      <c r="AR910" t="inlineStr"/>
      <c r="AS910" t="inlineStr">
        <is>
          <t>Pa</t>
        </is>
      </c>
      <c r="AT910" t="inlineStr"/>
      <c r="AU910" t="inlineStr"/>
      <c r="AV910" t="inlineStr"/>
      <c r="AW910" t="inlineStr"/>
      <c r="AX910" t="inlineStr"/>
      <c r="AY910" t="inlineStr"/>
      <c r="AZ910" t="inlineStr"/>
      <c r="BA910" t="inlineStr"/>
      <c r="BB910" t="inlineStr"/>
      <c r="BC910" t="inlineStr"/>
      <c r="BD910" t="inlineStr"/>
      <c r="BE910" t="inlineStr"/>
      <c r="BF910" t="inlineStr"/>
      <c r="BG910" t="n">
        <v>110</v>
      </c>
      <c r="BH910" t="inlineStr"/>
      <c r="BI910" t="inlineStr"/>
      <c r="BJ910" t="inlineStr"/>
      <c r="BK910" t="inlineStr"/>
      <c r="BL910" t="inlineStr"/>
      <c r="BM910" t="inlineStr">
        <is>
          <t>ja vor</t>
        </is>
      </c>
      <c r="BN910" t="n">
        <v>1.5</v>
      </c>
      <c r="BO910" t="inlineStr"/>
      <c r="BP910" t="inlineStr"/>
      <c r="BQ910" t="inlineStr"/>
      <c r="BR910" t="inlineStr"/>
      <c r="BS910" t="inlineStr"/>
      <c r="BT910" t="inlineStr">
        <is>
          <t>x sauer</t>
        </is>
      </c>
      <c r="BU910" t="inlineStr">
        <is>
          <t>x</t>
        </is>
      </c>
      <c r="BV910" t="inlineStr"/>
      <c r="BW910" t="inlineStr"/>
      <c r="BX910" t="inlineStr"/>
      <c r="BY910" t="inlineStr"/>
      <c r="BZ910" t="inlineStr"/>
      <c r="CA910" t="inlineStr"/>
      <c r="CB910" t="inlineStr"/>
      <c r="CC910" t="inlineStr"/>
      <c r="CD910" t="inlineStr"/>
      <c r="CE910" t="inlineStr"/>
      <c r="CF910" t="inlineStr"/>
      <c r="CG910" t="inlineStr"/>
      <c r="CH910" t="inlineStr"/>
      <c r="CI910" t="inlineStr"/>
      <c r="CJ910" t="inlineStr"/>
      <c r="CK910" t="inlineStr"/>
      <c r="CL910" t="inlineStr"/>
      <c r="CM910" t="inlineStr"/>
      <c r="CN910" t="inlineStr"/>
      <c r="CO910" t="inlineStr"/>
      <c r="CP910" t="inlineStr"/>
      <c r="CQ910" t="inlineStr"/>
      <c r="CR910" t="inlineStr"/>
      <c r="CS910" t="inlineStr">
        <is>
          <t>x</t>
        </is>
      </c>
      <c r="CT910" t="inlineStr"/>
      <c r="CU910" t="inlineStr"/>
      <c r="CV910" t="inlineStr"/>
      <c r="CW910" t="inlineStr">
        <is>
          <t>x</t>
        </is>
      </c>
      <c r="CX910" t="inlineStr"/>
      <c r="CY910" t="inlineStr"/>
      <c r="CZ910" t="inlineStr"/>
      <c r="DA910" t="inlineStr"/>
      <c r="DB910" t="inlineStr"/>
      <c r="DC910" t="inlineStr">
        <is>
          <t>x</t>
        </is>
      </c>
      <c r="DD910" t="inlineStr"/>
      <c r="DE910" t="inlineStr"/>
      <c r="DF910" t="n">
        <v>1.5</v>
      </c>
      <c r="DG910" t="inlineStr"/>
    </row>
    <row r="911">
      <c r="A911" t="inlineStr">
        <is>
          <t>III</t>
        </is>
      </c>
      <c r="B911" t="b">
        <v>1</v>
      </c>
      <c r="C911" t="inlineStr">
        <is>
          <t>x</t>
        </is>
      </c>
      <c r="D911" t="inlineStr"/>
      <c r="E911" t="n">
        <v>996</v>
      </c>
      <c r="F911">
        <f>HYPERLINK("https://portal.dnb.de/opac.htm?method=simpleSearch&amp;cqlMode=true&amp;query=idn%3D1026393566", "Portal")</f>
        <v/>
      </c>
      <c r="G911" t="inlineStr">
        <is>
          <t>Aa</t>
        </is>
      </c>
      <c r="H911" t="inlineStr">
        <is>
          <t>L-2012-327106</t>
        </is>
      </c>
      <c r="I911" t="inlineStr">
        <is>
          <t>1026393566</t>
        </is>
      </c>
      <c r="J911" t="inlineStr">
        <is>
          <t>III 101, 43</t>
        </is>
      </c>
      <c r="K911" t="inlineStr">
        <is>
          <t>III 101, 43</t>
        </is>
      </c>
      <c r="L911" t="inlineStr">
        <is>
          <t>III 101, 43</t>
        </is>
      </c>
      <c r="M911" t="inlineStr"/>
      <c r="N911" t="inlineStr">
        <is>
          <t>Svpplementvm Svpplementi Delle Croniche Del Venerando Padre Frate Iacobo Philippo, del ordine Heremitano, Primo Auttore : Nouamente reuisto, Vulgariza</t>
        </is>
      </c>
      <c r="O911" t="inlineStr">
        <is>
          <t xml:space="preserve"> : </t>
        </is>
      </c>
      <c r="P911" t="inlineStr"/>
      <c r="Q911" t="inlineStr">
        <is>
          <t>4500,00 EUR</t>
        </is>
      </c>
      <c r="R911" t="inlineStr"/>
      <c r="S911" t="inlineStr">
        <is>
          <t>bis 35 cm</t>
        </is>
      </c>
      <c r="T911" t="inlineStr"/>
      <c r="U911" t="inlineStr"/>
      <c r="V911" t="inlineStr"/>
      <c r="W911" t="inlineStr"/>
      <c r="X911" t="inlineStr"/>
      <c r="Y911" t="inlineStr"/>
      <c r="Z911" t="inlineStr"/>
      <c r="AA911" t="inlineStr"/>
      <c r="AB911" t="inlineStr"/>
      <c r="AC911" t="inlineStr"/>
      <c r="AD911" t="inlineStr"/>
      <c r="AE911" t="inlineStr"/>
      <c r="AF911" t="inlineStr"/>
      <c r="AG911" t="inlineStr"/>
      <c r="AH911" t="inlineStr"/>
      <c r="AI911" t="inlineStr">
        <is>
          <t>Pa</t>
        </is>
      </c>
      <c r="AJ911" t="inlineStr"/>
      <c r="AK911" t="inlineStr"/>
      <c r="AL911" t="inlineStr"/>
      <c r="AM911" t="inlineStr">
        <is>
          <t>h</t>
        </is>
      </c>
      <c r="AN911" t="inlineStr"/>
      <c r="AO911" t="inlineStr"/>
      <c r="AP911" t="inlineStr"/>
      <c r="AQ911" t="inlineStr"/>
      <c r="AR911" t="inlineStr"/>
      <c r="AS911" t="inlineStr">
        <is>
          <t>Pa</t>
        </is>
      </c>
      <c r="AT911" t="inlineStr"/>
      <c r="AU911" t="inlineStr"/>
      <c r="AV911" t="inlineStr"/>
      <c r="AW911" t="inlineStr"/>
      <c r="AX911" t="inlineStr"/>
      <c r="AY911" t="inlineStr"/>
      <c r="AZ911" t="inlineStr"/>
      <c r="BA911" t="inlineStr"/>
      <c r="BB911" t="inlineStr"/>
      <c r="BC911" t="inlineStr">
        <is>
          <t>K</t>
        </is>
      </c>
      <c r="BD911" t="inlineStr">
        <is>
          <t>x</t>
        </is>
      </c>
      <c r="BE911" t="n">
        <v>0</v>
      </c>
      <c r="BF911" t="inlineStr">
        <is>
          <t>x</t>
        </is>
      </c>
      <c r="BG911" t="n">
        <v>110</v>
      </c>
      <c r="BH911" t="inlineStr"/>
      <c r="BI911" t="inlineStr"/>
      <c r="BJ911" t="inlineStr"/>
      <c r="BK911" t="inlineStr"/>
      <c r="BL911" t="inlineStr"/>
      <c r="BM911" t="inlineStr">
        <is>
          <t>ja vor</t>
        </is>
      </c>
      <c r="BN911" t="n">
        <v>0.5</v>
      </c>
      <c r="BO911" t="inlineStr"/>
      <c r="BP911" t="inlineStr"/>
      <c r="BQ911" t="inlineStr"/>
      <c r="BR911" t="inlineStr"/>
      <c r="BS911" t="inlineStr">
        <is>
          <t>x</t>
        </is>
      </c>
      <c r="BT911" t="inlineStr"/>
      <c r="BU911" t="inlineStr"/>
      <c r="BV911" t="inlineStr"/>
      <c r="BW911" t="inlineStr"/>
      <c r="BX911" t="inlineStr"/>
      <c r="BY911" t="inlineStr"/>
      <c r="BZ911" t="inlineStr"/>
      <c r="CA911" t="inlineStr"/>
      <c r="CB911" t="inlineStr">
        <is>
          <t>x</t>
        </is>
      </c>
      <c r="CC911" t="inlineStr"/>
      <c r="CD911" t="inlineStr"/>
      <c r="CE911" t="inlineStr"/>
      <c r="CF911" t="inlineStr"/>
      <c r="CG911" t="inlineStr"/>
      <c r="CH911" t="inlineStr"/>
      <c r="CI911" t="inlineStr"/>
      <c r="CJ911" t="inlineStr"/>
      <c r="CK911" t="inlineStr"/>
      <c r="CL911" t="inlineStr"/>
      <c r="CM911" t="n">
        <v>0.5</v>
      </c>
      <c r="CN911" t="inlineStr"/>
      <c r="CO911" t="inlineStr"/>
      <c r="CP911" t="inlineStr"/>
      <c r="CQ911" t="inlineStr"/>
      <c r="CR911" t="inlineStr"/>
      <c r="CS911" t="inlineStr"/>
      <c r="CT911" t="inlineStr"/>
      <c r="CU911" t="inlineStr"/>
      <c r="CV911" t="inlineStr"/>
      <c r="CW911" t="inlineStr"/>
      <c r="CX911" t="inlineStr"/>
      <c r="CY911" t="inlineStr"/>
      <c r="CZ911" t="inlineStr"/>
      <c r="DA911" t="inlineStr"/>
      <c r="DB911" t="inlineStr"/>
      <c r="DC911" t="inlineStr"/>
      <c r="DD911" t="inlineStr"/>
      <c r="DE911" t="inlineStr"/>
      <c r="DF911" t="inlineStr"/>
      <c r="DG911" t="inlineStr"/>
    </row>
    <row r="912">
      <c r="A912" t="inlineStr">
        <is>
          <t>III</t>
        </is>
      </c>
      <c r="B912" t="b">
        <v>1</v>
      </c>
      <c r="C912" t="inlineStr"/>
      <c r="D912" t="inlineStr"/>
      <c r="E912" t="n">
        <v>997</v>
      </c>
      <c r="F912">
        <f>HYPERLINK("https://portal.dnb.de/opac.htm?method=simpleSearch&amp;cqlMode=true&amp;query=idn%3D118582569X", "Portal")</f>
        <v/>
      </c>
      <c r="G912" t="inlineStr">
        <is>
          <t>Aa</t>
        </is>
      </c>
      <c r="H912" t="inlineStr">
        <is>
          <t>L-2019-302232</t>
        </is>
      </c>
      <c r="I912" t="inlineStr">
        <is>
          <t>118582569X</t>
        </is>
      </c>
      <c r="J912" t="inlineStr">
        <is>
          <t>III 101, 44</t>
        </is>
      </c>
      <c r="K912" t="inlineStr">
        <is>
          <t>III 101, 44</t>
        </is>
      </c>
      <c r="L912" t="inlineStr">
        <is>
          <t>III 101, 44</t>
        </is>
      </c>
      <c r="M912" t="inlineStr"/>
      <c r="N912" t="inlineStr">
        <is>
          <t>Fratris Hieronymi Sauonarolæ Ferrariensis Expositioes in psalmos : Qui regis Israel : Miserere mei Deus : In te domine speraui : Item regulæ quedam fr</t>
        </is>
      </c>
      <c r="O912" t="inlineStr">
        <is>
          <t xml:space="preserve"> : </t>
        </is>
      </c>
      <c r="P912" t="inlineStr"/>
      <c r="Q912" t="inlineStr">
        <is>
          <t>354,00  EUR</t>
        </is>
      </c>
      <c r="R912" t="inlineStr"/>
      <c r="S912" t="inlineStr">
        <is>
          <t>bis 25 cm</t>
        </is>
      </c>
      <c r="T912" t="inlineStr"/>
      <c r="U912" t="inlineStr"/>
      <c r="V912" t="inlineStr"/>
      <c r="W912" t="inlineStr"/>
      <c r="X912" t="inlineStr"/>
      <c r="Y912" t="inlineStr"/>
      <c r="Z912" t="inlineStr"/>
      <c r="AA912" t="inlineStr"/>
      <c r="AB912" t="inlineStr"/>
      <c r="AC912" t="inlineStr"/>
      <c r="AD912" t="inlineStr"/>
      <c r="AE912" t="inlineStr"/>
      <c r="AF912" t="inlineStr"/>
      <c r="AG912" t="inlineStr"/>
      <c r="AH912" t="inlineStr"/>
      <c r="AI912" t="inlineStr">
        <is>
          <t>Pg</t>
        </is>
      </c>
      <c r="AJ912" t="inlineStr"/>
      <c r="AK912" t="inlineStr"/>
      <c r="AL912" t="inlineStr"/>
      <c r="AM912" t="inlineStr">
        <is>
          <t>h</t>
        </is>
      </c>
      <c r="AN912" t="inlineStr"/>
      <c r="AO912" t="inlineStr"/>
      <c r="AP912" t="inlineStr"/>
      <c r="AQ912" t="inlineStr"/>
      <c r="AR912" t="inlineStr"/>
      <c r="AS912" t="inlineStr">
        <is>
          <t>Pa</t>
        </is>
      </c>
      <c r="AT912" t="inlineStr"/>
      <c r="AU912" t="inlineStr"/>
      <c r="AV912" t="inlineStr"/>
      <c r="AW912" t="inlineStr"/>
      <c r="AX912" t="inlineStr"/>
      <c r="AY912" t="inlineStr"/>
      <c r="AZ912" t="inlineStr"/>
      <c r="BA912" t="inlineStr"/>
      <c r="BB912" t="inlineStr"/>
      <c r="BC912" t="inlineStr"/>
      <c r="BD912" t="inlineStr"/>
      <c r="BE912" t="inlineStr"/>
      <c r="BF912" t="inlineStr"/>
      <c r="BG912" t="n">
        <v>110</v>
      </c>
      <c r="BH912" t="inlineStr"/>
      <c r="BI912" t="inlineStr"/>
      <c r="BJ912" t="inlineStr"/>
      <c r="BK912" t="inlineStr"/>
      <c r="BL912" t="inlineStr"/>
      <c r="BM912" t="inlineStr">
        <is>
          <t>n</t>
        </is>
      </c>
      <c r="BN912" t="n">
        <v>0</v>
      </c>
      <c r="BO912" t="inlineStr"/>
      <c r="BP912" t="inlineStr"/>
      <c r="BQ912" t="inlineStr"/>
      <c r="BR912" t="inlineStr"/>
      <c r="BS912" t="inlineStr">
        <is>
          <t>x</t>
        </is>
      </c>
      <c r="BT912" t="inlineStr"/>
      <c r="BU912" t="inlineStr"/>
      <c r="BV912" t="inlineStr"/>
      <c r="BW912" t="inlineStr"/>
      <c r="BX912" t="inlineStr"/>
      <c r="BY912" t="inlineStr"/>
      <c r="BZ912" t="inlineStr"/>
      <c r="CA912" t="inlineStr"/>
      <c r="CB912" t="inlineStr"/>
      <c r="CC912" t="inlineStr"/>
      <c r="CD912" t="inlineStr"/>
      <c r="CE912" t="inlineStr"/>
      <c r="CF912" t="inlineStr"/>
      <c r="CG912" t="inlineStr"/>
      <c r="CH912" t="inlineStr"/>
      <c r="CI912" t="inlineStr"/>
      <c r="CJ912" t="inlineStr"/>
      <c r="CK912" t="inlineStr"/>
      <c r="CL912" t="inlineStr"/>
      <c r="CM912" t="inlineStr"/>
      <c r="CN912" t="inlineStr"/>
      <c r="CO912" t="inlineStr"/>
      <c r="CP912" t="inlineStr"/>
      <c r="CQ912" t="inlineStr"/>
      <c r="CR912" t="inlineStr"/>
      <c r="CS912" t="inlineStr"/>
      <c r="CT912" t="inlineStr"/>
      <c r="CU912" t="inlineStr"/>
      <c r="CV912" t="inlineStr"/>
      <c r="CW912" t="inlineStr"/>
      <c r="CX912" t="inlineStr"/>
      <c r="CY912" t="inlineStr"/>
      <c r="CZ912" t="inlineStr"/>
      <c r="DA912" t="inlineStr"/>
      <c r="DB912" t="inlineStr"/>
      <c r="DC912" t="inlineStr"/>
      <c r="DD912" t="inlineStr"/>
      <c r="DE912" t="inlineStr"/>
      <c r="DF912" t="inlineStr"/>
      <c r="DG912" t="inlineStr"/>
    </row>
    <row r="913">
      <c r="A913" t="inlineStr">
        <is>
          <t>III</t>
        </is>
      </c>
      <c r="B913" t="b">
        <v>1</v>
      </c>
      <c r="C913" t="inlineStr"/>
      <c r="D913" t="inlineStr"/>
      <c r="E913" t="n">
        <v>1014</v>
      </c>
      <c r="F913">
        <f>HYPERLINK("https://portal.dnb.de/opac.htm?method=simpleSearch&amp;cqlMode=true&amp;query=idn%3D1066959722", "Portal")</f>
        <v/>
      </c>
      <c r="G913" t="inlineStr">
        <is>
          <t>Aaf</t>
        </is>
      </c>
      <c r="H913" t="inlineStr">
        <is>
          <t>L-1505-31549025X</t>
        </is>
      </c>
      <c r="I913" t="inlineStr">
        <is>
          <t>1066959722</t>
        </is>
      </c>
      <c r="J913" t="inlineStr">
        <is>
          <t>III 102, 1</t>
        </is>
      </c>
      <c r="K913" t="inlineStr">
        <is>
          <t>III 102, 1</t>
        </is>
      </c>
      <c r="L913" t="inlineStr">
        <is>
          <t>III 102, 1</t>
        </is>
      </c>
      <c r="M913" t="inlineStr"/>
      <c r="N913" t="inlineStr">
        <is>
          <t xml:space="preserve">Die @vierunzwin=||tzig gulden harnf=||fen|| : </t>
        </is>
      </c>
      <c r="O913" t="inlineStr">
        <is>
          <t xml:space="preserve"> : </t>
        </is>
      </c>
      <c r="P913" t="inlineStr"/>
      <c r="Q913" t="inlineStr"/>
      <c r="R913" t="inlineStr"/>
      <c r="S913" t="inlineStr">
        <is>
          <t>bis 35 cm</t>
        </is>
      </c>
      <c r="T913" t="inlineStr"/>
      <c r="U913" t="inlineStr"/>
      <c r="V913" t="inlineStr"/>
      <c r="W913" t="inlineStr"/>
      <c r="X913" t="inlineStr"/>
      <c r="Y913" t="inlineStr"/>
      <c r="Z913" t="inlineStr"/>
      <c r="AA913" t="inlineStr"/>
      <c r="AB913" t="inlineStr"/>
      <c r="AC913" t="inlineStr"/>
      <c r="AD913" t="inlineStr"/>
      <c r="AE913" t="inlineStr"/>
      <c r="AF913" t="inlineStr"/>
      <c r="AG913" t="inlineStr"/>
      <c r="AH913" t="inlineStr"/>
      <c r="AI913" t="inlineStr">
        <is>
          <t>HL</t>
        </is>
      </c>
      <c r="AJ913" t="inlineStr"/>
      <c r="AK913" t="inlineStr">
        <is>
          <t>x</t>
        </is>
      </c>
      <c r="AL913" t="inlineStr"/>
      <c r="AM913" t="inlineStr">
        <is>
          <t>h/E</t>
        </is>
      </c>
      <c r="AN913" t="inlineStr"/>
      <c r="AO913" t="inlineStr"/>
      <c r="AP913" t="inlineStr"/>
      <c r="AQ913" t="inlineStr"/>
      <c r="AR913" t="inlineStr"/>
      <c r="AS913" t="inlineStr">
        <is>
          <t>Pa</t>
        </is>
      </c>
      <c r="AT913" t="inlineStr"/>
      <c r="AU913" t="inlineStr"/>
      <c r="AV913" t="inlineStr"/>
      <c r="AW913" t="inlineStr"/>
      <c r="AX913" t="inlineStr"/>
      <c r="AY913" t="inlineStr"/>
      <c r="AZ913" t="inlineStr"/>
      <c r="BA913" t="inlineStr"/>
      <c r="BB913" t="inlineStr"/>
      <c r="BC913" t="inlineStr"/>
      <c r="BD913" t="inlineStr"/>
      <c r="BE913" t="inlineStr"/>
      <c r="BF913" t="inlineStr"/>
      <c r="BG913" t="n">
        <v>110</v>
      </c>
      <c r="BH913" t="inlineStr"/>
      <c r="BI913" t="inlineStr"/>
      <c r="BJ913" t="inlineStr"/>
      <c r="BK913" t="inlineStr"/>
      <c r="BL913" t="inlineStr"/>
      <c r="BM913" t="inlineStr">
        <is>
          <t>n</t>
        </is>
      </c>
      <c r="BN913" t="n">
        <v>0</v>
      </c>
      <c r="BO913" t="inlineStr"/>
      <c r="BP913" t="inlineStr"/>
      <c r="BQ913" t="inlineStr"/>
      <c r="BR913" t="inlineStr">
        <is>
          <t>x</t>
        </is>
      </c>
      <c r="BS913" t="inlineStr"/>
      <c r="BT913" t="inlineStr"/>
      <c r="BU913" t="inlineStr"/>
      <c r="BV913" t="inlineStr"/>
      <c r="BW913" t="inlineStr"/>
      <c r="BX913" t="inlineStr"/>
      <c r="BY913" t="inlineStr"/>
      <c r="BZ913" t="inlineStr"/>
      <c r="CA913" t="inlineStr"/>
      <c r="CB913" t="inlineStr"/>
      <c r="CC913" t="inlineStr"/>
      <c r="CD913" t="inlineStr"/>
      <c r="CE913" t="inlineStr"/>
      <c r="CF913" t="inlineStr"/>
      <c r="CG913" t="inlineStr"/>
      <c r="CH913" t="inlineStr"/>
      <c r="CI913" t="inlineStr"/>
      <c r="CJ913" t="inlineStr"/>
      <c r="CK913" t="inlineStr"/>
      <c r="CL913" t="inlineStr"/>
      <c r="CM913" t="inlineStr"/>
      <c r="CN913" t="inlineStr"/>
      <c r="CO913" t="inlineStr"/>
      <c r="CP913" t="inlineStr"/>
      <c r="CQ913" t="inlineStr"/>
      <c r="CR913" t="inlineStr"/>
      <c r="CS913" t="inlineStr"/>
      <c r="CT913" t="inlineStr"/>
      <c r="CU913" t="inlineStr"/>
      <c r="CV913" t="inlineStr"/>
      <c r="CW913" t="inlineStr"/>
      <c r="CX913" t="inlineStr"/>
      <c r="CY913" t="inlineStr"/>
      <c r="CZ913" t="inlineStr"/>
      <c r="DA913" t="inlineStr"/>
      <c r="DB913" t="inlineStr"/>
      <c r="DC913" t="inlineStr"/>
      <c r="DD913" t="inlineStr"/>
      <c r="DE913" t="inlineStr"/>
      <c r="DF913" t="inlineStr"/>
      <c r="DG913" t="inlineStr"/>
    </row>
    <row r="914">
      <c r="A914" t="inlineStr">
        <is>
          <t>III</t>
        </is>
      </c>
      <c r="B914" t="b">
        <v>1</v>
      </c>
      <c r="C914" t="inlineStr"/>
      <c r="D914" t="inlineStr"/>
      <c r="E914" t="n">
        <v>1015</v>
      </c>
      <c r="F914">
        <f>HYPERLINK("https://portal.dnb.de/opac.htm?method=simpleSearch&amp;cqlMode=true&amp;query=idn%3D1066961492", "Portal")</f>
        <v/>
      </c>
      <c r="G914" t="inlineStr">
        <is>
          <t>Aaf</t>
        </is>
      </c>
      <c r="H914" t="inlineStr">
        <is>
          <t>L-1516-315491884</t>
        </is>
      </c>
      <c r="I914" t="inlineStr">
        <is>
          <t>1066961492</t>
        </is>
      </c>
      <c r="J914" t="inlineStr">
        <is>
          <t>III 103, 1</t>
        </is>
      </c>
      <c r="K914" t="inlineStr">
        <is>
          <t>III 103, 1</t>
        </is>
      </c>
      <c r="L914" t="inlineStr">
        <is>
          <t>III 103, 1</t>
        </is>
      </c>
      <c r="M914" t="inlineStr"/>
      <c r="N914" t="inlineStr">
        <is>
          <t xml:space="preserve">CONTENTA IN HOC LIBRO.|| DIVI HIERONYMI CONTRA IOVINIANVM HERE-||ticum libri duo, cum Apologetico eiusd? in defensio-||nem librorum contra praedictum </t>
        </is>
      </c>
      <c r="O914" t="inlineStr">
        <is>
          <t xml:space="preserve"> : </t>
        </is>
      </c>
      <c r="P914" t="inlineStr"/>
      <c r="Q914" t="inlineStr"/>
      <c r="R914" t="inlineStr"/>
      <c r="S914" t="inlineStr">
        <is>
          <t>bis 25 cm</t>
        </is>
      </c>
      <c r="T914" t="inlineStr"/>
      <c r="U914" t="inlineStr"/>
      <c r="V914" t="inlineStr"/>
      <c r="W914" t="inlineStr"/>
      <c r="X914" t="inlineStr"/>
      <c r="Y914" t="inlineStr"/>
      <c r="Z914" t="inlineStr"/>
      <c r="AA914" t="inlineStr"/>
      <c r="AB914" t="inlineStr"/>
      <c r="AC914" t="inlineStr"/>
      <c r="AD914" t="inlineStr"/>
      <c r="AE914" t="inlineStr"/>
      <c r="AF914" t="inlineStr"/>
      <c r="AG914" t="inlineStr"/>
      <c r="AH914" t="inlineStr"/>
      <c r="AI914" t="inlineStr">
        <is>
          <t>HPg</t>
        </is>
      </c>
      <c r="AJ914" t="inlineStr"/>
      <c r="AK914" t="inlineStr"/>
      <c r="AL914" t="inlineStr"/>
      <c r="AM914" t="inlineStr">
        <is>
          <t>h/E</t>
        </is>
      </c>
      <c r="AN914" t="inlineStr"/>
      <c r="AO914" t="inlineStr"/>
      <c r="AP914" t="inlineStr"/>
      <c r="AQ914" t="inlineStr"/>
      <c r="AR914" t="inlineStr"/>
      <c r="AS914" t="inlineStr">
        <is>
          <t>Pa</t>
        </is>
      </c>
      <c r="AT914" t="inlineStr"/>
      <c r="AU914" t="inlineStr"/>
      <c r="AV914" t="inlineStr"/>
      <c r="AW914" t="inlineStr"/>
      <c r="AX914" t="inlineStr"/>
      <c r="AY914" t="inlineStr"/>
      <c r="AZ914" t="inlineStr"/>
      <c r="BA914" t="inlineStr"/>
      <c r="BB914" t="inlineStr"/>
      <c r="BC914" t="inlineStr"/>
      <c r="BD914" t="inlineStr"/>
      <c r="BE914" t="inlineStr"/>
      <c r="BF914" t="inlineStr"/>
      <c r="BG914" t="n">
        <v>110</v>
      </c>
      <c r="BH914" t="inlineStr"/>
      <c r="BI914" t="inlineStr"/>
      <c r="BJ914" t="inlineStr"/>
      <c r="BK914" t="inlineStr"/>
      <c r="BL914" t="inlineStr"/>
      <c r="BM914" t="inlineStr">
        <is>
          <t>n</t>
        </is>
      </c>
      <c r="BN914" t="n">
        <v>0</v>
      </c>
      <c r="BO914" t="inlineStr"/>
      <c r="BP914" t="inlineStr"/>
      <c r="BQ914" t="inlineStr"/>
      <c r="BR914" t="inlineStr"/>
      <c r="BS914" t="inlineStr"/>
      <c r="BT914" t="inlineStr"/>
      <c r="BU914" t="inlineStr"/>
      <c r="BV914" t="inlineStr"/>
      <c r="BW914" t="inlineStr"/>
      <c r="BX914" t="inlineStr"/>
      <c r="BY914" t="inlineStr"/>
      <c r="BZ914" t="inlineStr"/>
      <c r="CA914" t="inlineStr"/>
      <c r="CB914" t="inlineStr"/>
      <c r="CC914" t="inlineStr"/>
      <c r="CD914" t="inlineStr"/>
      <c r="CE914" t="inlineStr"/>
      <c r="CF914" t="inlineStr"/>
      <c r="CG914" t="inlineStr"/>
      <c r="CH914" t="inlineStr"/>
      <c r="CI914" t="inlineStr"/>
      <c r="CJ914" t="inlineStr"/>
      <c r="CK914" t="inlineStr"/>
      <c r="CL914" t="inlineStr"/>
      <c r="CM914" t="inlineStr"/>
      <c r="CN914" t="inlineStr"/>
      <c r="CO914" t="inlineStr"/>
      <c r="CP914" t="inlineStr"/>
      <c r="CQ914" t="inlineStr"/>
      <c r="CR914" t="inlineStr"/>
      <c r="CS914" t="inlineStr"/>
      <c r="CT914" t="inlineStr"/>
      <c r="CU914" t="inlineStr"/>
      <c r="CV914" t="inlineStr"/>
      <c r="CW914" t="inlineStr"/>
      <c r="CX914" t="inlineStr"/>
      <c r="CY914" t="inlineStr"/>
      <c r="CZ914" t="inlineStr"/>
      <c r="DA914" t="inlineStr"/>
      <c r="DB914" t="inlineStr"/>
      <c r="DC914" t="inlineStr"/>
      <c r="DD914" t="inlineStr"/>
      <c r="DE914" t="inlineStr"/>
      <c r="DF914" t="inlineStr"/>
      <c r="DG914" t="inlineStr"/>
    </row>
    <row r="915">
      <c r="A915" t="inlineStr">
        <is>
          <t>III</t>
        </is>
      </c>
      <c r="B915" t="b">
        <v>1</v>
      </c>
      <c r="C915" t="inlineStr"/>
      <c r="D915" t="inlineStr"/>
      <c r="E915" t="inlineStr"/>
      <c r="F915">
        <f>HYPERLINK("https://portal.dnb.de/opac.htm?method=simpleSearch&amp;cqlMode=true&amp;query=idn%3D1272478068", "Portal")</f>
        <v/>
      </c>
      <c r="G915" t="inlineStr">
        <is>
          <t>Qd</t>
        </is>
      </c>
      <c r="H915" t="inlineStr">
        <is>
          <t>L-1520-848039203</t>
        </is>
      </c>
      <c r="I915" t="inlineStr">
        <is>
          <t>1272478068</t>
        </is>
      </c>
      <c r="J915" t="inlineStr">
        <is>
          <t>III 103, 1b</t>
        </is>
      </c>
      <c r="K915" t="inlineStr">
        <is>
          <t>III 103, 1 b</t>
        </is>
      </c>
      <c r="L915" t="inlineStr">
        <is>
          <t>III 103, 1 b</t>
        </is>
      </c>
      <c r="M915" t="inlineStr"/>
      <c r="N915" t="inlineStr">
        <is>
          <t xml:space="preserve">Sammelband : </t>
        </is>
      </c>
      <c r="O915" t="inlineStr">
        <is>
          <t xml:space="preserve"> : </t>
        </is>
      </c>
      <c r="P915" t="inlineStr"/>
      <c r="Q915" t="inlineStr"/>
      <c r="R915" t="inlineStr"/>
      <c r="S915" t="inlineStr">
        <is>
          <t>bis 35 cm</t>
        </is>
      </c>
      <c r="T915" t="inlineStr"/>
      <c r="U915" t="inlineStr"/>
      <c r="V915" t="inlineStr"/>
      <c r="W915" t="inlineStr"/>
      <c r="X915" t="inlineStr"/>
      <c r="Y915" t="inlineStr"/>
      <c r="Z915" t="inlineStr"/>
      <c r="AA915" t="inlineStr"/>
      <c r="AB915" t="inlineStr"/>
      <c r="AC915" t="inlineStr"/>
      <c r="AD915" t="inlineStr"/>
      <c r="AE915" t="inlineStr"/>
      <c r="AF915" t="inlineStr"/>
      <c r="AG915" t="inlineStr"/>
      <c r="AH915" t="inlineStr"/>
      <c r="AI915" t="inlineStr">
        <is>
          <t>HD</t>
        </is>
      </c>
      <c r="AJ915" t="inlineStr"/>
      <c r="AK915" t="inlineStr"/>
      <c r="AL915" t="inlineStr">
        <is>
          <t>x</t>
        </is>
      </c>
      <c r="AM915" t="inlineStr">
        <is>
          <t>f</t>
        </is>
      </c>
      <c r="AN915" t="inlineStr"/>
      <c r="AO915" t="inlineStr"/>
      <c r="AP915" t="inlineStr"/>
      <c r="AQ915" t="inlineStr"/>
      <c r="AR915" t="inlineStr"/>
      <c r="AS915" t="inlineStr">
        <is>
          <t>Pa</t>
        </is>
      </c>
      <c r="AT915" t="inlineStr"/>
      <c r="AU915" t="inlineStr"/>
      <c r="AV915" t="inlineStr"/>
      <c r="AW915" t="inlineStr"/>
      <c r="AX915" t="inlineStr"/>
      <c r="AY915" t="inlineStr"/>
      <c r="AZ915" t="inlineStr"/>
      <c r="BA915" t="inlineStr"/>
      <c r="BB915" t="inlineStr"/>
      <c r="BC915" t="inlineStr"/>
      <c r="BD915" t="inlineStr"/>
      <c r="BE915" t="n">
        <v>4</v>
      </c>
      <c r="BF915" t="inlineStr">
        <is>
          <t>x</t>
        </is>
      </c>
      <c r="BG915" t="n">
        <v>80</v>
      </c>
      <c r="BH915" t="inlineStr"/>
      <c r="BI915" t="inlineStr"/>
      <c r="BJ915" t="inlineStr"/>
      <c r="BK915" t="inlineStr"/>
      <c r="BL915" t="inlineStr"/>
      <c r="BM915" t="inlineStr">
        <is>
          <t>n</t>
        </is>
      </c>
      <c r="BN915" t="n">
        <v>0</v>
      </c>
      <c r="BO915" t="inlineStr"/>
      <c r="BP915" t="inlineStr">
        <is>
          <t>Gewebe</t>
        </is>
      </c>
      <c r="BQ915" t="inlineStr"/>
      <c r="BR915" t="inlineStr"/>
      <c r="BS915" t="inlineStr"/>
      <c r="BT915" t="inlineStr"/>
      <c r="BU915" t="inlineStr"/>
      <c r="BV915" t="inlineStr"/>
      <c r="BW915" t="inlineStr"/>
      <c r="BX915" t="inlineStr"/>
      <c r="BY915" t="inlineStr"/>
      <c r="BZ915" t="inlineStr"/>
      <c r="CA915" t="inlineStr"/>
      <c r="CB915" t="inlineStr"/>
      <c r="CC915" t="inlineStr"/>
      <c r="CD915" t="inlineStr"/>
      <c r="CE915" t="inlineStr"/>
      <c r="CF915" t="inlineStr"/>
      <c r="CG915" t="inlineStr"/>
      <c r="CH915" t="inlineStr"/>
      <c r="CI915" t="inlineStr"/>
      <c r="CJ915" t="inlineStr"/>
      <c r="CK915" t="inlineStr"/>
      <c r="CL915" t="inlineStr"/>
      <c r="CM915" t="inlineStr"/>
      <c r="CN915" t="inlineStr"/>
      <c r="CO915" t="inlineStr"/>
      <c r="CP915" t="inlineStr"/>
      <c r="CQ915" t="inlineStr"/>
      <c r="CR915" t="inlineStr"/>
      <c r="CS915" t="inlineStr"/>
      <c r="CT915" t="inlineStr"/>
      <c r="CU915" t="inlineStr"/>
      <c r="CV915" t="inlineStr"/>
      <c r="CW915" t="inlineStr"/>
      <c r="CX915" t="inlineStr"/>
      <c r="CY915" t="inlineStr"/>
      <c r="CZ915" t="inlineStr"/>
      <c r="DA915" t="inlineStr"/>
      <c r="DB915" t="inlineStr"/>
      <c r="DC915" t="inlineStr"/>
      <c r="DD915" t="inlineStr"/>
      <c r="DE915" t="inlineStr"/>
      <c r="DF915" t="inlineStr"/>
      <c r="DG915" t="inlineStr"/>
    </row>
    <row r="916">
      <c r="A916" t="inlineStr">
        <is>
          <t>III</t>
        </is>
      </c>
      <c r="B916" t="b">
        <v>1</v>
      </c>
      <c r="C916" t="inlineStr">
        <is>
          <t>x</t>
        </is>
      </c>
      <c r="D916" t="inlineStr"/>
      <c r="E916" t="inlineStr"/>
      <c r="F916">
        <f>HYPERLINK("https://portal.dnb.de/opac.htm?method=simpleSearch&amp;cqlMode=true&amp;query=idn%3D1262282411", "Portal")</f>
        <v/>
      </c>
      <c r="G916" t="inlineStr">
        <is>
          <t>Qd</t>
        </is>
      </c>
      <c r="H916" t="inlineStr">
        <is>
          <t>L-1515-783813759</t>
        </is>
      </c>
      <c r="I916" t="inlineStr">
        <is>
          <t>1262282411</t>
        </is>
      </c>
      <c r="J916" t="inlineStr">
        <is>
          <t>III 103, 1a</t>
        </is>
      </c>
      <c r="K916" t="inlineStr">
        <is>
          <t>III 103, 1a</t>
        </is>
      </c>
      <c r="L916" t="inlineStr">
        <is>
          <t>III 103, 1a</t>
        </is>
      </c>
      <c r="M916" t="inlineStr"/>
      <c r="N916" t="inlineStr">
        <is>
          <t xml:space="preserve">Sammelband : </t>
        </is>
      </c>
      <c r="O916" t="inlineStr">
        <is>
          <t xml:space="preserve"> : </t>
        </is>
      </c>
      <c r="P916" t="inlineStr"/>
      <c r="Q916" t="inlineStr">
        <is>
          <t>1650,00 EUR</t>
        </is>
      </c>
      <c r="R916" t="inlineStr"/>
      <c r="S916" t="inlineStr">
        <is>
          <t>bis 35 cm</t>
        </is>
      </c>
      <c r="T916" t="inlineStr"/>
      <c r="U916" t="inlineStr"/>
      <c r="V916" t="inlineStr"/>
      <c r="W916" t="inlineStr"/>
      <c r="X916" t="inlineStr"/>
      <c r="Y916" t="inlineStr"/>
      <c r="Z916" t="inlineStr"/>
      <c r="AA916" t="inlineStr"/>
      <c r="AB916" t="inlineStr"/>
      <c r="AC916" t="inlineStr"/>
      <c r="AD916" t="inlineStr"/>
      <c r="AE916" t="inlineStr"/>
      <c r="AF916" t="inlineStr"/>
      <c r="AG916" t="inlineStr"/>
      <c r="AH916" t="inlineStr"/>
      <c r="AI916" t="inlineStr">
        <is>
          <t>HD</t>
        </is>
      </c>
      <c r="AJ916" t="inlineStr"/>
      <c r="AK916" t="inlineStr"/>
      <c r="AL916" t="inlineStr">
        <is>
          <t>x</t>
        </is>
      </c>
      <c r="AM916" t="inlineStr">
        <is>
          <t>f</t>
        </is>
      </c>
      <c r="AN916" t="inlineStr"/>
      <c r="AO916" t="inlineStr"/>
      <c r="AP916" t="inlineStr"/>
      <c r="AQ916" t="inlineStr"/>
      <c r="AR916" t="inlineStr"/>
      <c r="AS916" t="inlineStr">
        <is>
          <t>Pa</t>
        </is>
      </c>
      <c r="AT916" t="inlineStr"/>
      <c r="AU916" t="inlineStr"/>
      <c r="AV916" t="inlineStr"/>
      <c r="AW916" t="inlineStr"/>
      <c r="AX916" t="inlineStr"/>
      <c r="AY916" t="inlineStr"/>
      <c r="AZ916" t="inlineStr"/>
      <c r="BA916" t="inlineStr"/>
      <c r="BB916" t="inlineStr"/>
      <c r="BC916" t="inlineStr"/>
      <c r="BD916" t="inlineStr"/>
      <c r="BE916" t="inlineStr"/>
      <c r="BF916" t="inlineStr"/>
      <c r="BG916" t="n">
        <v>60</v>
      </c>
      <c r="BH916" t="inlineStr"/>
      <c r="BI916" t="inlineStr"/>
      <c r="BJ916" t="inlineStr"/>
      <c r="BK916" t="inlineStr"/>
      <c r="BL916" t="inlineStr"/>
      <c r="BM916" t="inlineStr">
        <is>
          <t>ja vor</t>
        </is>
      </c>
      <c r="BN916" t="n">
        <v>1</v>
      </c>
      <c r="BO916" t="inlineStr"/>
      <c r="BP916" t="inlineStr"/>
      <c r="BQ916" t="inlineStr"/>
      <c r="BR916" t="inlineStr">
        <is>
          <t>x</t>
        </is>
      </c>
      <c r="BS916" t="inlineStr"/>
      <c r="BT916" t="inlineStr"/>
      <c r="BU916" t="inlineStr"/>
      <c r="BV916" t="inlineStr"/>
      <c r="BW916" t="inlineStr"/>
      <c r="BX916" t="inlineStr"/>
      <c r="BY916" t="inlineStr"/>
      <c r="BZ916" t="inlineStr"/>
      <c r="CA916" t="inlineStr"/>
      <c r="CB916" t="inlineStr"/>
      <c r="CC916" t="inlineStr"/>
      <c r="CD916" t="inlineStr"/>
      <c r="CE916" t="inlineStr"/>
      <c r="CF916" t="inlineStr"/>
      <c r="CG916" t="inlineStr">
        <is>
          <t>x</t>
        </is>
      </c>
      <c r="CH916" t="inlineStr"/>
      <c r="CI916" t="inlineStr"/>
      <c r="CJ916" t="inlineStr"/>
      <c r="CK916" t="inlineStr"/>
      <c r="CL916" t="inlineStr"/>
      <c r="CM916" t="n">
        <v>1</v>
      </c>
      <c r="CN916" t="inlineStr">
        <is>
          <t>Schonernagel aus Holz hinten unten rechts fragil: loses Fragment gehört auf Position 4-6</t>
        </is>
      </c>
      <c r="CO916" t="inlineStr"/>
      <c r="CP916" t="inlineStr"/>
      <c r="CQ916" t="inlineStr"/>
      <c r="CR916" t="inlineStr"/>
      <c r="CS916" t="inlineStr"/>
      <c r="CT916" t="inlineStr"/>
      <c r="CU916" t="inlineStr"/>
      <c r="CV916" t="inlineStr"/>
      <c r="CW916" t="inlineStr"/>
      <c r="CX916" t="inlineStr"/>
      <c r="CY916" t="inlineStr"/>
      <c r="CZ916" t="inlineStr"/>
      <c r="DA916" t="inlineStr"/>
      <c r="DB916" t="inlineStr"/>
      <c r="DC916" t="inlineStr"/>
      <c r="DD916" t="inlineStr"/>
      <c r="DE916" t="inlineStr"/>
      <c r="DF916" t="inlineStr"/>
      <c r="DG916" t="inlineStr"/>
    </row>
    <row r="917">
      <c r="A917" t="inlineStr">
        <is>
          <t>III</t>
        </is>
      </c>
      <c r="B917" t="b">
        <v>1</v>
      </c>
      <c r="C917" t="inlineStr"/>
      <c r="D917" t="inlineStr"/>
      <c r="E917" t="inlineStr"/>
      <c r="F917">
        <f>HYPERLINK("https://portal.dnb.de/opac.htm?method=simpleSearch&amp;cqlMode=true&amp;query=idn%3D1263172806", "Portal")</f>
        <v/>
      </c>
      <c r="G917" t="inlineStr">
        <is>
          <t>Qd</t>
        </is>
      </c>
      <c r="H917" t="inlineStr">
        <is>
          <t>L-1516-785386408</t>
        </is>
      </c>
      <c r="I917" t="inlineStr">
        <is>
          <t>1263172806</t>
        </is>
      </c>
      <c r="J917" t="inlineStr">
        <is>
          <t>III 103, 2</t>
        </is>
      </c>
      <c r="K917" t="inlineStr">
        <is>
          <t>III 103, 2</t>
        </is>
      </c>
      <c r="L917" t="inlineStr">
        <is>
          <t>III 103, 2</t>
        </is>
      </c>
      <c r="M917" t="inlineStr"/>
      <c r="N917" t="inlineStr">
        <is>
          <t xml:space="preserve">Sammelband mit "Füllmaterial" : </t>
        </is>
      </c>
      <c r="O917" t="inlineStr">
        <is>
          <t xml:space="preserve"> : </t>
        </is>
      </c>
      <c r="P917" t="inlineStr"/>
      <c r="Q917" t="inlineStr"/>
      <c r="R917" t="inlineStr"/>
      <c r="S917" t="inlineStr">
        <is>
          <t>bis 25 cm</t>
        </is>
      </c>
      <c r="T917" t="inlineStr"/>
      <c r="U917" t="inlineStr"/>
      <c r="V917" t="inlineStr"/>
      <c r="W917" t="inlineStr"/>
      <c r="X917" t="inlineStr"/>
      <c r="Y917" t="inlineStr"/>
      <c r="Z917" t="inlineStr"/>
      <c r="AA917" t="inlineStr"/>
      <c r="AB917" t="inlineStr"/>
      <c r="AC917" t="inlineStr"/>
      <c r="AD917" t="inlineStr"/>
      <c r="AE917" t="inlineStr"/>
      <c r="AF917" t="inlineStr"/>
      <c r="AG917" t="inlineStr"/>
      <c r="AH917" t="inlineStr"/>
      <c r="AI917" t="inlineStr">
        <is>
          <t>HL</t>
        </is>
      </c>
      <c r="AJ917" t="inlineStr"/>
      <c r="AK917" t="inlineStr">
        <is>
          <t>x</t>
        </is>
      </c>
      <c r="AL917" t="inlineStr"/>
      <c r="AM917" t="inlineStr">
        <is>
          <t>h/E</t>
        </is>
      </c>
      <c r="AN917" t="inlineStr"/>
      <c r="AO917" t="inlineStr"/>
      <c r="AP917" t="inlineStr"/>
      <c r="AQ917" t="inlineStr"/>
      <c r="AR917" t="inlineStr"/>
      <c r="AS917" t="inlineStr">
        <is>
          <t>Pa</t>
        </is>
      </c>
      <c r="AT917" t="inlineStr"/>
      <c r="AU917" t="inlineStr"/>
      <c r="AV917" t="inlineStr"/>
      <c r="AW917" t="inlineStr"/>
      <c r="AX917" t="inlineStr"/>
      <c r="AY917" t="inlineStr"/>
      <c r="AZ917" t="inlineStr"/>
      <c r="BA917" t="inlineStr"/>
      <c r="BB917" t="inlineStr"/>
      <c r="BC917" t="inlineStr"/>
      <c r="BD917" t="inlineStr"/>
      <c r="BE917" t="inlineStr"/>
      <c r="BF917" t="inlineStr"/>
      <c r="BG917" t="n">
        <v>110</v>
      </c>
      <c r="BH917" t="inlineStr"/>
      <c r="BI917" t="inlineStr"/>
      <c r="BJ917" t="inlineStr"/>
      <c r="BK917" t="inlineStr"/>
      <c r="BL917" t="inlineStr"/>
      <c r="BM917" t="inlineStr">
        <is>
          <t>n</t>
        </is>
      </c>
      <c r="BN917" t="n">
        <v>0</v>
      </c>
      <c r="BO917" t="inlineStr"/>
      <c r="BP917" t="inlineStr"/>
      <c r="BQ917" t="inlineStr"/>
      <c r="BR917" t="inlineStr">
        <is>
          <t>x</t>
        </is>
      </c>
      <c r="BS917" t="inlineStr"/>
      <c r="BT917" t="inlineStr"/>
      <c r="BU917" t="inlineStr"/>
      <c r="BV917" t="inlineStr"/>
      <c r="BW917" t="inlineStr"/>
      <c r="BX917" t="inlineStr"/>
      <c r="BY917" t="inlineStr"/>
      <c r="BZ917" t="inlineStr"/>
      <c r="CA917" t="inlineStr"/>
      <c r="CB917" t="inlineStr"/>
      <c r="CC917" t="inlineStr"/>
      <c r="CD917" t="inlineStr"/>
      <c r="CE917" t="inlineStr"/>
      <c r="CF917" t="inlineStr"/>
      <c r="CG917" t="inlineStr"/>
      <c r="CH917" t="inlineStr"/>
      <c r="CI917" t="inlineStr"/>
      <c r="CJ917" t="inlineStr"/>
      <c r="CK917" t="inlineStr"/>
      <c r="CL917" t="inlineStr"/>
      <c r="CM917" t="inlineStr"/>
      <c r="CN917" t="inlineStr"/>
      <c r="CO917" t="inlineStr"/>
      <c r="CP917" t="inlineStr"/>
      <c r="CQ917" t="inlineStr"/>
      <c r="CR917" t="inlineStr"/>
      <c r="CS917" t="inlineStr"/>
      <c r="CT917" t="inlineStr"/>
      <c r="CU917" t="inlineStr"/>
      <c r="CV917" t="inlineStr"/>
      <c r="CW917" t="inlineStr"/>
      <c r="CX917" t="inlineStr"/>
      <c r="CY917" t="inlineStr"/>
      <c r="CZ917" t="inlineStr"/>
      <c r="DA917" t="inlineStr"/>
      <c r="DB917" t="inlineStr"/>
      <c r="DC917" t="inlineStr"/>
      <c r="DD917" t="inlineStr"/>
      <c r="DE917" t="inlineStr"/>
      <c r="DF917" t="inlineStr"/>
      <c r="DG917" t="inlineStr"/>
    </row>
    <row r="918">
      <c r="A918" t="inlineStr">
        <is>
          <t>III</t>
        </is>
      </c>
      <c r="B918" t="b">
        <v>1</v>
      </c>
      <c r="C918" t="inlineStr"/>
      <c r="D918" t="inlineStr"/>
      <c r="E918" t="n">
        <v>1027</v>
      </c>
      <c r="F918">
        <f>HYPERLINK("https://portal.dnb.de/opac.htm?method=simpleSearch&amp;cqlMode=true&amp;query=idn%3D998925993", "Portal")</f>
        <v/>
      </c>
      <c r="G918" t="inlineStr">
        <is>
          <t>Aal</t>
        </is>
      </c>
      <c r="H918" t="inlineStr">
        <is>
          <t>L-1522-167210017</t>
        </is>
      </c>
      <c r="I918" t="inlineStr">
        <is>
          <t>998925993</t>
        </is>
      </c>
      <c r="J918" t="inlineStr">
        <is>
          <t>III 103, 2 a</t>
        </is>
      </c>
      <c r="K918" t="inlineStr">
        <is>
          <t>III 103, 2 a</t>
        </is>
      </c>
      <c r="L918" t="inlineStr">
        <is>
          <t>III 103, 2 a</t>
        </is>
      </c>
      <c r="M918" t="inlineStr"/>
      <c r="N918" t="inlineStr">
        <is>
          <t>Ein @trew vormanũg|| Martini Luther zu allen|| Christen : Sich tzu vorhutten fur auff||ruhr vnnd Emporung|| Wittenberge||</t>
        </is>
      </c>
      <c r="O918" t="inlineStr">
        <is>
          <t xml:space="preserve"> : </t>
        </is>
      </c>
      <c r="P918" t="inlineStr"/>
      <c r="Q918" t="inlineStr"/>
      <c r="R918" t="inlineStr"/>
      <c r="S918" t="inlineStr">
        <is>
          <t>bis 25 cm</t>
        </is>
      </c>
      <c r="T918" t="inlineStr"/>
      <c r="U918" t="inlineStr"/>
      <c r="V918" t="inlineStr"/>
      <c r="W918" t="inlineStr"/>
      <c r="X918" t="inlineStr"/>
      <c r="Y918" t="inlineStr"/>
      <c r="Z918" t="inlineStr"/>
      <c r="AA918" t="inlineStr"/>
      <c r="AB918" t="inlineStr"/>
      <c r="AC918" t="inlineStr"/>
      <c r="AD918" t="inlineStr"/>
      <c r="AE918" t="inlineStr"/>
      <c r="AF918" t="inlineStr"/>
      <c r="AG918" t="inlineStr"/>
      <c r="AH918" t="inlineStr"/>
      <c r="AI918" t="inlineStr">
        <is>
          <t>Br</t>
        </is>
      </c>
      <c r="AJ918" t="inlineStr"/>
      <c r="AK918" t="inlineStr"/>
      <c r="AL918" t="inlineStr">
        <is>
          <t>x</t>
        </is>
      </c>
      <c r="AM918" t="inlineStr">
        <is>
          <t>f</t>
        </is>
      </c>
      <c r="AN918" t="inlineStr"/>
      <c r="AO918" t="inlineStr"/>
      <c r="AP918" t="inlineStr"/>
      <c r="AQ918" t="inlineStr"/>
      <c r="AR918" t="inlineStr"/>
      <c r="AS918" t="inlineStr">
        <is>
          <t>Pa</t>
        </is>
      </c>
      <c r="AT918" t="inlineStr"/>
      <c r="AU918" t="inlineStr"/>
      <c r="AV918" t="inlineStr"/>
      <c r="AW918" t="inlineStr"/>
      <c r="AX918" t="inlineStr"/>
      <c r="AY918" t="inlineStr"/>
      <c r="AZ918" t="inlineStr"/>
      <c r="BA918" t="inlineStr"/>
      <c r="BB918" t="inlineStr"/>
      <c r="BC918" t="inlineStr"/>
      <c r="BD918" t="inlineStr"/>
      <c r="BE918" t="inlineStr"/>
      <c r="BF918" t="inlineStr"/>
      <c r="BG918" t="inlineStr">
        <is>
          <t>nur 110</t>
        </is>
      </c>
      <c r="BH918" t="inlineStr"/>
      <c r="BI918" t="inlineStr"/>
      <c r="BJ918" t="inlineStr"/>
      <c r="BK918" t="inlineStr"/>
      <c r="BL918" t="inlineStr"/>
      <c r="BM918" t="inlineStr">
        <is>
          <t>n</t>
        </is>
      </c>
      <c r="BN918" t="n">
        <v>0</v>
      </c>
      <c r="BO918" t="inlineStr"/>
      <c r="BP918" t="inlineStr"/>
      <c r="BQ918" t="inlineStr"/>
      <c r="BR918" t="inlineStr"/>
      <c r="BS918" t="inlineStr">
        <is>
          <t>x (Leder)</t>
        </is>
      </c>
      <c r="BT918" t="inlineStr"/>
      <c r="BU918" t="inlineStr"/>
      <c r="BV918" t="inlineStr">
        <is>
          <t>Broschur in Ledermappe</t>
        </is>
      </c>
      <c r="BW918" t="inlineStr">
        <is>
          <t>x nur 110</t>
        </is>
      </c>
      <c r="BX918" t="inlineStr"/>
      <c r="BY918" t="inlineStr"/>
      <c r="BZ918" t="inlineStr"/>
      <c r="CA918" t="inlineStr"/>
      <c r="CB918" t="inlineStr"/>
      <c r="CC918" t="inlineStr"/>
      <c r="CD918" t="inlineStr"/>
      <c r="CE918" t="inlineStr"/>
      <c r="CF918" t="inlineStr"/>
      <c r="CG918" t="inlineStr"/>
      <c r="CH918" t="inlineStr"/>
      <c r="CI918" t="inlineStr"/>
      <c r="CJ918" t="inlineStr"/>
      <c r="CK918" t="inlineStr"/>
      <c r="CL918" t="inlineStr"/>
      <c r="CM918" t="inlineStr"/>
      <c r="CN918" t="inlineStr"/>
      <c r="CO918" t="inlineStr"/>
      <c r="CP918" t="inlineStr"/>
      <c r="CQ918" t="inlineStr"/>
      <c r="CR918" t="inlineStr"/>
      <c r="CS918" t="inlineStr"/>
      <c r="CT918" t="inlineStr"/>
      <c r="CU918" t="inlineStr"/>
      <c r="CV918" t="inlineStr"/>
      <c r="CW918" t="inlineStr"/>
      <c r="CX918" t="inlineStr"/>
      <c r="CY918" t="inlineStr"/>
      <c r="CZ918" t="inlineStr"/>
      <c r="DA918" t="inlineStr"/>
      <c r="DB918" t="inlineStr"/>
      <c r="DC918" t="inlineStr"/>
      <c r="DD918" t="inlineStr"/>
      <c r="DE918" t="inlineStr"/>
      <c r="DF918" t="inlineStr"/>
      <c r="DG918" t="inlineStr"/>
    </row>
    <row r="919">
      <c r="A919" t="inlineStr">
        <is>
          <t>III</t>
        </is>
      </c>
      <c r="B919" t="b">
        <v>1</v>
      </c>
      <c r="C919" t="inlineStr"/>
      <c r="D919" t="inlineStr"/>
      <c r="E919" t="n">
        <v>1017</v>
      </c>
      <c r="F919">
        <f>HYPERLINK("https://portal.dnb.de/opac.htm?method=simpleSearch&amp;cqlMode=true&amp;query=idn%3D1066960240", "Portal")</f>
        <v/>
      </c>
      <c r="G919" t="inlineStr">
        <is>
          <t>Aaf</t>
        </is>
      </c>
      <c r="H919" t="inlineStr">
        <is>
          <t>L-1539-315490756</t>
        </is>
      </c>
      <c r="I919" t="inlineStr">
        <is>
          <t>1066960240</t>
        </is>
      </c>
      <c r="J919" t="inlineStr">
        <is>
          <t>III 103, 3</t>
        </is>
      </c>
      <c r="K919" t="inlineStr">
        <is>
          <t>III 103, 3</t>
        </is>
      </c>
      <c r="L919" t="inlineStr">
        <is>
          <t>III 103, 3</t>
        </is>
      </c>
      <c r="M919" t="inlineStr"/>
      <c r="N919" t="inlineStr">
        <is>
          <t>FRIDERICI NAV:||SEAE BLANCICAMPIANI. LL. ET|| Theologiae Doctoris, Serenissimi Romano#[RUM].|| Hungariae, Boemiae#[que] &amp;c. Regis, &amp; Archi=||ducis Aus</t>
        </is>
      </c>
      <c r="O919" t="inlineStr">
        <is>
          <t xml:space="preserve"> : </t>
        </is>
      </c>
      <c r="P919" t="inlineStr"/>
      <c r="Q919" t="inlineStr"/>
      <c r="R919" t="inlineStr"/>
      <c r="S919" t="inlineStr">
        <is>
          <t>bis 25 cm</t>
        </is>
      </c>
      <c r="T919" t="inlineStr"/>
      <c r="U919" t="inlineStr"/>
      <c r="V919" t="inlineStr"/>
      <c r="W919" t="inlineStr"/>
      <c r="X919" t="inlineStr"/>
      <c r="Y919" t="inlineStr"/>
      <c r="Z919" t="inlineStr"/>
      <c r="AA919" t="inlineStr"/>
      <c r="AB919" t="inlineStr"/>
      <c r="AC919" t="inlineStr"/>
      <c r="AD919" t="inlineStr"/>
      <c r="AE919" t="inlineStr"/>
      <c r="AF919" t="inlineStr"/>
      <c r="AG919" t="inlineStr"/>
      <c r="AH919" t="inlineStr"/>
      <c r="AI919" t="inlineStr">
        <is>
          <t>G</t>
        </is>
      </c>
      <c r="AJ919" t="inlineStr"/>
      <c r="AK919" t="inlineStr">
        <is>
          <t>x</t>
        </is>
      </c>
      <c r="AL919" t="inlineStr"/>
      <c r="AM919" t="inlineStr">
        <is>
          <t>h/E</t>
        </is>
      </c>
      <c r="AN919" t="inlineStr"/>
      <c r="AO919" t="inlineStr"/>
      <c r="AP919" t="inlineStr"/>
      <c r="AQ919" t="inlineStr"/>
      <c r="AR919" t="inlineStr"/>
      <c r="AS919" t="inlineStr">
        <is>
          <t>Pa</t>
        </is>
      </c>
      <c r="AT919" t="inlineStr">
        <is>
          <t>x</t>
        </is>
      </c>
      <c r="AU919" t="inlineStr"/>
      <c r="AV919" t="inlineStr"/>
      <c r="AW919" t="inlineStr"/>
      <c r="AX919" t="inlineStr"/>
      <c r="AY919" t="inlineStr"/>
      <c r="AZ919" t="inlineStr"/>
      <c r="BA919" t="inlineStr"/>
      <c r="BB919" t="inlineStr"/>
      <c r="BC919" t="inlineStr"/>
      <c r="BD919" t="inlineStr"/>
      <c r="BE919" t="inlineStr"/>
      <c r="BF919" t="inlineStr"/>
      <c r="BG919" t="n">
        <v>110</v>
      </c>
      <c r="BH919" t="inlineStr"/>
      <c r="BI919" t="inlineStr"/>
      <c r="BJ919" t="inlineStr"/>
      <c r="BK919" t="inlineStr"/>
      <c r="BL919" t="inlineStr"/>
      <c r="BM919" t="inlineStr">
        <is>
          <t>n</t>
        </is>
      </c>
      <c r="BN919" t="n">
        <v>0</v>
      </c>
      <c r="BO919" t="inlineStr"/>
      <c r="BP919" t="inlineStr"/>
      <c r="BQ919" t="inlineStr"/>
      <c r="BR919" t="inlineStr"/>
      <c r="BS919" t="inlineStr"/>
      <c r="BT919" t="inlineStr"/>
      <c r="BU919" t="inlineStr"/>
      <c r="BV919" t="inlineStr"/>
      <c r="BW919" t="inlineStr"/>
      <c r="BX919" t="inlineStr"/>
      <c r="BY919" t="inlineStr"/>
      <c r="BZ919" t="inlineStr"/>
      <c r="CA919" t="inlineStr"/>
      <c r="CB919" t="inlineStr"/>
      <c r="CC919" t="inlineStr"/>
      <c r="CD919" t="inlineStr"/>
      <c r="CE919" t="inlineStr"/>
      <c r="CF919" t="inlineStr"/>
      <c r="CG919" t="inlineStr"/>
      <c r="CH919" t="inlineStr"/>
      <c r="CI919" t="inlineStr"/>
      <c r="CJ919" t="inlineStr"/>
      <c r="CK919" t="inlineStr"/>
      <c r="CL919" t="inlineStr"/>
      <c r="CM919" t="inlineStr"/>
      <c r="CN919" t="inlineStr"/>
      <c r="CO919" t="inlineStr"/>
      <c r="CP919" t="inlineStr"/>
      <c r="CQ919" t="inlineStr"/>
      <c r="CR919" t="inlineStr"/>
      <c r="CS919" t="inlineStr"/>
      <c r="CT919" t="inlineStr"/>
      <c r="CU919" t="inlineStr"/>
      <c r="CV919" t="inlineStr"/>
      <c r="CW919" t="inlineStr"/>
      <c r="CX919" t="inlineStr"/>
      <c r="CY919" t="inlineStr"/>
      <c r="CZ919" t="inlineStr"/>
      <c r="DA919" t="inlineStr"/>
      <c r="DB919" t="inlineStr"/>
      <c r="DC919" t="inlineStr"/>
      <c r="DD919" t="inlineStr"/>
      <c r="DE919" t="inlineStr"/>
      <c r="DF919" t="inlineStr"/>
      <c r="DG919" t="inlineStr"/>
    </row>
    <row r="920">
      <c r="A920" t="inlineStr">
        <is>
          <t>III</t>
        </is>
      </c>
      <c r="B920" t="b">
        <v>1</v>
      </c>
      <c r="C920" t="inlineStr"/>
      <c r="D920" t="inlineStr"/>
      <c r="E920" t="n">
        <v>1018</v>
      </c>
      <c r="F920">
        <f>HYPERLINK("https://portal.dnb.de/opac.htm?method=simpleSearch&amp;cqlMode=true&amp;query=idn%3D994422938", "Portal")</f>
        <v/>
      </c>
      <c r="G920" t="inlineStr">
        <is>
          <t>Aal</t>
        </is>
      </c>
      <c r="H920" t="inlineStr">
        <is>
          <t>L-1554-155912364</t>
        </is>
      </c>
      <c r="I920" t="inlineStr">
        <is>
          <t>994422938</t>
        </is>
      </c>
      <c r="J920" t="inlineStr">
        <is>
          <t>III 103, 4</t>
        </is>
      </c>
      <c r="K920" t="inlineStr">
        <is>
          <t>III 103, 4</t>
        </is>
      </c>
      <c r="L920" t="inlineStr">
        <is>
          <t>III 103, 4</t>
        </is>
      </c>
      <c r="M920" t="inlineStr"/>
      <c r="N920" t="inlineStr">
        <is>
          <t>SVMMA [Summa]|| DOCTRINAE|| CHRISTINAE.|| Quaestiones tradita, &amp; in vsum|| Christianae pueritiae nu[n]c pri/||mùm edita.|| [Verf. Petrus Canisius. Pri</t>
        </is>
      </c>
      <c r="O920" t="inlineStr">
        <is>
          <t xml:space="preserve"> : </t>
        </is>
      </c>
      <c r="P920" t="inlineStr"/>
      <c r="Q920" t="inlineStr"/>
      <c r="R920" t="inlineStr"/>
      <c r="S920" t="inlineStr">
        <is>
          <t>bis 25 cm</t>
        </is>
      </c>
      <c r="T920" t="inlineStr"/>
      <c r="U920" t="inlineStr"/>
      <c r="V920" t="inlineStr"/>
      <c r="W920" t="inlineStr"/>
      <c r="X920" t="inlineStr"/>
      <c r="Y920" t="inlineStr"/>
      <c r="Z920" t="inlineStr"/>
      <c r="AA920" t="inlineStr"/>
      <c r="AB920" t="inlineStr"/>
      <c r="AC920" t="inlineStr"/>
      <c r="AD920" t="inlineStr"/>
      <c r="AE920" t="inlineStr"/>
      <c r="AF920" t="inlineStr"/>
      <c r="AG920" t="inlineStr"/>
      <c r="AH920" t="inlineStr"/>
      <c r="AI920" t="inlineStr">
        <is>
          <t>G</t>
        </is>
      </c>
      <c r="AJ920" t="inlineStr"/>
      <c r="AK920" t="inlineStr"/>
      <c r="AL920" t="inlineStr"/>
      <c r="AM920" t="inlineStr">
        <is>
          <t>h/E</t>
        </is>
      </c>
      <c r="AN920" t="inlineStr"/>
      <c r="AO920" t="inlineStr"/>
      <c r="AP920" t="inlineStr"/>
      <c r="AQ920" t="inlineStr"/>
      <c r="AR920" t="inlineStr"/>
      <c r="AS920" t="inlineStr">
        <is>
          <t>Pa</t>
        </is>
      </c>
      <c r="AT920" t="inlineStr"/>
      <c r="AU920" t="inlineStr"/>
      <c r="AV920" t="inlineStr"/>
      <c r="AW920" t="inlineStr"/>
      <c r="AX920" t="inlineStr"/>
      <c r="AY920" t="inlineStr"/>
      <c r="AZ920" t="inlineStr"/>
      <c r="BA920" t="inlineStr"/>
      <c r="BB920" t="inlineStr"/>
      <c r="BC920" t="inlineStr"/>
      <c r="BD920" t="inlineStr"/>
      <c r="BE920" t="inlineStr"/>
      <c r="BF920" t="inlineStr"/>
      <c r="BG920" t="n">
        <v>110</v>
      </c>
      <c r="BH920" t="inlineStr"/>
      <c r="BI920" t="inlineStr"/>
      <c r="BJ920" t="inlineStr"/>
      <c r="BK920" t="inlineStr"/>
      <c r="BL920" t="inlineStr"/>
      <c r="BM920" t="inlineStr">
        <is>
          <t>n</t>
        </is>
      </c>
      <c r="BN920" t="n">
        <v>0</v>
      </c>
      <c r="BO920" t="inlineStr"/>
      <c r="BP920" t="inlineStr"/>
      <c r="BQ920" t="inlineStr"/>
      <c r="BR920" t="inlineStr"/>
      <c r="BS920" t="inlineStr"/>
      <c r="BT920" t="inlineStr"/>
      <c r="BU920" t="inlineStr"/>
      <c r="BV920" t="inlineStr"/>
      <c r="BW920" t="inlineStr"/>
      <c r="BX920" t="inlineStr"/>
      <c r="BY920" t="inlineStr"/>
      <c r="BZ920" t="inlineStr"/>
      <c r="CA920" t="inlineStr"/>
      <c r="CB920" t="inlineStr"/>
      <c r="CC920" t="inlineStr"/>
      <c r="CD920" t="inlineStr"/>
      <c r="CE920" t="inlineStr"/>
      <c r="CF920" t="inlineStr"/>
      <c r="CG920" t="inlineStr"/>
      <c r="CH920" t="inlineStr"/>
      <c r="CI920" t="inlineStr"/>
      <c r="CJ920" t="inlineStr"/>
      <c r="CK920" t="inlineStr"/>
      <c r="CL920" t="inlineStr"/>
      <c r="CM920" t="inlineStr"/>
      <c r="CN920" t="inlineStr"/>
      <c r="CO920" t="inlineStr"/>
      <c r="CP920" t="inlineStr"/>
      <c r="CQ920" t="inlineStr"/>
      <c r="CR920" t="inlineStr"/>
      <c r="CS920" t="inlineStr"/>
      <c r="CT920" t="inlineStr"/>
      <c r="CU920" t="inlineStr"/>
      <c r="CV920" t="inlineStr"/>
      <c r="CW920" t="inlineStr"/>
      <c r="CX920" t="inlineStr"/>
      <c r="CY920" t="inlineStr"/>
      <c r="CZ920" t="inlineStr"/>
      <c r="DA920" t="inlineStr"/>
      <c r="DB920" t="inlineStr"/>
      <c r="DC920" t="inlineStr"/>
      <c r="DD920" t="inlineStr"/>
      <c r="DE920" t="inlineStr"/>
      <c r="DF920" t="inlineStr"/>
      <c r="DG920" t="inlineStr"/>
    </row>
    <row r="921">
      <c r="A921" t="inlineStr">
        <is>
          <t>III</t>
        </is>
      </c>
      <c r="B921" t="b">
        <v>1</v>
      </c>
      <c r="C921" t="inlineStr"/>
      <c r="D921" t="inlineStr"/>
      <c r="E921" t="n">
        <v>1019</v>
      </c>
      <c r="F921">
        <f>HYPERLINK("https://portal.dnb.de/opac.htm?method=simpleSearch&amp;cqlMode=true&amp;query=idn%3D1002324033", "Portal")</f>
        <v/>
      </c>
      <c r="G921" t="inlineStr">
        <is>
          <t>Aal</t>
        </is>
      </c>
      <c r="H921" t="inlineStr">
        <is>
          <t>L-1555-177026413</t>
        </is>
      </c>
      <c r="I921" t="inlineStr">
        <is>
          <t>1002324033</t>
        </is>
      </c>
      <c r="J921" t="inlineStr">
        <is>
          <t>III 103, 5</t>
        </is>
      </c>
      <c r="K921" t="inlineStr">
        <is>
          <t>III 103, 5</t>
        </is>
      </c>
      <c r="L921" t="inlineStr">
        <is>
          <t>III 103, 5</t>
        </is>
      </c>
      <c r="M921" t="inlineStr"/>
      <c r="N921" t="inlineStr">
        <is>
          <t>Liber Sacrosancti Evangelii de Jesu Christo Domino &amp; Deo nostro ... : Div. Ferdinandi Rom. Imperatoris designati iussu &amp; liberalitate, characteribus &amp;</t>
        </is>
      </c>
      <c r="O921" t="inlineStr">
        <is>
          <t xml:space="preserve"> : </t>
        </is>
      </c>
      <c r="P921" t="inlineStr"/>
      <c r="Q921" t="inlineStr"/>
      <c r="R921" t="inlineStr"/>
      <c r="S921" t="inlineStr">
        <is>
          <t>bis 25 cm</t>
        </is>
      </c>
      <c r="T921" t="inlineStr"/>
      <c r="U921" t="inlineStr"/>
      <c r="V921" t="inlineStr"/>
      <c r="W921" t="inlineStr"/>
      <c r="X921" t="inlineStr"/>
      <c r="Y921" t="inlineStr"/>
      <c r="Z921" t="inlineStr"/>
      <c r="AA921" t="inlineStr"/>
      <c r="AB921" t="inlineStr"/>
      <c r="AC921" t="inlineStr"/>
      <c r="AD921" t="inlineStr"/>
      <c r="AE921" t="inlineStr"/>
      <c r="AF921" t="inlineStr"/>
      <c r="AG921" t="inlineStr"/>
      <c r="AH921" t="inlineStr"/>
      <c r="AI921" t="inlineStr">
        <is>
          <t>L</t>
        </is>
      </c>
      <c r="AJ921" t="inlineStr"/>
      <c r="AK921" t="inlineStr"/>
      <c r="AL921" t="inlineStr"/>
      <c r="AM921" t="inlineStr">
        <is>
          <t>f</t>
        </is>
      </c>
      <c r="AN921" t="inlineStr"/>
      <c r="AO921" t="inlineStr"/>
      <c r="AP921" t="inlineStr">
        <is>
          <t>x</t>
        </is>
      </c>
      <c r="AQ921" t="inlineStr"/>
      <c r="AR921" t="inlineStr"/>
      <c r="AS921" t="inlineStr">
        <is>
          <t>Pa</t>
        </is>
      </c>
      <c r="AT921" t="inlineStr"/>
      <c r="AU921" t="inlineStr"/>
      <c r="AV921" t="inlineStr"/>
      <c r="AW921" t="inlineStr"/>
      <c r="AX921" t="inlineStr"/>
      <c r="AY921" t="inlineStr"/>
      <c r="AZ921" t="inlineStr"/>
      <c r="BA921" t="inlineStr"/>
      <c r="BB921" t="inlineStr"/>
      <c r="BC921" t="inlineStr"/>
      <c r="BD921" t="inlineStr"/>
      <c r="BE921" t="inlineStr"/>
      <c r="BF921" t="inlineStr"/>
      <c r="BG921" t="inlineStr">
        <is>
          <t>max 110</t>
        </is>
      </c>
      <c r="BH921" t="inlineStr"/>
      <c r="BI921" t="inlineStr"/>
      <c r="BJ921" t="inlineStr"/>
      <c r="BK921" t="inlineStr"/>
      <c r="BL921" t="inlineStr"/>
      <c r="BM921" t="inlineStr">
        <is>
          <t>n</t>
        </is>
      </c>
      <c r="BN921" t="n">
        <v>0</v>
      </c>
      <c r="BO921" t="inlineStr"/>
      <c r="BP921" t="inlineStr"/>
      <c r="BQ921" t="inlineStr"/>
      <c r="BR921" t="inlineStr"/>
      <c r="BS921" t="inlineStr">
        <is>
          <t>x</t>
        </is>
      </c>
      <c r="BT921" t="inlineStr"/>
      <c r="BU921" t="inlineStr"/>
      <c r="BV921" t="inlineStr">
        <is>
          <t>einige Einlagen inneliegend, Vorderdeckel stark deformiert</t>
        </is>
      </c>
      <c r="BW921" t="inlineStr"/>
      <c r="BX921" t="inlineStr"/>
      <c r="BY921" t="inlineStr"/>
      <c r="BZ921" t="inlineStr"/>
      <c r="CA921" t="inlineStr"/>
      <c r="CB921" t="inlineStr"/>
      <c r="CC921" t="inlineStr"/>
      <c r="CD921" t="inlineStr"/>
      <c r="CE921" t="inlineStr"/>
      <c r="CF921" t="inlineStr"/>
      <c r="CG921" t="inlineStr"/>
      <c r="CH921" t="inlineStr"/>
      <c r="CI921" t="inlineStr"/>
      <c r="CJ921" t="inlineStr"/>
      <c r="CK921" t="inlineStr"/>
      <c r="CL921" t="inlineStr"/>
      <c r="CM921" t="inlineStr"/>
      <c r="CN921" t="inlineStr"/>
      <c r="CO921" t="inlineStr"/>
      <c r="CP921" t="inlineStr"/>
      <c r="CQ921" t="inlineStr"/>
      <c r="CR921" t="inlineStr"/>
      <c r="CS921" t="inlineStr"/>
      <c r="CT921" t="inlineStr"/>
      <c r="CU921" t="inlineStr"/>
      <c r="CV921" t="inlineStr"/>
      <c r="CW921" t="inlineStr"/>
      <c r="CX921" t="inlineStr"/>
      <c r="CY921" t="inlineStr"/>
      <c r="CZ921" t="inlineStr"/>
      <c r="DA921" t="inlineStr"/>
      <c r="DB921" t="inlineStr"/>
      <c r="DC921" t="inlineStr"/>
      <c r="DD921" t="inlineStr"/>
      <c r="DE921" t="inlineStr"/>
      <c r="DF921" t="inlineStr"/>
      <c r="DG921" t="inlineStr"/>
    </row>
    <row r="922">
      <c r="A922" t="inlineStr">
        <is>
          <t>III</t>
        </is>
      </c>
      <c r="B922" t="b">
        <v>1</v>
      </c>
      <c r="C922" t="inlineStr"/>
      <c r="D922" t="inlineStr"/>
      <c r="E922" t="n">
        <v>1028</v>
      </c>
      <c r="F922">
        <f>HYPERLINK("https://portal.dnb.de/opac.htm?method=simpleSearch&amp;cqlMode=true&amp;query=idn%3D994060793", "Portal")</f>
        <v/>
      </c>
      <c r="G922" t="inlineStr">
        <is>
          <t>Aal</t>
        </is>
      </c>
      <c r="H922" t="inlineStr">
        <is>
          <t>L-1504-154448257</t>
        </is>
      </c>
      <c r="I922" t="inlineStr">
        <is>
          <t>994060793</t>
        </is>
      </c>
      <c r="J922" t="inlineStr">
        <is>
          <t>III 104, 1</t>
        </is>
      </c>
      <c r="K922" t="inlineStr">
        <is>
          <t>III 104, 1</t>
        </is>
      </c>
      <c r="L922" t="inlineStr">
        <is>
          <t>III 104, 1</t>
        </is>
      </c>
      <c r="M922" t="inlineStr"/>
      <c r="N922" t="inlineStr">
        <is>
          <t xml:space="preserve">Celebradi patris Baptiste Ma||tuani Carmelite theologi Par=||thenices prime liber primus : </t>
        </is>
      </c>
      <c r="O922" t="inlineStr">
        <is>
          <t xml:space="preserve"> : </t>
        </is>
      </c>
      <c r="P922" t="inlineStr"/>
      <c r="Q922" t="inlineStr"/>
      <c r="R922" t="inlineStr"/>
      <c r="S922" t="inlineStr">
        <is>
          <t>bis 25 cm</t>
        </is>
      </c>
      <c r="T922" t="inlineStr"/>
      <c r="U922" t="inlineStr"/>
      <c r="V922" t="inlineStr"/>
      <c r="W922" t="inlineStr"/>
      <c r="X922" t="inlineStr"/>
      <c r="Y922" t="inlineStr"/>
      <c r="Z922" t="inlineStr"/>
      <c r="AA922" t="inlineStr"/>
      <c r="AB922" t="inlineStr"/>
      <c r="AC922" t="inlineStr"/>
      <c r="AD922" t="inlineStr"/>
      <c r="AE922" t="inlineStr"/>
      <c r="AF922" t="inlineStr"/>
      <c r="AG922" t="inlineStr"/>
      <c r="AH922" t="inlineStr"/>
      <c r="AI922" t="inlineStr">
        <is>
          <t>HPg</t>
        </is>
      </c>
      <c r="AJ922" t="inlineStr"/>
      <c r="AK922" t="inlineStr"/>
      <c r="AL922" t="inlineStr"/>
      <c r="AM922" t="inlineStr">
        <is>
          <t>h/E</t>
        </is>
      </c>
      <c r="AN922" t="inlineStr"/>
      <c r="AO922" t="inlineStr"/>
      <c r="AP922" t="inlineStr"/>
      <c r="AQ922" t="inlineStr"/>
      <c r="AR922" t="inlineStr"/>
      <c r="AS922" t="inlineStr">
        <is>
          <t>Pa</t>
        </is>
      </c>
      <c r="AT922" t="inlineStr"/>
      <c r="AU922" t="inlineStr"/>
      <c r="AV922" t="inlineStr"/>
      <c r="AW922" t="inlineStr"/>
      <c r="AX922" t="inlineStr"/>
      <c r="AY922" t="inlineStr"/>
      <c r="AZ922" t="inlineStr"/>
      <c r="BA922" t="inlineStr"/>
      <c r="BB922" t="inlineStr"/>
      <c r="BC922" t="inlineStr"/>
      <c r="BD922" t="inlineStr"/>
      <c r="BE922" t="inlineStr"/>
      <c r="BF922" t="inlineStr"/>
      <c r="BG922" t="n">
        <v>110</v>
      </c>
      <c r="BH922" t="inlineStr"/>
      <c r="BI922" t="inlineStr"/>
      <c r="BJ922" t="inlineStr"/>
      <c r="BK922" t="inlineStr"/>
      <c r="BL922" t="inlineStr"/>
      <c r="BM922" t="inlineStr">
        <is>
          <t>n</t>
        </is>
      </c>
      <c r="BN922" t="n">
        <v>0</v>
      </c>
      <c r="BO922" t="inlineStr"/>
      <c r="BP922" t="inlineStr"/>
      <c r="BQ922" t="inlineStr"/>
      <c r="BR922" t="inlineStr"/>
      <c r="BS922" t="inlineStr"/>
      <c r="BT922" t="inlineStr"/>
      <c r="BU922" t="inlineStr"/>
      <c r="BV922" t="inlineStr"/>
      <c r="BW922" t="inlineStr"/>
      <c r="BX922" t="inlineStr"/>
      <c r="BY922" t="inlineStr"/>
      <c r="BZ922" t="inlineStr"/>
      <c r="CA922" t="inlineStr"/>
      <c r="CB922" t="inlineStr"/>
      <c r="CC922" t="inlineStr"/>
      <c r="CD922" t="inlineStr"/>
      <c r="CE922" t="inlineStr"/>
      <c r="CF922" t="inlineStr"/>
      <c r="CG922" t="inlineStr"/>
      <c r="CH922" t="inlineStr"/>
      <c r="CI922" t="inlineStr"/>
      <c r="CJ922" t="inlineStr"/>
      <c r="CK922" t="inlineStr"/>
      <c r="CL922" t="inlineStr"/>
      <c r="CM922" t="inlineStr"/>
      <c r="CN922" t="inlineStr"/>
      <c r="CO922" t="inlineStr"/>
      <c r="CP922" t="inlineStr"/>
      <c r="CQ922" t="inlineStr"/>
      <c r="CR922" t="inlineStr"/>
      <c r="CS922" t="inlineStr"/>
      <c r="CT922" t="inlineStr"/>
      <c r="CU922" t="inlineStr"/>
      <c r="CV922" t="inlineStr"/>
      <c r="CW922" t="inlineStr"/>
      <c r="CX922" t="inlineStr"/>
      <c r="CY922" t="inlineStr"/>
      <c r="CZ922" t="inlineStr"/>
      <c r="DA922" t="inlineStr"/>
      <c r="DB922" t="inlineStr"/>
      <c r="DC922" t="inlineStr"/>
      <c r="DD922" t="inlineStr"/>
      <c r="DE922" t="inlineStr"/>
      <c r="DF922" t="inlineStr"/>
      <c r="DG922" t="inlineStr"/>
    </row>
    <row r="923">
      <c r="A923" t="inlineStr">
        <is>
          <t>III</t>
        </is>
      </c>
      <c r="B923" t="b">
        <v>1</v>
      </c>
      <c r="C923" t="inlineStr"/>
      <c r="D923" t="inlineStr"/>
      <c r="E923" t="inlineStr"/>
      <c r="F923">
        <f>HYPERLINK("https://portal.dnb.de/opac.htm?method=simpleSearch&amp;cqlMode=true&amp;query=idn%3D1138315893", "Portal")</f>
        <v/>
      </c>
      <c r="G923" t="inlineStr">
        <is>
          <t>Qd</t>
        </is>
      </c>
      <c r="H923" t="inlineStr">
        <is>
          <t>L-9999-414832833</t>
        </is>
      </c>
      <c r="I923" t="inlineStr">
        <is>
          <t>1138315893</t>
        </is>
      </c>
      <c r="J923" t="inlineStr">
        <is>
          <t>III 104, 2</t>
        </is>
      </c>
      <c r="K923" t="inlineStr">
        <is>
          <t>III 104, 2</t>
        </is>
      </c>
      <c r="L923" t="inlineStr">
        <is>
          <t>III 104, 2</t>
        </is>
      </c>
      <c r="M923" t="inlineStr"/>
      <c r="N923" t="inlineStr">
        <is>
          <t xml:space="preserve">Sammelband mit zwei Werken von Pietro Tommai : </t>
        </is>
      </c>
      <c r="O923" t="inlineStr">
        <is>
          <t xml:space="preserve"> : </t>
        </is>
      </c>
      <c r="P923" t="inlineStr"/>
      <c r="Q923" t="inlineStr"/>
      <c r="R923" t="inlineStr"/>
      <c r="S923" t="inlineStr">
        <is>
          <t>bis 35 cm</t>
        </is>
      </c>
      <c r="T923" t="inlineStr"/>
      <c r="U923" t="inlineStr"/>
      <c r="V923" t="inlineStr"/>
      <c r="W923" t="inlineStr"/>
      <c r="X923" t="inlineStr"/>
      <c r="Y923" t="inlineStr"/>
      <c r="Z923" t="inlineStr"/>
      <c r="AA923" t="inlineStr"/>
      <c r="AB923" t="inlineStr"/>
      <c r="AC923" t="inlineStr"/>
      <c r="AD923" t="inlineStr"/>
      <c r="AE923" t="inlineStr"/>
      <c r="AF923" t="inlineStr"/>
      <c r="AG923" t="inlineStr"/>
      <c r="AH923" t="inlineStr"/>
      <c r="AI923" t="inlineStr">
        <is>
          <t>HL</t>
        </is>
      </c>
      <c r="AJ923" t="inlineStr"/>
      <c r="AK923" t="inlineStr">
        <is>
          <t>x</t>
        </is>
      </c>
      <c r="AL923" t="inlineStr"/>
      <c r="AM923" t="inlineStr">
        <is>
          <t>h/E</t>
        </is>
      </c>
      <c r="AN923" t="inlineStr"/>
      <c r="AO923" t="inlineStr"/>
      <c r="AP923" t="inlineStr"/>
      <c r="AQ923" t="inlineStr"/>
      <c r="AR923" t="inlineStr"/>
      <c r="AS923" t="inlineStr">
        <is>
          <t>Pa</t>
        </is>
      </c>
      <c r="AT923" t="inlineStr"/>
      <c r="AU923" t="inlineStr"/>
      <c r="AV923" t="inlineStr"/>
      <c r="AW923" t="inlineStr"/>
      <c r="AX923" t="inlineStr"/>
      <c r="AY923" t="inlineStr"/>
      <c r="AZ923" t="inlineStr"/>
      <c r="BA923" t="inlineStr"/>
      <c r="BB923" t="inlineStr"/>
      <c r="BC923" t="inlineStr"/>
      <c r="BD923" t="inlineStr"/>
      <c r="BE923" t="inlineStr"/>
      <c r="BF923" t="inlineStr"/>
      <c r="BG923" t="n">
        <v>60</v>
      </c>
      <c r="BH923" t="inlineStr"/>
      <c r="BI923" t="inlineStr"/>
      <c r="BJ923" t="inlineStr"/>
      <c r="BK923" t="inlineStr"/>
      <c r="BL923" t="inlineStr"/>
      <c r="BM923" t="inlineStr">
        <is>
          <t>n</t>
        </is>
      </c>
      <c r="BN923" t="n">
        <v>0</v>
      </c>
      <c r="BO923" t="inlineStr"/>
      <c r="BP923" t="inlineStr"/>
      <c r="BQ923" t="inlineStr"/>
      <c r="BR923" t="inlineStr"/>
      <c r="BS923" t="inlineStr"/>
      <c r="BT923" t="inlineStr"/>
      <c r="BU923" t="inlineStr"/>
      <c r="BV923" t="inlineStr"/>
      <c r="BW923" t="inlineStr"/>
      <c r="BX923" t="inlineStr"/>
      <c r="BY923" t="inlineStr"/>
      <c r="BZ923" t="inlineStr"/>
      <c r="CA923" t="inlineStr"/>
      <c r="CB923" t="inlineStr"/>
      <c r="CC923" t="inlineStr"/>
      <c r="CD923" t="inlineStr"/>
      <c r="CE923" t="inlineStr"/>
      <c r="CF923" t="inlineStr"/>
      <c r="CG923" t="inlineStr"/>
      <c r="CH923" t="inlineStr"/>
      <c r="CI923" t="inlineStr"/>
      <c r="CJ923" t="inlineStr"/>
      <c r="CK923" t="inlineStr"/>
      <c r="CL923" t="inlineStr"/>
      <c r="CM923" t="inlineStr"/>
      <c r="CN923" t="inlineStr"/>
      <c r="CO923" t="inlineStr"/>
      <c r="CP923" t="inlineStr"/>
      <c r="CQ923" t="inlineStr"/>
      <c r="CR923" t="inlineStr"/>
      <c r="CS923" t="inlineStr"/>
      <c r="CT923" t="inlineStr"/>
      <c r="CU923" t="inlineStr"/>
      <c r="CV923" t="inlineStr"/>
      <c r="CW923" t="inlineStr"/>
      <c r="CX923" t="inlineStr"/>
      <c r="CY923" t="inlineStr"/>
      <c r="CZ923" t="inlineStr"/>
      <c r="DA923" t="inlineStr"/>
      <c r="DB923" t="inlineStr"/>
      <c r="DC923" t="inlineStr"/>
      <c r="DD923" t="inlineStr"/>
      <c r="DE923" t="inlineStr"/>
      <c r="DF923" t="inlineStr"/>
      <c r="DG923" t="inlineStr"/>
    </row>
    <row r="924">
      <c r="A924" t="inlineStr">
        <is>
          <t>III</t>
        </is>
      </c>
      <c r="B924" t="b">
        <v>1</v>
      </c>
      <c r="C924" t="inlineStr"/>
      <c r="D924" t="inlineStr"/>
      <c r="E924" t="n">
        <v>1030</v>
      </c>
      <c r="F924">
        <f>HYPERLINK("https://portal.dnb.de/opac.htm?method=simpleSearch&amp;cqlMode=true&amp;query=idn%3D1066956685", "Portal")</f>
        <v/>
      </c>
      <c r="G924" t="inlineStr">
        <is>
          <t>Aaf</t>
        </is>
      </c>
      <c r="H924" t="inlineStr">
        <is>
          <t>L-1508-315487321</t>
        </is>
      </c>
      <c r="I924" t="inlineStr">
        <is>
          <t>1066956685</t>
        </is>
      </c>
      <c r="J924" t="inlineStr">
        <is>
          <t>III 104, 3</t>
        </is>
      </c>
      <c r="K924" t="inlineStr">
        <is>
          <t>III 104, 3</t>
        </is>
      </c>
      <c r="L924" t="inlineStr">
        <is>
          <t>III 104, 3</t>
        </is>
      </c>
      <c r="M924" t="inlineStr"/>
      <c r="N924" t="inlineStr">
        <is>
          <t xml:space="preserve">PRAECEPTA ISOCRATIS|| PER ERVDITISSIMVM|| VIRVM RVDOL-||PHVM AGRICO||LAM E GRAE||CO Sermo-||ne in lati-||nu Tra||duc||ta|| : </t>
        </is>
      </c>
      <c r="O924" t="inlineStr">
        <is>
          <t xml:space="preserve"> : </t>
        </is>
      </c>
      <c r="P924" t="inlineStr"/>
      <c r="Q924" t="inlineStr"/>
      <c r="R924" t="inlineStr"/>
      <c r="S924" t="inlineStr">
        <is>
          <t>bis 25 cm</t>
        </is>
      </c>
      <c r="T924" t="inlineStr"/>
      <c r="U924" t="inlineStr"/>
      <c r="V924" t="inlineStr"/>
      <c r="W924" t="inlineStr"/>
      <c r="X924" t="inlineStr"/>
      <c r="Y924" t="inlineStr"/>
      <c r="Z924" t="inlineStr"/>
      <c r="AA924" t="inlineStr"/>
      <c r="AB924" t="inlineStr"/>
      <c r="AC924" t="inlineStr"/>
      <c r="AD924" t="inlineStr"/>
      <c r="AE924" t="inlineStr"/>
      <c r="AF924" t="inlineStr"/>
      <c r="AG924" t="inlineStr"/>
      <c r="AH924" t="inlineStr"/>
      <c r="AI924" t="inlineStr">
        <is>
          <t>Pa</t>
        </is>
      </c>
      <c r="AJ924" t="inlineStr"/>
      <c r="AK924" t="inlineStr"/>
      <c r="AL924" t="inlineStr"/>
      <c r="AM924" t="inlineStr">
        <is>
          <t>h/E</t>
        </is>
      </c>
      <c r="AN924" t="inlineStr"/>
      <c r="AO924" t="inlineStr"/>
      <c r="AP924" t="inlineStr"/>
      <c r="AQ924" t="inlineStr"/>
      <c r="AR924" t="inlineStr"/>
      <c r="AS924" t="inlineStr">
        <is>
          <t>Pa</t>
        </is>
      </c>
      <c r="AT924" t="inlineStr"/>
      <c r="AU924" t="inlineStr"/>
      <c r="AV924" t="inlineStr"/>
      <c r="AW924" t="inlineStr"/>
      <c r="AX924" t="inlineStr"/>
      <c r="AY924" t="inlineStr"/>
      <c r="AZ924" t="inlineStr"/>
      <c r="BA924" t="inlineStr"/>
      <c r="BB924" t="inlineStr"/>
      <c r="BC924" t="inlineStr"/>
      <c r="BD924" t="inlineStr"/>
      <c r="BE924" t="inlineStr"/>
      <c r="BF924" t="inlineStr"/>
      <c r="BG924" t="n">
        <v>110</v>
      </c>
      <c r="BH924" t="inlineStr"/>
      <c r="BI924" t="inlineStr"/>
      <c r="BJ924" t="inlineStr"/>
      <c r="BK924" t="inlineStr"/>
      <c r="BL924" t="inlineStr"/>
      <c r="BM924" t="inlineStr">
        <is>
          <t>n</t>
        </is>
      </c>
      <c r="BN924" t="n">
        <v>0</v>
      </c>
      <c r="BO924" t="inlineStr"/>
      <c r="BP924" t="inlineStr"/>
      <c r="BQ924" t="inlineStr"/>
      <c r="BR924" t="inlineStr"/>
      <c r="BS924" t="inlineStr"/>
      <c r="BT924" t="inlineStr"/>
      <c r="BU924" t="inlineStr"/>
      <c r="BV924" t="inlineStr"/>
      <c r="BW924" t="inlineStr"/>
      <c r="BX924" t="inlineStr"/>
      <c r="BY924" t="inlineStr"/>
      <c r="BZ924" t="inlineStr"/>
      <c r="CA924" t="inlineStr"/>
      <c r="CB924" t="inlineStr"/>
      <c r="CC924" t="inlineStr"/>
      <c r="CD924" t="inlineStr"/>
      <c r="CE924" t="inlineStr"/>
      <c r="CF924" t="inlineStr"/>
      <c r="CG924" t="inlineStr"/>
      <c r="CH924" t="inlineStr"/>
      <c r="CI924" t="inlineStr"/>
      <c r="CJ924" t="inlineStr"/>
      <c r="CK924" t="inlineStr"/>
      <c r="CL924" t="inlineStr"/>
      <c r="CM924" t="inlineStr"/>
      <c r="CN924" t="inlineStr"/>
      <c r="CO924" t="inlineStr"/>
      <c r="CP924" t="inlineStr"/>
      <c r="CQ924" t="inlineStr"/>
      <c r="CR924" t="inlineStr"/>
      <c r="CS924" t="inlineStr"/>
      <c r="CT924" t="inlineStr"/>
      <c r="CU924" t="inlineStr"/>
      <c r="CV924" t="inlineStr"/>
      <c r="CW924" t="inlineStr"/>
      <c r="CX924" t="inlineStr"/>
      <c r="CY924" t="inlineStr"/>
      <c r="CZ924" t="inlineStr"/>
      <c r="DA924" t="inlineStr"/>
      <c r="DB924" t="inlineStr"/>
      <c r="DC924" t="inlineStr"/>
      <c r="DD924" t="inlineStr"/>
      <c r="DE924" t="inlineStr"/>
      <c r="DF924" t="inlineStr"/>
      <c r="DG924" t="inlineStr"/>
    </row>
    <row r="925">
      <c r="A925" t="inlineStr">
        <is>
          <t>III</t>
        </is>
      </c>
      <c r="B925" t="b">
        <v>0</v>
      </c>
      <c r="C925" t="inlineStr"/>
      <c r="D925" t="inlineStr"/>
      <c r="E925" t="inlineStr"/>
      <c r="F925">
        <f>HYPERLINK("https://portal.dnb.de/opac.htm?method=simpleSearch&amp;cqlMode=true&amp;query=idn%3D", "Portal")</f>
        <v/>
      </c>
      <c r="G925" t="inlineStr"/>
      <c r="H925" t="inlineStr"/>
      <c r="I925" t="inlineStr"/>
      <c r="J925" t="inlineStr"/>
      <c r="K925" t="inlineStr"/>
      <c r="L925" t="inlineStr">
        <is>
          <t>III 104, 4</t>
        </is>
      </c>
      <c r="M925" t="inlineStr"/>
      <c r="N925" t="inlineStr"/>
      <c r="O925" t="inlineStr"/>
      <c r="P925" t="inlineStr"/>
      <c r="Q925" t="inlineStr"/>
      <c r="R925" t="inlineStr"/>
      <c r="S925" t="inlineStr">
        <is>
          <t>bis 25 cm</t>
        </is>
      </c>
      <c r="T925" t="inlineStr"/>
      <c r="U925" t="inlineStr"/>
      <c r="V925" t="inlineStr"/>
      <c r="W925" t="inlineStr"/>
      <c r="X925" t="inlineStr"/>
      <c r="Y925" t="inlineStr"/>
      <c r="Z925" t="inlineStr"/>
      <c r="AA925" t="inlineStr"/>
      <c r="AB925" t="inlineStr"/>
      <c r="AC925" t="inlineStr"/>
      <c r="AD925" t="inlineStr"/>
      <c r="AE925" t="inlineStr"/>
      <c r="AF925" t="inlineStr"/>
      <c r="AG925" t="inlineStr"/>
      <c r="AH925" t="inlineStr"/>
      <c r="AI925" t="inlineStr">
        <is>
          <t>oE</t>
        </is>
      </c>
      <c r="AJ925" t="inlineStr"/>
      <c r="AK925" t="inlineStr"/>
      <c r="AL925" t="inlineStr"/>
      <c r="AM925" t="inlineStr"/>
      <c r="AN925" t="inlineStr"/>
      <c r="AO925" t="inlineStr"/>
      <c r="AP925" t="inlineStr"/>
      <c r="AQ925" t="inlineStr"/>
      <c r="AR925" t="inlineStr"/>
      <c r="AS925" t="inlineStr">
        <is>
          <t>Pa</t>
        </is>
      </c>
      <c r="AT925" t="inlineStr"/>
      <c r="AU925" t="inlineStr"/>
      <c r="AV925" t="inlineStr"/>
      <c r="AW925" t="inlineStr"/>
      <c r="AX925" t="inlineStr"/>
      <c r="AY925" t="inlineStr"/>
      <c r="AZ925" t="inlineStr"/>
      <c r="BA925" t="inlineStr"/>
      <c r="BB925" t="inlineStr"/>
      <c r="BC925" t="inlineStr"/>
      <c r="BD925" t="inlineStr"/>
      <c r="BE925" t="inlineStr"/>
      <c r="BF925" t="inlineStr"/>
      <c r="BG925" t="inlineStr">
        <is>
          <t>nur 110</t>
        </is>
      </c>
      <c r="BH925" t="inlineStr"/>
      <c r="BI925" t="inlineStr"/>
      <c r="BJ925" t="inlineStr"/>
      <c r="BK925" t="inlineStr"/>
      <c r="BL925" t="inlineStr"/>
      <c r="BM925" t="inlineStr">
        <is>
          <t>n</t>
        </is>
      </c>
      <c r="BN925" t="n">
        <v>0</v>
      </c>
      <c r="BO925" t="inlineStr"/>
      <c r="BP925" t="inlineStr"/>
      <c r="BQ925" t="inlineStr"/>
      <c r="BR925" t="inlineStr"/>
      <c r="BS925" t="inlineStr">
        <is>
          <t>x</t>
        </is>
      </c>
      <c r="BT925" t="inlineStr"/>
      <c r="BU925" t="inlineStr"/>
      <c r="BV925" t="inlineStr">
        <is>
          <t>Einband liegt in der Mappe bei</t>
        </is>
      </c>
      <c r="BW925" t="inlineStr">
        <is>
          <t>x nur 110</t>
        </is>
      </c>
      <c r="BX925" t="inlineStr"/>
      <c r="BY925" t="inlineStr"/>
      <c r="BZ925" t="inlineStr"/>
      <c r="CA925" t="inlineStr"/>
      <c r="CB925" t="inlineStr"/>
      <c r="CC925" t="inlineStr"/>
      <c r="CD925" t="inlineStr"/>
      <c r="CE925" t="inlineStr"/>
      <c r="CF925" t="inlineStr"/>
      <c r="CG925" t="inlineStr"/>
      <c r="CH925" t="inlineStr"/>
      <c r="CI925" t="inlineStr"/>
      <c r="CJ925" t="inlineStr"/>
      <c r="CK925" t="inlineStr"/>
      <c r="CL925" t="inlineStr"/>
      <c r="CM925" t="inlineStr"/>
      <c r="CN925" t="inlineStr"/>
      <c r="CO925" t="inlineStr"/>
      <c r="CP925" t="inlineStr"/>
      <c r="CQ925" t="inlineStr"/>
      <c r="CR925" t="inlineStr"/>
      <c r="CS925" t="inlineStr"/>
      <c r="CT925" t="inlineStr"/>
      <c r="CU925" t="inlineStr"/>
      <c r="CV925" t="inlineStr"/>
      <c r="CW925" t="inlineStr"/>
      <c r="CX925" t="inlineStr"/>
      <c r="CY925" t="inlineStr"/>
      <c r="CZ925" t="inlineStr"/>
      <c r="DA925" t="inlineStr"/>
      <c r="DB925" t="inlineStr"/>
      <c r="DC925" t="inlineStr"/>
      <c r="DD925" t="inlineStr"/>
      <c r="DE925" t="inlineStr"/>
      <c r="DF925" t="inlineStr"/>
      <c r="DG925" t="inlineStr"/>
    </row>
    <row r="926">
      <c r="A926" t="inlineStr">
        <is>
          <t>III</t>
        </is>
      </c>
      <c r="B926" t="b">
        <v>1</v>
      </c>
      <c r="C926" t="inlineStr"/>
      <c r="D926" t="inlineStr"/>
      <c r="E926" t="inlineStr"/>
      <c r="F926">
        <f>HYPERLINK("https://portal.dnb.de/opac.htm?method=simpleSearch&amp;cqlMode=true&amp;query=idn%3D1272480178", "Portal")</f>
        <v/>
      </c>
      <c r="G926" t="inlineStr">
        <is>
          <t>Aal</t>
        </is>
      </c>
      <c r="H926" t="inlineStr">
        <is>
          <t>L-1521-848040503</t>
        </is>
      </c>
      <c r="I926" t="inlineStr">
        <is>
          <t>1272480178</t>
        </is>
      </c>
      <c r="J926" t="inlineStr">
        <is>
          <t>III 104, 4</t>
        </is>
      </c>
      <c r="K926" t="inlineStr">
        <is>
          <t>III 104, 4</t>
        </is>
      </c>
      <c r="L926" t="inlineStr">
        <is>
          <t>III 104, 4</t>
        </is>
      </c>
      <c r="M926" t="inlineStr"/>
      <c r="N926" t="inlineStr">
        <is>
          <t>Der @sechs vñ dreys=||sigist psalm Dauid|| eynen Christlichen Menschen tzu|| leren vñ tr#[oe]sten widder die|| Mütterey der b#eßenn|| vnnd freueln|| G</t>
        </is>
      </c>
      <c r="O926" t="inlineStr">
        <is>
          <t xml:space="preserve"> : </t>
        </is>
      </c>
      <c r="P926" t="inlineStr"/>
      <c r="Q926" t="inlineStr"/>
      <c r="R926" t="inlineStr"/>
      <c r="S926" t="inlineStr"/>
      <c r="T926" t="inlineStr"/>
      <c r="U926" t="inlineStr"/>
      <c r="V926" t="inlineStr"/>
      <c r="W926" t="inlineStr"/>
      <c r="X926" t="inlineStr"/>
      <c r="Y926" t="inlineStr"/>
      <c r="Z926" t="inlineStr"/>
      <c r="AA926" t="inlineStr"/>
      <c r="AB926" t="inlineStr"/>
      <c r="AC926" t="inlineStr"/>
      <c r="AD926" t="inlineStr"/>
      <c r="AE926" t="inlineStr"/>
      <c r="AF926" t="inlineStr"/>
      <c r="AG926" t="inlineStr"/>
      <c r="AH926" t="inlineStr"/>
      <c r="AI926" t="inlineStr"/>
      <c r="AJ926" t="inlineStr"/>
      <c r="AK926" t="inlineStr"/>
      <c r="AL926" t="inlineStr"/>
      <c r="AM926" t="inlineStr"/>
      <c r="AN926" t="inlineStr"/>
      <c r="AO926" t="inlineStr"/>
      <c r="AP926" t="inlineStr"/>
      <c r="AQ926" t="inlineStr"/>
      <c r="AR926" t="inlineStr"/>
      <c r="AS926" t="inlineStr"/>
      <c r="AT926" t="inlineStr"/>
      <c r="AU926" t="inlineStr"/>
      <c r="AV926" t="inlineStr"/>
      <c r="AW926" t="inlineStr"/>
      <c r="AX926" t="inlineStr"/>
      <c r="AY926" t="inlineStr"/>
      <c r="AZ926" t="inlineStr"/>
      <c r="BA926" t="inlineStr"/>
      <c r="BB926" t="inlineStr"/>
      <c r="BC926" t="inlineStr"/>
      <c r="BD926" t="inlineStr"/>
      <c r="BE926" t="inlineStr"/>
      <c r="BF926" t="inlineStr"/>
      <c r="BG926" t="inlineStr"/>
      <c r="BH926" t="inlineStr"/>
      <c r="BI926" t="inlineStr"/>
      <c r="BJ926" t="inlineStr"/>
      <c r="BK926" t="inlineStr"/>
      <c r="BL926" t="inlineStr"/>
      <c r="BM926" t="inlineStr"/>
      <c r="BN926" t="inlineStr"/>
      <c r="BO926" t="inlineStr"/>
      <c r="BP926" t="inlineStr"/>
      <c r="BQ926" t="inlineStr"/>
      <c r="BR926" t="inlineStr"/>
      <c r="BS926" t="inlineStr"/>
      <c r="BT926" t="inlineStr"/>
      <c r="BU926" t="inlineStr"/>
      <c r="BV926" t="inlineStr"/>
      <c r="BW926" t="inlineStr"/>
      <c r="BX926" t="inlineStr"/>
      <c r="BY926" t="inlineStr"/>
      <c r="BZ926" t="inlineStr"/>
      <c r="CA926" t="inlineStr"/>
      <c r="CB926" t="inlineStr"/>
      <c r="CC926" t="inlineStr"/>
      <c r="CD926" t="inlineStr"/>
      <c r="CE926" t="inlineStr"/>
      <c r="CF926" t="inlineStr"/>
      <c r="CG926" t="inlineStr"/>
      <c r="CH926" t="inlineStr"/>
      <c r="CI926" t="inlineStr"/>
      <c r="CJ926" t="inlineStr"/>
      <c r="CK926" t="inlineStr"/>
      <c r="CL926" t="inlineStr"/>
      <c r="CM926" t="inlineStr"/>
      <c r="CN926" t="inlineStr"/>
      <c r="CO926" t="inlineStr"/>
      <c r="CP926" t="inlineStr"/>
      <c r="CQ926" t="inlineStr"/>
      <c r="CR926" t="inlineStr"/>
      <c r="CS926" t="inlineStr"/>
      <c r="CT926" t="inlineStr"/>
      <c r="CU926" t="inlineStr"/>
      <c r="CV926" t="inlineStr"/>
      <c r="CW926" t="inlineStr"/>
      <c r="CX926" t="inlineStr"/>
      <c r="CY926" t="inlineStr"/>
      <c r="CZ926" t="inlineStr"/>
      <c r="DA926" t="inlineStr"/>
      <c r="DB926" t="inlineStr"/>
      <c r="DC926" t="inlineStr"/>
      <c r="DD926" t="inlineStr"/>
      <c r="DE926" t="inlineStr"/>
      <c r="DF926" t="inlineStr"/>
      <c r="DG926" t="inlineStr"/>
    </row>
    <row r="927">
      <c r="A927" t="inlineStr">
        <is>
          <t>III</t>
        </is>
      </c>
      <c r="B927" t="b">
        <v>1</v>
      </c>
      <c r="C927" t="inlineStr"/>
      <c r="D927" t="inlineStr"/>
      <c r="E927" t="n">
        <v>1147</v>
      </c>
      <c r="F927">
        <f>HYPERLINK("https://portal.dnb.de/opac.htm?method=simpleSearch&amp;cqlMode=true&amp;query=idn%3D998923095", "Portal")</f>
        <v/>
      </c>
      <c r="G927" t="inlineStr">
        <is>
          <t>Aal</t>
        </is>
      </c>
      <c r="H927" t="inlineStr">
        <is>
          <t>L-1521-167207245</t>
        </is>
      </c>
      <c r="I927" t="inlineStr">
        <is>
          <t>998923095</t>
        </is>
      </c>
      <c r="J927" t="inlineStr">
        <is>
          <t>III 104, 4a</t>
        </is>
      </c>
      <c r="K927" t="inlineStr">
        <is>
          <t>III 104, 4a</t>
        </is>
      </c>
      <c r="L927" t="inlineStr">
        <is>
          <t>III 104, 4 a</t>
        </is>
      </c>
      <c r="M927" t="inlineStr"/>
      <c r="N927" t="inlineStr">
        <is>
          <t xml:space="preserve">Eyn @Sermon D. Martini Lutheri|| geprediget zu Erffurt yn der|| reyß gen Wormis|| M. D. XXi : </t>
        </is>
      </c>
      <c r="O927" t="inlineStr">
        <is>
          <t xml:space="preserve"> : </t>
        </is>
      </c>
      <c r="P927" t="inlineStr"/>
      <c r="Q927" t="inlineStr"/>
      <c r="R927" t="inlineStr"/>
      <c r="S927" t="inlineStr">
        <is>
          <t>bis 25 cm</t>
        </is>
      </c>
      <c r="T927" t="inlineStr"/>
      <c r="U927" t="inlineStr"/>
      <c r="V927" t="inlineStr"/>
      <c r="W927" t="inlineStr"/>
      <c r="X927" t="inlineStr"/>
      <c r="Y927" t="inlineStr"/>
      <c r="Z927" t="inlineStr"/>
      <c r="AA927" t="inlineStr"/>
      <c r="AB927" t="inlineStr"/>
      <c r="AC927" t="inlineStr"/>
      <c r="AD927" t="inlineStr"/>
      <c r="AE927" t="inlineStr"/>
      <c r="AF927" t="inlineStr"/>
      <c r="AG927" t="inlineStr"/>
      <c r="AH927" t="inlineStr"/>
      <c r="AI927" t="inlineStr">
        <is>
          <t>L</t>
        </is>
      </c>
      <c r="AJ927" t="inlineStr"/>
      <c r="AK927" t="inlineStr"/>
      <c r="AL927" t="inlineStr"/>
      <c r="AM927" t="inlineStr">
        <is>
          <t>f</t>
        </is>
      </c>
      <c r="AN927" t="inlineStr"/>
      <c r="AO927" t="inlineStr"/>
      <c r="AP927" t="inlineStr"/>
      <c r="AQ927" t="inlineStr"/>
      <c r="AR927" t="inlineStr"/>
      <c r="AS927" t="inlineStr">
        <is>
          <t>Pa</t>
        </is>
      </c>
      <c r="AT927" t="inlineStr"/>
      <c r="AU927" t="inlineStr"/>
      <c r="AV927" t="inlineStr"/>
      <c r="AW927" t="inlineStr"/>
      <c r="AX927" t="inlineStr"/>
      <c r="AY927" t="inlineStr"/>
      <c r="AZ927" t="inlineStr"/>
      <c r="BA927" t="inlineStr"/>
      <c r="BB927" t="inlineStr"/>
      <c r="BC927" t="inlineStr"/>
      <c r="BD927" t="inlineStr"/>
      <c r="BE927" t="inlineStr"/>
      <c r="BF927" t="inlineStr"/>
      <c r="BG927" t="n">
        <v>110</v>
      </c>
      <c r="BH927" t="inlineStr"/>
      <c r="BI927" t="inlineStr"/>
      <c r="BJ927" t="inlineStr"/>
      <c r="BK927" t="inlineStr"/>
      <c r="BL927" t="inlineStr">
        <is>
          <t>x</t>
        </is>
      </c>
      <c r="BM927" t="inlineStr">
        <is>
          <t>n</t>
        </is>
      </c>
      <c r="BN927" t="n">
        <v>0</v>
      </c>
      <c r="BO927" t="inlineStr"/>
      <c r="BP927" t="inlineStr">
        <is>
          <t>Gewebe</t>
        </is>
      </c>
      <c r="BQ927" t="inlineStr"/>
      <c r="BR927" t="inlineStr"/>
      <c r="BS927" t="inlineStr"/>
      <c r="BT927" t="inlineStr"/>
      <c r="BU927" t="inlineStr"/>
      <c r="BV927" t="inlineStr"/>
      <c r="BW927" t="inlineStr">
        <is>
          <t>x 110</t>
        </is>
      </c>
      <c r="BX927" t="inlineStr"/>
      <c r="BY927" t="inlineStr"/>
      <c r="BZ927" t="inlineStr"/>
      <c r="CA927" t="inlineStr"/>
      <c r="CB927" t="inlineStr"/>
      <c r="CC927" t="inlineStr"/>
      <c r="CD927" t="inlineStr"/>
      <c r="CE927" t="inlineStr"/>
      <c r="CF927" t="inlineStr"/>
      <c r="CG927" t="inlineStr"/>
      <c r="CH927" t="inlineStr"/>
      <c r="CI927" t="inlineStr"/>
      <c r="CJ927" t="inlineStr"/>
      <c r="CK927" t="inlineStr"/>
      <c r="CL927" t="inlineStr"/>
      <c r="CM927" t="inlineStr"/>
      <c r="CN927" t="inlineStr"/>
      <c r="CO927" t="inlineStr"/>
      <c r="CP927" t="inlineStr"/>
      <c r="CQ927" t="inlineStr"/>
      <c r="CR927" t="inlineStr"/>
      <c r="CS927" t="inlineStr"/>
      <c r="CT927" t="inlineStr"/>
      <c r="CU927" t="inlineStr"/>
      <c r="CV927" t="inlineStr"/>
      <c r="CW927" t="inlineStr"/>
      <c r="CX927" t="inlineStr"/>
      <c r="CY927" t="inlineStr"/>
      <c r="CZ927" t="inlineStr"/>
      <c r="DA927" t="inlineStr"/>
      <c r="DB927" t="inlineStr"/>
      <c r="DC927" t="inlineStr"/>
      <c r="DD927" t="inlineStr"/>
      <c r="DE927" t="inlineStr"/>
      <c r="DF927" t="inlineStr"/>
      <c r="DG927" t="inlineStr"/>
    </row>
    <row r="928">
      <c r="A928" t="inlineStr">
        <is>
          <t>III</t>
        </is>
      </c>
      <c r="B928" t="b">
        <v>1</v>
      </c>
      <c r="C928" t="inlineStr"/>
      <c r="D928" t="inlineStr"/>
      <c r="E928" t="n">
        <v>1031</v>
      </c>
      <c r="F928">
        <f>HYPERLINK("https://portal.dnb.de/opac.htm?method=simpleSearch&amp;cqlMode=true&amp;query=idn%3D1066958610", "Portal")</f>
        <v/>
      </c>
      <c r="G928" t="inlineStr">
        <is>
          <t>Aaf</t>
        </is>
      </c>
      <c r="H928" t="inlineStr">
        <is>
          <t>L-1520-315489227</t>
        </is>
      </c>
      <c r="I928" t="inlineStr">
        <is>
          <t>1066958610</t>
        </is>
      </c>
      <c r="J928" t="inlineStr">
        <is>
          <t>III 104, 5</t>
        </is>
      </c>
      <c r="K928" t="inlineStr">
        <is>
          <t>III 104, 5</t>
        </is>
      </c>
      <c r="L928" t="inlineStr">
        <is>
          <t>III 104, 5</t>
        </is>
      </c>
      <c r="M928" t="inlineStr"/>
      <c r="N928" t="inlineStr">
        <is>
          <t>Warumb des Bapsts vnd sey=||ner Jungerñ bucher von|| Doct. Martino Lu||ther vorbrt|| seynñ.|| Lasz auch anczeygen wer do|| wil. warumb sie D. Lu=||the</t>
        </is>
      </c>
      <c r="O928" t="inlineStr">
        <is>
          <t xml:space="preserve"> : </t>
        </is>
      </c>
      <c r="P928" t="inlineStr"/>
      <c r="Q928" t="inlineStr"/>
      <c r="R928" t="inlineStr"/>
      <c r="S928" t="inlineStr">
        <is>
          <t>bis 25 cm</t>
        </is>
      </c>
      <c r="T928" t="inlineStr"/>
      <c r="U928" t="inlineStr"/>
      <c r="V928" t="inlineStr"/>
      <c r="W928" t="inlineStr"/>
      <c r="X928" t="inlineStr"/>
      <c r="Y928" t="inlineStr"/>
      <c r="Z928" t="inlineStr"/>
      <c r="AA928" t="inlineStr"/>
      <c r="AB928" t="inlineStr"/>
      <c r="AC928" t="inlineStr"/>
      <c r="AD928" t="inlineStr"/>
      <c r="AE928" t="inlineStr"/>
      <c r="AF928" t="inlineStr"/>
      <c r="AG928" t="inlineStr"/>
      <c r="AH928" t="inlineStr"/>
      <c r="AI928" t="inlineStr">
        <is>
          <t>HPg</t>
        </is>
      </c>
      <c r="AJ928" t="inlineStr"/>
      <c r="AK928" t="inlineStr"/>
      <c r="AL928" t="inlineStr"/>
      <c r="AM928" t="inlineStr">
        <is>
          <t>h/E</t>
        </is>
      </c>
      <c r="AN928" t="inlineStr"/>
      <c r="AO928" t="inlineStr"/>
      <c r="AP928" t="inlineStr"/>
      <c r="AQ928" t="inlineStr"/>
      <c r="AR928" t="inlineStr"/>
      <c r="AS928" t="inlineStr">
        <is>
          <t>Pa</t>
        </is>
      </c>
      <c r="AT928" t="inlineStr">
        <is>
          <t>x</t>
        </is>
      </c>
      <c r="AU928" t="inlineStr"/>
      <c r="AV928" t="inlineStr"/>
      <c r="AW928" t="inlineStr"/>
      <c r="AX928" t="inlineStr"/>
      <c r="AY928" t="inlineStr"/>
      <c r="AZ928" t="inlineStr"/>
      <c r="BA928" t="inlineStr"/>
      <c r="BB928" t="inlineStr"/>
      <c r="BC928" t="inlineStr"/>
      <c r="BD928" t="inlineStr"/>
      <c r="BE928" t="inlineStr"/>
      <c r="BF928" t="inlineStr"/>
      <c r="BG928" t="n">
        <v>110</v>
      </c>
      <c r="BH928" t="inlineStr"/>
      <c r="BI928" t="inlineStr"/>
      <c r="BJ928" t="inlineStr"/>
      <c r="BK928" t="inlineStr"/>
      <c r="BL928" t="inlineStr"/>
      <c r="BM928" t="inlineStr">
        <is>
          <t>n</t>
        </is>
      </c>
      <c r="BN928" t="n">
        <v>0</v>
      </c>
      <c r="BO928" t="inlineStr"/>
      <c r="BP928" t="inlineStr"/>
      <c r="BQ928" t="inlineStr"/>
      <c r="BR928" t="inlineStr"/>
      <c r="BS928" t="inlineStr"/>
      <c r="BT928" t="inlineStr"/>
      <c r="BU928" t="inlineStr"/>
      <c r="BV928" t="inlineStr"/>
      <c r="BW928" t="inlineStr"/>
      <c r="BX928" t="inlineStr"/>
      <c r="BY928" t="inlineStr"/>
      <c r="BZ928" t="inlineStr"/>
      <c r="CA928" t="inlineStr"/>
      <c r="CB928" t="inlineStr"/>
      <c r="CC928" t="inlineStr"/>
      <c r="CD928" t="inlineStr"/>
      <c r="CE928" t="inlineStr"/>
      <c r="CF928" t="inlineStr"/>
      <c r="CG928" t="inlineStr"/>
      <c r="CH928" t="inlineStr"/>
      <c r="CI928" t="inlineStr"/>
      <c r="CJ928" t="inlineStr"/>
      <c r="CK928" t="inlineStr"/>
      <c r="CL928" t="inlineStr"/>
      <c r="CM928" t="inlineStr"/>
      <c r="CN928" t="inlineStr"/>
      <c r="CO928" t="inlineStr"/>
      <c r="CP928" t="inlineStr"/>
      <c r="CQ928" t="inlineStr"/>
      <c r="CR928" t="inlineStr"/>
      <c r="CS928" t="inlineStr"/>
      <c r="CT928" t="inlineStr"/>
      <c r="CU928" t="inlineStr"/>
      <c r="CV928" t="inlineStr"/>
      <c r="CW928" t="inlineStr"/>
      <c r="CX928" t="inlineStr"/>
      <c r="CY928" t="inlineStr"/>
      <c r="CZ928" t="inlineStr"/>
      <c r="DA928" t="inlineStr"/>
      <c r="DB928" t="inlineStr"/>
      <c r="DC928" t="inlineStr"/>
      <c r="DD928" t="inlineStr"/>
      <c r="DE928" t="inlineStr"/>
      <c r="DF928" t="inlineStr"/>
      <c r="DG928" t="inlineStr"/>
    </row>
    <row r="929">
      <c r="A929" t="inlineStr">
        <is>
          <t>III</t>
        </is>
      </c>
      <c r="B929" t="b">
        <v>1</v>
      </c>
      <c r="C929" t="inlineStr"/>
      <c r="D929" t="inlineStr"/>
      <c r="E929" t="n">
        <v>1148</v>
      </c>
      <c r="F929">
        <f>HYPERLINK("https://portal.dnb.de/opac.htm?method=simpleSearch&amp;cqlMode=true&amp;query=idn%3D99785636X", "Portal")</f>
        <v/>
      </c>
      <c r="G929" t="inlineStr">
        <is>
          <t>Aal</t>
        </is>
      </c>
      <c r="H929" t="inlineStr">
        <is>
          <t>L-1522-165117656</t>
        </is>
      </c>
      <c r="I929" t="inlineStr">
        <is>
          <t>99785636X</t>
        </is>
      </c>
      <c r="J929" t="inlineStr">
        <is>
          <t>III 104, 5 a</t>
        </is>
      </c>
      <c r="K929" t="inlineStr">
        <is>
          <t>III 104, 5 a</t>
        </is>
      </c>
      <c r="L929" t="inlineStr">
        <is>
          <t>III 104, 5 a</t>
        </is>
      </c>
      <c r="M929" t="inlineStr"/>
      <c r="N929" t="inlineStr">
        <is>
          <t>Eyn @Sermon vom|| Fasten vnd Feyren,|| [Exodus 20,12] gepredigt von bruder Heinrich Ke=||tenbach, Barfusser Obseruantz|| czu Vlm ynn yhrem Con=||uent,</t>
        </is>
      </c>
      <c r="O929" t="inlineStr">
        <is>
          <t xml:space="preserve"> : </t>
        </is>
      </c>
      <c r="P929" t="inlineStr"/>
      <c r="Q929" t="inlineStr"/>
      <c r="R929" t="inlineStr"/>
      <c r="S929" t="inlineStr">
        <is>
          <t>bis 25 cm</t>
        </is>
      </c>
      <c r="T929" t="inlineStr"/>
      <c r="U929" t="inlineStr"/>
      <c r="V929" t="inlineStr"/>
      <c r="W929" t="inlineStr"/>
      <c r="X929" t="inlineStr"/>
      <c r="Y929" t="inlineStr"/>
      <c r="Z929" t="inlineStr"/>
      <c r="AA929" t="inlineStr"/>
      <c r="AB929" t="inlineStr"/>
      <c r="AC929" t="inlineStr"/>
      <c r="AD929" t="inlineStr"/>
      <c r="AE929" t="inlineStr"/>
      <c r="AF929" t="inlineStr"/>
      <c r="AG929" t="inlineStr"/>
      <c r="AH929" t="inlineStr"/>
      <c r="AI929" t="inlineStr">
        <is>
          <t>HPg</t>
        </is>
      </c>
      <c r="AJ929" t="inlineStr"/>
      <c r="AK929" t="inlineStr"/>
      <c r="AL929" t="inlineStr"/>
      <c r="AM929" t="inlineStr">
        <is>
          <t>h/E</t>
        </is>
      </c>
      <c r="AN929" t="inlineStr"/>
      <c r="AO929" t="inlineStr"/>
      <c r="AP929" t="inlineStr"/>
      <c r="AQ929" t="inlineStr"/>
      <c r="AR929" t="inlineStr"/>
      <c r="AS929" t="inlineStr">
        <is>
          <t>Pa</t>
        </is>
      </c>
      <c r="AT929" t="inlineStr"/>
      <c r="AU929" t="inlineStr"/>
      <c r="AV929" t="inlineStr"/>
      <c r="AW929" t="inlineStr"/>
      <c r="AX929" t="inlineStr"/>
      <c r="AY929" t="inlineStr"/>
      <c r="AZ929" t="inlineStr"/>
      <c r="BA929" t="inlineStr"/>
      <c r="BB929" t="inlineStr"/>
      <c r="BC929" t="inlineStr"/>
      <c r="BD929" t="inlineStr"/>
      <c r="BE929" t="inlineStr"/>
      <c r="BF929" t="inlineStr"/>
      <c r="BG929" t="n">
        <v>110</v>
      </c>
      <c r="BH929" t="inlineStr"/>
      <c r="BI929" t="inlineStr"/>
      <c r="BJ929" t="inlineStr"/>
      <c r="BK929" t="inlineStr">
        <is>
          <t>x</t>
        </is>
      </c>
      <c r="BL929" t="inlineStr">
        <is>
          <t>x</t>
        </is>
      </c>
      <c r="BM929" t="inlineStr">
        <is>
          <t>n</t>
        </is>
      </c>
      <c r="BN929" t="n">
        <v>0</v>
      </c>
      <c r="BO929" t="inlineStr"/>
      <c r="BP929" t="inlineStr"/>
      <c r="BQ929" t="inlineStr"/>
      <c r="BR929" t="inlineStr"/>
      <c r="BS929" t="inlineStr"/>
      <c r="BT929" t="inlineStr"/>
      <c r="BU929" t="inlineStr"/>
      <c r="BV929" t="inlineStr"/>
      <c r="BW929" t="inlineStr"/>
      <c r="BX929" t="inlineStr"/>
      <c r="BY929" t="inlineStr"/>
      <c r="BZ929" t="inlineStr"/>
      <c r="CA929" t="inlineStr"/>
      <c r="CB929" t="inlineStr"/>
      <c r="CC929" t="inlineStr"/>
      <c r="CD929" t="inlineStr"/>
      <c r="CE929" t="inlineStr"/>
      <c r="CF929" t="inlineStr"/>
      <c r="CG929" t="inlineStr"/>
      <c r="CH929" t="inlineStr"/>
      <c r="CI929" t="inlineStr"/>
      <c r="CJ929" t="inlineStr"/>
      <c r="CK929" t="inlineStr"/>
      <c r="CL929" t="inlineStr"/>
      <c r="CM929" t="inlineStr"/>
      <c r="CN929" t="inlineStr"/>
      <c r="CO929" t="inlineStr"/>
      <c r="CP929" t="inlineStr"/>
      <c r="CQ929" t="inlineStr"/>
      <c r="CR929" t="inlineStr"/>
      <c r="CS929" t="inlineStr"/>
      <c r="CT929" t="inlineStr"/>
      <c r="CU929" t="inlineStr"/>
      <c r="CV929" t="inlineStr"/>
      <c r="CW929" t="inlineStr"/>
      <c r="CX929" t="inlineStr"/>
      <c r="CY929" t="inlineStr"/>
      <c r="CZ929" t="inlineStr"/>
      <c r="DA929" t="inlineStr"/>
      <c r="DB929" t="inlineStr"/>
      <c r="DC929" t="inlineStr"/>
      <c r="DD929" t="inlineStr"/>
      <c r="DE929" t="inlineStr"/>
      <c r="DF929" t="inlineStr"/>
      <c r="DG929" t="inlineStr"/>
    </row>
    <row r="930">
      <c r="A930" t="inlineStr">
        <is>
          <t>III</t>
        </is>
      </c>
      <c r="B930" t="b">
        <v>1</v>
      </c>
      <c r="C930" t="inlineStr"/>
      <c r="D930" t="inlineStr"/>
      <c r="E930" t="inlineStr"/>
      <c r="F930">
        <f>HYPERLINK("https://portal.dnb.de/opac.htm?method=simpleSearch&amp;cqlMode=true&amp;query=idn%3D1263179819", "Portal")</f>
        <v/>
      </c>
      <c r="G930" t="inlineStr">
        <is>
          <t>Qd</t>
        </is>
      </c>
      <c r="H930" t="inlineStr">
        <is>
          <t>L-1522-785393129</t>
        </is>
      </c>
      <c r="I930" t="inlineStr">
        <is>
          <t>1263179819</t>
        </is>
      </c>
      <c r="J930" t="inlineStr">
        <is>
          <t>III 104, 5 b</t>
        </is>
      </c>
      <c r="K930" t="inlineStr">
        <is>
          <t>III 104, 5 b</t>
        </is>
      </c>
      <c r="L930" t="inlineStr">
        <is>
          <t>III 104, 5 b</t>
        </is>
      </c>
      <c r="M930" t="inlineStr"/>
      <c r="N930" t="inlineStr">
        <is>
          <t xml:space="preserve">Sammelband mit zwei Schriften von Martin Luther : </t>
        </is>
      </c>
      <c r="O930" t="inlineStr">
        <is>
          <t xml:space="preserve"> : </t>
        </is>
      </c>
      <c r="P930" t="inlineStr"/>
      <c r="Q930" t="inlineStr"/>
      <c r="R930" t="inlineStr"/>
      <c r="S930" t="inlineStr">
        <is>
          <t>bis 25 cm</t>
        </is>
      </c>
      <c r="T930" t="inlineStr"/>
      <c r="U930" t="inlineStr"/>
      <c r="V930" t="inlineStr"/>
      <c r="W930" t="inlineStr"/>
      <c r="X930" t="inlineStr"/>
      <c r="Y930" t="inlineStr"/>
      <c r="Z930" t="inlineStr"/>
      <c r="AA930" t="inlineStr"/>
      <c r="AB930" t="inlineStr"/>
      <c r="AC930" t="inlineStr"/>
      <c r="AD930" t="inlineStr"/>
      <c r="AE930" t="inlineStr"/>
      <c r="AF930" t="inlineStr"/>
      <c r="AG930" t="inlineStr"/>
      <c r="AH930" t="inlineStr"/>
      <c r="AI930" t="inlineStr">
        <is>
          <t>HD</t>
        </is>
      </c>
      <c r="AJ930" t="inlineStr"/>
      <c r="AK930" t="inlineStr"/>
      <c r="AL930" t="inlineStr"/>
      <c r="AM930" t="inlineStr">
        <is>
          <t>f</t>
        </is>
      </c>
      <c r="AN930" t="inlineStr"/>
      <c r="AO930" t="inlineStr"/>
      <c r="AP930" t="inlineStr"/>
      <c r="AQ930" t="inlineStr"/>
      <c r="AR930" t="inlineStr"/>
      <c r="AS930" t="inlineStr">
        <is>
          <t>Pa</t>
        </is>
      </c>
      <c r="AT930" t="inlineStr"/>
      <c r="AU930" t="inlineStr"/>
      <c r="AV930" t="inlineStr"/>
      <c r="AW930" t="inlineStr"/>
      <c r="AX930" t="inlineStr"/>
      <c r="AY930" t="inlineStr"/>
      <c r="AZ930" t="inlineStr"/>
      <c r="BA930" t="inlineStr"/>
      <c r="BB930" t="inlineStr"/>
      <c r="BC930" t="inlineStr"/>
      <c r="BD930" t="inlineStr"/>
      <c r="BE930" t="inlineStr"/>
      <c r="BF930" t="inlineStr"/>
      <c r="BG930" t="n">
        <v>110</v>
      </c>
      <c r="BH930" t="inlineStr"/>
      <c r="BI930" t="inlineStr"/>
      <c r="BJ930" t="inlineStr"/>
      <c r="BK930" t="inlineStr"/>
      <c r="BL930" t="inlineStr"/>
      <c r="BM930" t="inlineStr">
        <is>
          <t>n</t>
        </is>
      </c>
      <c r="BN930" t="n">
        <v>0</v>
      </c>
      <c r="BO930" t="inlineStr"/>
      <c r="BP930" t="inlineStr"/>
      <c r="BQ930" t="inlineStr"/>
      <c r="BR930" t="inlineStr">
        <is>
          <t>x</t>
        </is>
      </c>
      <c r="BS930" t="inlineStr"/>
      <c r="BT930" t="inlineStr"/>
      <c r="BU930" t="inlineStr"/>
      <c r="BV930" t="inlineStr"/>
      <c r="BW930" t="inlineStr"/>
      <c r="BX930" t="inlineStr"/>
      <c r="BY930" t="inlineStr"/>
      <c r="BZ930" t="inlineStr"/>
      <c r="CA930" t="inlineStr"/>
      <c r="CB930" t="inlineStr"/>
      <c r="CC930" t="inlineStr"/>
      <c r="CD930" t="inlineStr"/>
      <c r="CE930" t="inlineStr"/>
      <c r="CF930" t="inlineStr"/>
      <c r="CG930" t="inlineStr"/>
      <c r="CH930" t="inlineStr"/>
      <c r="CI930" t="inlineStr"/>
      <c r="CJ930" t="inlineStr"/>
      <c r="CK930" t="inlineStr"/>
      <c r="CL930" t="inlineStr"/>
      <c r="CM930" t="inlineStr"/>
      <c r="CN930" t="inlineStr"/>
      <c r="CO930" t="inlineStr"/>
      <c r="CP930" t="inlineStr"/>
      <c r="CQ930" t="inlineStr"/>
      <c r="CR930" t="inlineStr"/>
      <c r="CS930" t="inlineStr"/>
      <c r="CT930" t="inlineStr"/>
      <c r="CU930" t="inlineStr"/>
      <c r="CV930" t="inlineStr"/>
      <c r="CW930" t="inlineStr"/>
      <c r="CX930" t="inlineStr"/>
      <c r="CY930" t="inlineStr"/>
      <c r="CZ930" t="inlineStr"/>
      <c r="DA930" t="inlineStr"/>
      <c r="DB930" t="inlineStr"/>
      <c r="DC930" t="inlineStr"/>
      <c r="DD930" t="inlineStr"/>
      <c r="DE930" t="inlineStr"/>
      <c r="DF930" t="inlineStr"/>
      <c r="DG930" t="inlineStr"/>
    </row>
    <row r="931">
      <c r="A931" t="inlineStr">
        <is>
          <t>III</t>
        </is>
      </c>
      <c r="B931" t="b">
        <v>1</v>
      </c>
      <c r="C931" t="inlineStr"/>
      <c r="D931" t="inlineStr"/>
      <c r="E931" t="inlineStr"/>
      <c r="F931">
        <f>HYPERLINK("https://portal.dnb.de/opac.htm?method=simpleSearch&amp;cqlMode=true&amp;query=idn%3D1138309168", "Portal")</f>
        <v/>
      </c>
      <c r="G931" t="inlineStr">
        <is>
          <t>Qd</t>
        </is>
      </c>
      <c r="H931" t="inlineStr">
        <is>
          <t>L-9999-414819012</t>
        </is>
      </c>
      <c r="I931" t="inlineStr">
        <is>
          <t>1138309168</t>
        </is>
      </c>
      <c r="J931" t="inlineStr">
        <is>
          <t>III 104, 6</t>
        </is>
      </c>
      <c r="K931" t="inlineStr">
        <is>
          <t>III 104, 6</t>
        </is>
      </c>
      <c r="L931" t="inlineStr">
        <is>
          <t>III 104, 6</t>
        </is>
      </c>
      <c r="M931" t="inlineStr"/>
      <c r="N931" t="inlineStr">
        <is>
          <t xml:space="preserve">Sammelband mit drei Werken von Martin Luther : </t>
        </is>
      </c>
      <c r="O931" t="inlineStr">
        <is>
          <t xml:space="preserve"> : </t>
        </is>
      </c>
      <c r="P931" t="inlineStr"/>
      <c r="Q931" t="inlineStr"/>
      <c r="R931" t="inlineStr"/>
      <c r="S931" t="inlineStr"/>
      <c r="T931" t="inlineStr"/>
      <c r="U931" t="inlineStr"/>
      <c r="V931" t="inlineStr"/>
      <c r="W931" t="inlineStr"/>
      <c r="X931" t="inlineStr"/>
      <c r="Y931" t="inlineStr"/>
      <c r="Z931" t="inlineStr"/>
      <c r="AA931" t="inlineStr"/>
      <c r="AB931" t="inlineStr"/>
      <c r="AC931" t="inlineStr"/>
      <c r="AD931" t="inlineStr">
        <is>
          <t>DA</t>
        </is>
      </c>
      <c r="AE931" t="inlineStr"/>
      <c r="AF931" t="inlineStr"/>
      <c r="AG931" t="inlineStr"/>
      <c r="AH931" t="inlineStr"/>
      <c r="AI931" t="inlineStr"/>
      <c r="AJ931" t="inlineStr"/>
      <c r="AK931" t="inlineStr"/>
      <c r="AL931" t="inlineStr"/>
      <c r="AM931" t="inlineStr"/>
      <c r="AN931" t="inlineStr"/>
      <c r="AO931" t="inlineStr"/>
      <c r="AP931" t="inlineStr"/>
      <c r="AQ931" t="inlineStr"/>
      <c r="AR931" t="inlineStr"/>
      <c r="AS931" t="inlineStr"/>
      <c r="AT931" t="inlineStr"/>
      <c r="AU931" t="inlineStr"/>
      <c r="AV931" t="inlineStr"/>
      <c r="AW931" t="inlineStr"/>
      <c r="AX931" t="inlineStr"/>
      <c r="AY931" t="inlineStr"/>
      <c r="AZ931" t="inlineStr"/>
      <c r="BA931" t="inlineStr"/>
      <c r="BB931" t="inlineStr"/>
      <c r="BC931" t="inlineStr"/>
      <c r="BD931" t="inlineStr"/>
      <c r="BE931" t="inlineStr"/>
      <c r="BF931" t="inlineStr"/>
      <c r="BG931" t="inlineStr"/>
      <c r="BH931" t="inlineStr"/>
      <c r="BI931" t="inlineStr"/>
      <c r="BJ931" t="inlineStr"/>
      <c r="BK931" t="inlineStr"/>
      <c r="BL931" t="inlineStr"/>
      <c r="BM931" t="inlineStr"/>
      <c r="BN931" t="n">
        <v>0</v>
      </c>
      <c r="BO931" t="inlineStr"/>
      <c r="BP931" t="inlineStr"/>
      <c r="BQ931" t="inlineStr"/>
      <c r="BR931" t="inlineStr"/>
      <c r="BS931" t="inlineStr"/>
      <c r="BT931" t="inlineStr"/>
      <c r="BU931" t="inlineStr"/>
      <c r="BV931" t="inlineStr"/>
      <c r="BW931" t="inlineStr"/>
      <c r="BX931" t="inlineStr"/>
      <c r="BY931" t="inlineStr"/>
      <c r="BZ931" t="inlineStr"/>
      <c r="CA931" t="inlineStr"/>
      <c r="CB931" t="inlineStr"/>
      <c r="CC931" t="inlineStr"/>
      <c r="CD931" t="inlineStr"/>
      <c r="CE931" t="inlineStr"/>
      <c r="CF931" t="inlineStr"/>
      <c r="CG931" t="inlineStr"/>
      <c r="CH931" t="inlineStr"/>
      <c r="CI931" t="inlineStr"/>
      <c r="CJ931" t="inlineStr"/>
      <c r="CK931" t="inlineStr"/>
      <c r="CL931" t="inlineStr"/>
      <c r="CM931" t="inlineStr"/>
      <c r="CN931" t="inlineStr"/>
      <c r="CO931" t="inlineStr"/>
      <c r="CP931" t="inlineStr"/>
      <c r="CQ931" t="inlineStr"/>
      <c r="CR931" t="inlineStr"/>
      <c r="CS931" t="inlineStr"/>
      <c r="CT931" t="inlineStr"/>
      <c r="CU931" t="inlineStr"/>
      <c r="CV931" t="inlineStr"/>
      <c r="CW931" t="inlineStr"/>
      <c r="CX931" t="inlineStr"/>
      <c r="CY931" t="inlineStr"/>
      <c r="CZ931" t="inlineStr"/>
      <c r="DA931" t="inlineStr"/>
      <c r="DB931" t="inlineStr"/>
      <c r="DC931" t="inlineStr"/>
      <c r="DD931" t="inlineStr"/>
      <c r="DE931" t="inlineStr"/>
      <c r="DF931" t="inlineStr"/>
      <c r="DG931" t="inlineStr"/>
    </row>
    <row r="932">
      <c r="A932" t="inlineStr">
        <is>
          <t>III</t>
        </is>
      </c>
      <c r="B932" t="b">
        <v>1</v>
      </c>
      <c r="C932" t="inlineStr"/>
      <c r="D932" t="inlineStr"/>
      <c r="E932" t="n">
        <v>1033</v>
      </c>
      <c r="F932">
        <f>HYPERLINK("https://portal.dnb.de/opac.htm?method=simpleSearch&amp;cqlMode=true&amp;query=idn%3D1066958041", "Portal")</f>
        <v/>
      </c>
      <c r="G932" t="inlineStr">
        <is>
          <t>Aaf</t>
        </is>
      </c>
      <c r="H932" t="inlineStr">
        <is>
          <t>L-1523-315488670</t>
        </is>
      </c>
      <c r="I932" t="inlineStr">
        <is>
          <t>1066958041</t>
        </is>
      </c>
      <c r="J932" t="inlineStr">
        <is>
          <t>III 104, 7</t>
        </is>
      </c>
      <c r="K932" t="inlineStr">
        <is>
          <t>III 104, 7</t>
        </is>
      </c>
      <c r="L932" t="inlineStr">
        <is>
          <t>III 104, 7</t>
        </is>
      </c>
      <c r="M932" t="inlineStr"/>
      <c r="N932" t="inlineStr">
        <is>
          <t xml:space="preserve">¬Das¬ sieb?d Capitel|| S.Pauli zu den|| Chorinthern|| Ausgelegt|| durch|| Martinum Luther.|| : </t>
        </is>
      </c>
      <c r="O932" t="inlineStr">
        <is>
          <t xml:space="preserve"> : </t>
        </is>
      </c>
      <c r="P932" t="inlineStr"/>
      <c r="Q932" t="inlineStr"/>
      <c r="R932" t="inlineStr"/>
      <c r="S932" t="inlineStr">
        <is>
          <t>bis 25 cm</t>
        </is>
      </c>
      <c r="T932" t="inlineStr"/>
      <c r="U932" t="inlineStr"/>
      <c r="V932" t="inlineStr"/>
      <c r="W932" t="inlineStr"/>
      <c r="X932" t="inlineStr"/>
      <c r="Y932" t="inlineStr"/>
      <c r="Z932" t="inlineStr"/>
      <c r="AA932" t="inlineStr"/>
      <c r="AB932" t="inlineStr"/>
      <c r="AC932" t="inlineStr"/>
      <c r="AD932" t="inlineStr"/>
      <c r="AE932" t="inlineStr"/>
      <c r="AF932" t="inlineStr"/>
      <c r="AG932" t="inlineStr"/>
      <c r="AH932" t="inlineStr"/>
      <c r="AI932" t="inlineStr">
        <is>
          <t>HPg</t>
        </is>
      </c>
      <c r="AJ932" t="inlineStr"/>
      <c r="AK932" t="inlineStr"/>
      <c r="AL932" t="inlineStr"/>
      <c r="AM932" t="inlineStr">
        <is>
          <t>h/E</t>
        </is>
      </c>
      <c r="AN932" t="inlineStr"/>
      <c r="AO932" t="inlineStr"/>
      <c r="AP932" t="inlineStr"/>
      <c r="AQ932" t="inlineStr"/>
      <c r="AR932" t="inlineStr"/>
      <c r="AS932" t="inlineStr">
        <is>
          <t>Pa</t>
        </is>
      </c>
      <c r="AT932" t="inlineStr"/>
      <c r="AU932" t="inlineStr"/>
      <c r="AV932" t="inlineStr"/>
      <c r="AW932" t="inlineStr"/>
      <c r="AX932" t="inlineStr"/>
      <c r="AY932" t="inlineStr"/>
      <c r="AZ932" t="inlineStr"/>
      <c r="BA932" t="inlineStr"/>
      <c r="BB932" t="inlineStr"/>
      <c r="BC932" t="inlineStr"/>
      <c r="BD932" t="inlineStr"/>
      <c r="BE932" t="inlineStr"/>
      <c r="BF932" t="inlineStr"/>
      <c r="BG932" t="n">
        <v>110</v>
      </c>
      <c r="BH932" t="inlineStr"/>
      <c r="BI932" t="inlineStr"/>
      <c r="BJ932" t="inlineStr"/>
      <c r="BK932" t="inlineStr"/>
      <c r="BL932" t="inlineStr"/>
      <c r="BM932" t="inlineStr">
        <is>
          <t>n</t>
        </is>
      </c>
      <c r="BN932" t="n">
        <v>0</v>
      </c>
      <c r="BO932" t="inlineStr"/>
      <c r="BP932" t="inlineStr"/>
      <c r="BQ932" t="inlineStr"/>
      <c r="BR932" t="inlineStr"/>
      <c r="BS932" t="inlineStr"/>
      <c r="BT932" t="inlineStr"/>
      <c r="BU932" t="inlineStr"/>
      <c r="BV932" t="inlineStr"/>
      <c r="BW932" t="inlineStr"/>
      <c r="BX932" t="inlineStr"/>
      <c r="BY932" t="inlineStr"/>
      <c r="BZ932" t="inlineStr"/>
      <c r="CA932" t="inlineStr"/>
      <c r="CB932" t="inlineStr"/>
      <c r="CC932" t="inlineStr"/>
      <c r="CD932" t="inlineStr"/>
      <c r="CE932" t="inlineStr"/>
      <c r="CF932" t="inlineStr"/>
      <c r="CG932" t="inlineStr"/>
      <c r="CH932" t="inlineStr"/>
      <c r="CI932" t="inlineStr"/>
      <c r="CJ932" t="inlineStr"/>
      <c r="CK932" t="inlineStr"/>
      <c r="CL932" t="inlineStr"/>
      <c r="CM932" t="inlineStr"/>
      <c r="CN932" t="inlineStr"/>
      <c r="CO932" t="inlineStr"/>
      <c r="CP932" t="inlineStr"/>
      <c r="CQ932" t="inlineStr"/>
      <c r="CR932" t="inlineStr"/>
      <c r="CS932" t="inlineStr"/>
      <c r="CT932" t="inlineStr"/>
      <c r="CU932" t="inlineStr"/>
      <c r="CV932" t="inlineStr"/>
      <c r="CW932" t="inlineStr"/>
      <c r="CX932" t="inlineStr"/>
      <c r="CY932" t="inlineStr"/>
      <c r="CZ932" t="inlineStr"/>
      <c r="DA932" t="inlineStr"/>
      <c r="DB932" t="inlineStr"/>
      <c r="DC932" t="inlineStr"/>
      <c r="DD932" t="inlineStr"/>
      <c r="DE932" t="inlineStr"/>
      <c r="DF932" t="inlineStr"/>
      <c r="DG932" t="inlineStr"/>
    </row>
    <row r="933">
      <c r="A933" t="inlineStr">
        <is>
          <t>III</t>
        </is>
      </c>
      <c r="B933" t="b">
        <v>1</v>
      </c>
      <c r="C933" t="inlineStr"/>
      <c r="D933" t="inlineStr"/>
      <c r="E933" t="n">
        <v>1034</v>
      </c>
      <c r="F933">
        <f>HYPERLINK("https://portal.dnb.de/opac.htm?method=simpleSearch&amp;cqlMode=true&amp;query=idn%3D1066958505", "Portal")</f>
        <v/>
      </c>
      <c r="G933" t="inlineStr">
        <is>
          <t>Aaf</t>
        </is>
      </c>
      <c r="H933" t="inlineStr">
        <is>
          <t>L-1525-31548912X</t>
        </is>
      </c>
      <c r="I933" t="inlineStr">
        <is>
          <t>1066958505</t>
        </is>
      </c>
      <c r="J933" t="inlineStr">
        <is>
          <t>III 104, 8</t>
        </is>
      </c>
      <c r="K933" t="inlineStr">
        <is>
          <t>III 104, 8</t>
        </is>
      </c>
      <c r="L933" t="inlineStr">
        <is>
          <t>III 104, 8</t>
        </is>
      </c>
      <c r="M933" t="inlineStr"/>
      <c r="N933" t="inlineStr">
        <is>
          <t xml:space="preserve">Widder die hyme=||lischen propheten/|| von den bildern|| vnd Sacrament #[et]~c|| Martinus Luther.|| ...|| : </t>
        </is>
      </c>
      <c r="O933" t="inlineStr">
        <is>
          <t xml:space="preserve"> : </t>
        </is>
      </c>
      <c r="P933" t="inlineStr"/>
      <c r="Q933" t="inlineStr"/>
      <c r="R933" t="inlineStr"/>
      <c r="S933" t="inlineStr">
        <is>
          <t>bis 25 cm</t>
        </is>
      </c>
      <c r="T933" t="inlineStr"/>
      <c r="U933" t="inlineStr"/>
      <c r="V933" t="inlineStr"/>
      <c r="W933" t="inlineStr"/>
      <c r="X933" t="inlineStr"/>
      <c r="Y933" t="inlineStr"/>
      <c r="Z933" t="inlineStr"/>
      <c r="AA933" t="inlineStr"/>
      <c r="AB933" t="inlineStr"/>
      <c r="AC933" t="inlineStr"/>
      <c r="AD933" t="inlineStr"/>
      <c r="AE933" t="inlineStr"/>
      <c r="AF933" t="inlineStr"/>
      <c r="AG933" t="inlineStr"/>
      <c r="AH933" t="inlineStr"/>
      <c r="AI933" t="inlineStr">
        <is>
          <t>G</t>
        </is>
      </c>
      <c r="AJ933" t="inlineStr"/>
      <c r="AK933" t="inlineStr">
        <is>
          <t>x</t>
        </is>
      </c>
      <c r="AL933" t="inlineStr"/>
      <c r="AM933" t="inlineStr">
        <is>
          <t>h/E</t>
        </is>
      </c>
      <c r="AN933" t="inlineStr"/>
      <c r="AO933" t="inlineStr"/>
      <c r="AP933" t="inlineStr"/>
      <c r="AQ933" t="inlineStr"/>
      <c r="AR933" t="inlineStr"/>
      <c r="AS933" t="inlineStr">
        <is>
          <t>Pa</t>
        </is>
      </c>
      <c r="AT933" t="inlineStr">
        <is>
          <t>x</t>
        </is>
      </c>
      <c r="AU933" t="inlineStr"/>
      <c r="AV933" t="inlineStr"/>
      <c r="AW933" t="inlineStr"/>
      <c r="AX933" t="inlineStr"/>
      <c r="AY933" t="inlineStr"/>
      <c r="AZ933" t="inlineStr"/>
      <c r="BA933" t="inlineStr"/>
      <c r="BB933" t="inlineStr"/>
      <c r="BC933" t="inlineStr"/>
      <c r="BD933" t="inlineStr"/>
      <c r="BE933" t="inlineStr"/>
      <c r="BF933" t="inlineStr"/>
      <c r="BG933" t="n">
        <v>110</v>
      </c>
      <c r="BH933" t="inlineStr"/>
      <c r="BI933" t="inlineStr"/>
      <c r="BJ933" t="inlineStr"/>
      <c r="BK933" t="inlineStr"/>
      <c r="BL933" t="inlineStr"/>
      <c r="BM933" t="inlineStr">
        <is>
          <t>n</t>
        </is>
      </c>
      <c r="BN933" t="n">
        <v>0</v>
      </c>
      <c r="BO933" t="inlineStr"/>
      <c r="BP933" t="inlineStr"/>
      <c r="BQ933" t="inlineStr"/>
      <c r="BR933" t="inlineStr"/>
      <c r="BS933" t="inlineStr">
        <is>
          <t>x</t>
        </is>
      </c>
      <c r="BT933" t="inlineStr"/>
      <c r="BU933" t="inlineStr"/>
      <c r="BV933" t="inlineStr"/>
      <c r="BW933" t="inlineStr"/>
      <c r="BX933" t="inlineStr"/>
      <c r="BY933" t="inlineStr"/>
      <c r="BZ933" t="inlineStr"/>
      <c r="CA933" t="inlineStr"/>
      <c r="CB933" t="inlineStr"/>
      <c r="CC933" t="inlineStr"/>
      <c r="CD933" t="inlineStr"/>
      <c r="CE933" t="inlineStr"/>
      <c r="CF933" t="inlineStr"/>
      <c r="CG933" t="inlineStr"/>
      <c r="CH933" t="inlineStr"/>
      <c r="CI933" t="inlineStr"/>
      <c r="CJ933" t="inlineStr"/>
      <c r="CK933" t="inlineStr"/>
      <c r="CL933" t="inlineStr"/>
      <c r="CM933" t="inlineStr"/>
      <c r="CN933" t="inlineStr"/>
      <c r="CO933" t="inlineStr"/>
      <c r="CP933" t="inlineStr"/>
      <c r="CQ933" t="inlineStr"/>
      <c r="CR933" t="inlineStr"/>
      <c r="CS933" t="inlineStr"/>
      <c r="CT933" t="inlineStr"/>
      <c r="CU933" t="inlineStr"/>
      <c r="CV933" t="inlineStr"/>
      <c r="CW933" t="inlineStr"/>
      <c r="CX933" t="inlineStr"/>
      <c r="CY933" t="inlineStr"/>
      <c r="CZ933" t="inlineStr"/>
      <c r="DA933" t="inlineStr"/>
      <c r="DB933" t="inlineStr"/>
      <c r="DC933" t="inlineStr"/>
      <c r="DD933" t="inlineStr"/>
      <c r="DE933" t="inlineStr"/>
      <c r="DF933" t="inlineStr"/>
      <c r="DG933" t="inlineStr"/>
    </row>
    <row r="934">
      <c r="A934" t="inlineStr">
        <is>
          <t>III</t>
        </is>
      </c>
      <c r="B934" t="b">
        <v>1</v>
      </c>
      <c r="C934" t="inlineStr"/>
      <c r="D934" t="inlineStr"/>
      <c r="E934" t="inlineStr"/>
      <c r="F934">
        <f>HYPERLINK("https://portal.dnb.de/opac.htm?method=simpleSearch&amp;cqlMode=true&amp;query=idn%3D113772742X", "Portal")</f>
        <v/>
      </c>
      <c r="G934" t="inlineStr">
        <is>
          <t>Qd</t>
        </is>
      </c>
      <c r="H934" t="inlineStr">
        <is>
          <t>L-9999-413881849</t>
        </is>
      </c>
      <c r="I934" t="inlineStr">
        <is>
          <t>113772742X</t>
        </is>
      </c>
      <c r="J934" t="inlineStr">
        <is>
          <t>III 104, 9</t>
        </is>
      </c>
      <c r="K934" t="inlineStr">
        <is>
          <t>III 104, 9</t>
        </is>
      </c>
      <c r="L934" t="inlineStr">
        <is>
          <t>III 104, 9</t>
        </is>
      </c>
      <c r="M934" t="inlineStr"/>
      <c r="N934" t="inlineStr">
        <is>
          <t xml:space="preserve">Sammelband : </t>
        </is>
      </c>
      <c r="O934" t="inlineStr">
        <is>
          <t xml:space="preserve"> : </t>
        </is>
      </c>
      <c r="P934" t="inlineStr"/>
      <c r="Q934" t="inlineStr"/>
      <c r="R934" t="inlineStr"/>
      <c r="S934" t="inlineStr">
        <is>
          <t>bis 25 cm</t>
        </is>
      </c>
      <c r="T934" t="inlineStr"/>
      <c r="U934" t="inlineStr"/>
      <c r="V934" t="inlineStr"/>
      <c r="W934" t="inlineStr"/>
      <c r="X934" t="inlineStr"/>
      <c r="Y934" t="inlineStr"/>
      <c r="Z934" t="inlineStr"/>
      <c r="AA934" t="inlineStr"/>
      <c r="AB934" t="inlineStr"/>
      <c r="AC934" t="inlineStr"/>
      <c r="AD934" t="inlineStr"/>
      <c r="AE934" t="inlineStr"/>
      <c r="AF934" t="inlineStr"/>
      <c r="AG934" t="inlineStr"/>
      <c r="AH934" t="inlineStr"/>
      <c r="AI934" t="inlineStr">
        <is>
          <t>HL</t>
        </is>
      </c>
      <c r="AJ934" t="inlineStr"/>
      <c r="AK934" t="inlineStr">
        <is>
          <t>x</t>
        </is>
      </c>
      <c r="AL934" t="inlineStr"/>
      <c r="AM934" t="inlineStr">
        <is>
          <t>h/E</t>
        </is>
      </c>
      <c r="AN934" t="inlineStr"/>
      <c r="AO934" t="inlineStr"/>
      <c r="AP934" t="inlineStr"/>
      <c r="AQ934" t="inlineStr"/>
      <c r="AR934" t="inlineStr"/>
      <c r="AS934" t="inlineStr">
        <is>
          <t>Pa</t>
        </is>
      </c>
      <c r="AT934" t="inlineStr"/>
      <c r="AU934" t="inlineStr"/>
      <c r="AV934" t="inlineStr"/>
      <c r="AW934" t="inlineStr"/>
      <c r="AX934" t="inlineStr"/>
      <c r="AY934" t="inlineStr"/>
      <c r="AZ934" t="inlineStr"/>
      <c r="BA934" t="inlineStr"/>
      <c r="BB934" t="inlineStr"/>
      <c r="BC934" t="inlineStr"/>
      <c r="BD934" t="inlineStr"/>
      <c r="BE934" t="inlineStr"/>
      <c r="BF934" t="inlineStr"/>
      <c r="BG934" t="n">
        <v>110</v>
      </c>
      <c r="BH934" t="inlineStr"/>
      <c r="BI934" t="inlineStr"/>
      <c r="BJ934" t="inlineStr"/>
      <c r="BK934" t="inlineStr"/>
      <c r="BL934" t="inlineStr"/>
      <c r="BM934" t="inlineStr">
        <is>
          <t>n</t>
        </is>
      </c>
      <c r="BN934" t="n">
        <v>0</v>
      </c>
      <c r="BO934" t="inlineStr"/>
      <c r="BP934" t="inlineStr"/>
      <c r="BQ934" t="inlineStr"/>
      <c r="BR934" t="inlineStr"/>
      <c r="BS934" t="inlineStr"/>
      <c r="BT934" t="inlineStr"/>
      <c r="BU934" t="inlineStr"/>
      <c r="BV934" t="inlineStr"/>
      <c r="BW934" t="inlineStr"/>
      <c r="BX934" t="inlineStr"/>
      <c r="BY934" t="inlineStr"/>
      <c r="BZ934" t="inlineStr"/>
      <c r="CA934" t="inlineStr"/>
      <c r="CB934" t="inlineStr"/>
      <c r="CC934" t="inlineStr"/>
      <c r="CD934" t="inlineStr"/>
      <c r="CE934" t="inlineStr"/>
      <c r="CF934" t="inlineStr"/>
      <c r="CG934" t="inlineStr"/>
      <c r="CH934" t="inlineStr"/>
      <c r="CI934" t="inlineStr"/>
      <c r="CJ934" t="inlineStr"/>
      <c r="CK934" t="inlineStr"/>
      <c r="CL934" t="inlineStr"/>
      <c r="CM934" t="inlineStr"/>
      <c r="CN934" t="inlineStr"/>
      <c r="CO934" t="inlineStr"/>
      <c r="CP934" t="inlineStr"/>
      <c r="CQ934" t="inlineStr"/>
      <c r="CR934" t="inlineStr"/>
      <c r="CS934" t="inlineStr"/>
      <c r="CT934" t="inlineStr"/>
      <c r="CU934" t="inlineStr"/>
      <c r="CV934" t="inlineStr"/>
      <c r="CW934" t="inlineStr"/>
      <c r="CX934" t="inlineStr"/>
      <c r="CY934" t="inlineStr"/>
      <c r="CZ934" t="inlineStr"/>
      <c r="DA934" t="inlineStr"/>
      <c r="DB934" t="inlineStr"/>
      <c r="DC934" t="inlineStr"/>
      <c r="DD934" t="inlineStr"/>
      <c r="DE934" t="inlineStr"/>
      <c r="DF934" t="inlineStr"/>
      <c r="DG934" t="inlineStr"/>
    </row>
    <row r="935">
      <c r="A935" t="inlineStr">
        <is>
          <t>III</t>
        </is>
      </c>
      <c r="B935" t="b">
        <v>0</v>
      </c>
      <c r="C935" t="inlineStr"/>
      <c r="D935" t="inlineStr"/>
      <c r="E935" t="n">
        <v>1158</v>
      </c>
      <c r="F935">
        <f>HYPERLINK("https://portal.dnb.de/opac.htm?method=simpleSearch&amp;cqlMode=true&amp;query=idn%3D997517603", "Portal")</f>
        <v/>
      </c>
      <c r="G935" t="inlineStr"/>
      <c r="H935" t="inlineStr">
        <is>
          <t>L-2009-324235</t>
        </is>
      </c>
      <c r="I935" t="inlineStr">
        <is>
          <t>997517603</t>
        </is>
      </c>
      <c r="J935" t="inlineStr"/>
      <c r="K935" t="inlineStr"/>
      <c r="L935" t="inlineStr">
        <is>
          <t>III 104, 9 a</t>
        </is>
      </c>
      <c r="M935" t="inlineStr"/>
      <c r="N935" t="inlineStr"/>
      <c r="O935" t="inlineStr"/>
      <c r="P935" t="inlineStr"/>
      <c r="Q935" t="inlineStr"/>
      <c r="R935" t="inlineStr"/>
      <c r="S935" t="inlineStr"/>
      <c r="T935" t="inlineStr"/>
      <c r="U935" t="inlineStr"/>
      <c r="V935" t="inlineStr"/>
      <c r="W935" t="inlineStr"/>
      <c r="X935" t="inlineStr"/>
      <c r="Y935" t="inlineStr"/>
      <c r="Z935" t="inlineStr"/>
      <c r="AA935" t="inlineStr"/>
      <c r="AB935" t="inlineStr"/>
      <c r="AC935" t="inlineStr"/>
      <c r="AD935" t="inlineStr">
        <is>
          <t>DA</t>
        </is>
      </c>
      <c r="AE935" t="inlineStr"/>
      <c r="AF935" t="inlineStr"/>
      <c r="AG935" t="inlineStr"/>
      <c r="AH935" t="inlineStr"/>
      <c r="AI935" t="inlineStr"/>
      <c r="AJ935" t="inlineStr"/>
      <c r="AK935" t="inlineStr"/>
      <c r="AL935" t="inlineStr"/>
      <c r="AM935" t="inlineStr"/>
      <c r="AN935" t="inlineStr"/>
      <c r="AO935" t="inlineStr"/>
      <c r="AP935" t="inlineStr"/>
      <c r="AQ935" t="inlineStr"/>
      <c r="AR935" t="inlineStr"/>
      <c r="AS935" t="inlineStr"/>
      <c r="AT935" t="inlineStr"/>
      <c r="AU935" t="inlineStr"/>
      <c r="AV935" t="inlineStr"/>
      <c r="AW935" t="inlineStr"/>
      <c r="AX935" t="inlineStr"/>
      <c r="AY935" t="inlineStr"/>
      <c r="AZ935" t="inlineStr"/>
      <c r="BA935" t="inlineStr"/>
      <c r="BB935" t="inlineStr"/>
      <c r="BC935" t="inlineStr"/>
      <c r="BD935" t="inlineStr"/>
      <c r="BE935" t="inlineStr"/>
      <c r="BF935" t="inlineStr"/>
      <c r="BG935" t="inlineStr"/>
      <c r="BH935" t="inlineStr"/>
      <c r="BI935" t="inlineStr"/>
      <c r="BJ935" t="inlineStr"/>
      <c r="BK935" t="inlineStr"/>
      <c r="BL935" t="inlineStr"/>
      <c r="BM935" t="inlineStr"/>
      <c r="BN935" t="n">
        <v>0</v>
      </c>
      <c r="BO935" t="inlineStr"/>
      <c r="BP935" t="inlineStr"/>
      <c r="BQ935" t="inlineStr"/>
      <c r="BR935" t="inlineStr"/>
      <c r="BS935" t="inlineStr"/>
      <c r="BT935" t="inlineStr"/>
      <c r="BU935" t="inlineStr"/>
      <c r="BV935" t="inlineStr"/>
      <c r="BW935" t="inlineStr"/>
      <c r="BX935" t="inlineStr"/>
      <c r="BY935" t="inlineStr"/>
      <c r="BZ935" t="inlineStr"/>
      <c r="CA935" t="inlineStr"/>
      <c r="CB935" t="inlineStr"/>
      <c r="CC935" t="inlineStr"/>
      <c r="CD935" t="inlineStr"/>
      <c r="CE935" t="inlineStr"/>
      <c r="CF935" t="inlineStr"/>
      <c r="CG935" t="inlineStr"/>
      <c r="CH935" t="inlineStr"/>
      <c r="CI935" t="inlineStr"/>
      <c r="CJ935" t="inlineStr"/>
      <c r="CK935" t="inlineStr"/>
      <c r="CL935" t="inlineStr"/>
      <c r="CM935" t="inlineStr"/>
      <c r="CN935" t="inlineStr"/>
      <c r="CO935" t="inlineStr"/>
      <c r="CP935" t="inlineStr"/>
      <c r="CQ935" t="inlineStr"/>
      <c r="CR935" t="inlineStr"/>
      <c r="CS935" t="inlineStr"/>
      <c r="CT935" t="inlineStr"/>
      <c r="CU935" t="inlineStr"/>
      <c r="CV935" t="inlineStr"/>
      <c r="CW935" t="inlineStr"/>
      <c r="CX935" t="inlineStr"/>
      <c r="CY935" t="inlineStr"/>
      <c r="CZ935" t="inlineStr"/>
      <c r="DA935" t="inlineStr"/>
      <c r="DB935" t="inlineStr"/>
      <c r="DC935" t="inlineStr"/>
      <c r="DD935" t="inlineStr"/>
      <c r="DE935" t="inlineStr"/>
      <c r="DF935" t="inlineStr"/>
      <c r="DG935" t="inlineStr"/>
    </row>
    <row r="936">
      <c r="A936" t="inlineStr">
        <is>
          <t>III</t>
        </is>
      </c>
      <c r="B936" t="b">
        <v>1</v>
      </c>
      <c r="C936" t="inlineStr"/>
      <c r="D936" t="inlineStr"/>
      <c r="E936" t="n">
        <v>1036</v>
      </c>
      <c r="F936">
        <f>HYPERLINK("https://portal.dnb.de/opac.htm?method=simpleSearch&amp;cqlMode=true&amp;query=idn%3D106695738X", "Portal")</f>
        <v/>
      </c>
      <c r="G936" t="inlineStr">
        <is>
          <t>Aaf</t>
        </is>
      </c>
      <c r="H936" t="inlineStr">
        <is>
          <t>L-1521-315488026</t>
        </is>
      </c>
      <c r="I936" t="inlineStr">
        <is>
          <t>106695738X</t>
        </is>
      </c>
      <c r="J936" t="inlineStr">
        <is>
          <t>III 104, 10</t>
        </is>
      </c>
      <c r="K936" t="inlineStr">
        <is>
          <t>III 104, 10</t>
        </is>
      </c>
      <c r="L936" t="inlineStr">
        <is>
          <t>III 104, 10</t>
        </is>
      </c>
      <c r="M936" t="inlineStr"/>
      <c r="N936" t="inlineStr">
        <is>
          <t xml:space="preserve">Das @Magnificat Vorteutschet|| vnd auszgelegt durch D.|| Martinum luther Aug.|| : </t>
        </is>
      </c>
      <c r="O936" t="inlineStr">
        <is>
          <t xml:space="preserve"> : </t>
        </is>
      </c>
      <c r="P936" t="inlineStr"/>
      <c r="Q936" t="inlineStr"/>
      <c r="R936" t="inlineStr"/>
      <c r="S936" t="inlineStr">
        <is>
          <t>bis 25 cm</t>
        </is>
      </c>
      <c r="T936" t="inlineStr"/>
      <c r="U936" t="inlineStr"/>
      <c r="V936" t="inlineStr"/>
      <c r="W936" t="inlineStr"/>
      <c r="X936" t="inlineStr"/>
      <c r="Y936" t="inlineStr"/>
      <c r="Z936" t="inlineStr"/>
      <c r="AA936" t="inlineStr"/>
      <c r="AB936" t="inlineStr"/>
      <c r="AC936" t="inlineStr"/>
      <c r="AD936" t="inlineStr"/>
      <c r="AE936" t="inlineStr"/>
      <c r="AF936" t="inlineStr"/>
      <c r="AG936" t="inlineStr"/>
      <c r="AH936" t="inlineStr"/>
      <c r="AI936" t="inlineStr">
        <is>
          <t>Pa</t>
        </is>
      </c>
      <c r="AJ936" t="inlineStr"/>
      <c r="AK936" t="inlineStr"/>
      <c r="AL936" t="inlineStr"/>
      <c r="AM936" t="inlineStr">
        <is>
          <t>h/E</t>
        </is>
      </c>
      <c r="AN936" t="inlineStr"/>
      <c r="AO936" t="inlineStr"/>
      <c r="AP936" t="inlineStr"/>
      <c r="AQ936" t="inlineStr"/>
      <c r="AR936" t="inlineStr"/>
      <c r="AS936" t="inlineStr">
        <is>
          <t>Pa</t>
        </is>
      </c>
      <c r="AT936" t="inlineStr"/>
      <c r="AU936" t="inlineStr"/>
      <c r="AV936" t="inlineStr"/>
      <c r="AW936" t="inlineStr"/>
      <c r="AX936" t="inlineStr"/>
      <c r="AY936" t="inlineStr"/>
      <c r="AZ936" t="inlineStr"/>
      <c r="BA936" t="inlineStr"/>
      <c r="BB936" t="inlineStr"/>
      <c r="BC936" t="inlineStr"/>
      <c r="BD936" t="inlineStr"/>
      <c r="BE936" t="inlineStr"/>
      <c r="BF936" t="inlineStr"/>
      <c r="BG936" t="n">
        <v>110</v>
      </c>
      <c r="BH936" t="inlineStr"/>
      <c r="BI936" t="inlineStr"/>
      <c r="BJ936" t="inlineStr"/>
      <c r="BK936" t="inlineStr"/>
      <c r="BL936" t="inlineStr"/>
      <c r="BM936" t="inlineStr">
        <is>
          <t>n</t>
        </is>
      </c>
      <c r="BN936" t="n">
        <v>0</v>
      </c>
      <c r="BO936" t="inlineStr"/>
      <c r="BP936" t="inlineStr"/>
      <c r="BQ936" t="inlineStr"/>
      <c r="BR936" t="inlineStr"/>
      <c r="BS936" t="inlineStr"/>
      <c r="BT936" t="inlineStr"/>
      <c r="BU936" t="inlineStr"/>
      <c r="BV936" t="inlineStr"/>
      <c r="BW936" t="inlineStr"/>
      <c r="BX936" t="inlineStr"/>
      <c r="BY936" t="inlineStr"/>
      <c r="BZ936" t="inlineStr"/>
      <c r="CA936" t="inlineStr"/>
      <c r="CB936" t="inlineStr"/>
      <c r="CC936" t="inlineStr"/>
      <c r="CD936" t="inlineStr"/>
      <c r="CE936" t="inlineStr"/>
      <c r="CF936" t="inlineStr"/>
      <c r="CG936" t="inlineStr"/>
      <c r="CH936" t="inlineStr"/>
      <c r="CI936" t="inlineStr"/>
      <c r="CJ936" t="inlineStr"/>
      <c r="CK936" t="inlineStr"/>
      <c r="CL936" t="inlineStr"/>
      <c r="CM936" t="inlineStr"/>
      <c r="CN936" t="inlineStr"/>
      <c r="CO936" t="inlineStr"/>
      <c r="CP936" t="inlineStr"/>
      <c r="CQ936" t="inlineStr"/>
      <c r="CR936" t="inlineStr"/>
      <c r="CS936" t="inlineStr"/>
      <c r="CT936" t="inlineStr"/>
      <c r="CU936" t="inlineStr"/>
      <c r="CV936" t="inlineStr"/>
      <c r="CW936" t="inlineStr"/>
      <c r="CX936" t="inlineStr"/>
      <c r="CY936" t="inlineStr"/>
      <c r="CZ936" t="inlineStr"/>
      <c r="DA936" t="inlineStr"/>
      <c r="DB936" t="inlineStr"/>
      <c r="DC936" t="inlineStr"/>
      <c r="DD936" t="inlineStr"/>
      <c r="DE936" t="inlineStr"/>
      <c r="DF936" t="inlineStr"/>
      <c r="DG936" t="inlineStr"/>
    </row>
    <row r="937">
      <c r="A937" t="inlineStr">
        <is>
          <t>III</t>
        </is>
      </c>
      <c r="B937" t="b">
        <v>1</v>
      </c>
      <c r="C937" t="inlineStr"/>
      <c r="D937" t="inlineStr"/>
      <c r="E937" t="n">
        <v>1072</v>
      </c>
      <c r="F937">
        <f>HYPERLINK("https://portal.dnb.de/opac.htm?method=simpleSearch&amp;cqlMode=true&amp;query=idn%3D997769807", "Portal")</f>
        <v/>
      </c>
      <c r="G937" t="inlineStr">
        <is>
          <t>Aal</t>
        </is>
      </c>
      <c r="H937" t="inlineStr">
        <is>
          <t>L-1520-164981233</t>
        </is>
      </c>
      <c r="I937" t="inlineStr">
        <is>
          <t>997769807</t>
        </is>
      </c>
      <c r="J937" t="inlineStr">
        <is>
          <t>III 104, 10 a</t>
        </is>
      </c>
      <c r="K937" t="inlineStr">
        <is>
          <t>III 104, 10 a</t>
        </is>
      </c>
      <c r="L937" t="inlineStr">
        <is>
          <t>III 104, 10 a</t>
        </is>
      </c>
      <c r="M937" t="inlineStr"/>
      <c r="N937" t="inlineStr">
        <is>
          <t>Welche bucher Biblisch seint|| : Disses buchlin lernet vnder||scheyd zwueschen Biblischen buchern vnd|| vnbiblischen, darynnen viel geyrret haben,|| v</t>
        </is>
      </c>
      <c r="O937" t="inlineStr">
        <is>
          <t xml:space="preserve"> : </t>
        </is>
      </c>
      <c r="P937" t="inlineStr"/>
      <c r="Q937" t="inlineStr"/>
      <c r="R937" t="inlineStr"/>
      <c r="S937" t="inlineStr">
        <is>
          <t>bis 25 cm</t>
        </is>
      </c>
      <c r="T937" t="inlineStr"/>
      <c r="U937" t="inlineStr"/>
      <c r="V937" t="inlineStr"/>
      <c r="W937" t="inlineStr"/>
      <c r="X937" t="inlineStr"/>
      <c r="Y937" t="inlineStr"/>
      <c r="Z937" t="inlineStr"/>
      <c r="AA937" t="inlineStr"/>
      <c r="AB937" t="inlineStr"/>
      <c r="AC937" t="inlineStr"/>
      <c r="AD937" t="inlineStr"/>
      <c r="AE937" t="inlineStr"/>
      <c r="AF937" t="inlineStr"/>
      <c r="AG937" t="inlineStr"/>
      <c r="AH937" t="inlineStr"/>
      <c r="AI937" t="inlineStr">
        <is>
          <t>HPg</t>
        </is>
      </c>
      <c r="AJ937" t="inlineStr"/>
      <c r="AK937" t="inlineStr"/>
      <c r="AL937" t="inlineStr"/>
      <c r="AM937" t="inlineStr">
        <is>
          <t>h/E</t>
        </is>
      </c>
      <c r="AN937" t="inlineStr"/>
      <c r="AO937" t="inlineStr"/>
      <c r="AP937" t="inlineStr"/>
      <c r="AQ937" t="inlineStr"/>
      <c r="AR937" t="inlineStr"/>
      <c r="AS937" t="inlineStr">
        <is>
          <t>Pa</t>
        </is>
      </c>
      <c r="AT937" t="inlineStr"/>
      <c r="AU937" t="inlineStr"/>
      <c r="AV937" t="inlineStr"/>
      <c r="AW937" t="inlineStr"/>
      <c r="AX937" t="inlineStr"/>
      <c r="AY937" t="inlineStr"/>
      <c r="AZ937" t="inlineStr"/>
      <c r="BA937" t="inlineStr"/>
      <c r="BB937" t="inlineStr"/>
      <c r="BC937" t="inlineStr"/>
      <c r="BD937" t="inlineStr"/>
      <c r="BE937" t="inlineStr"/>
      <c r="BF937" t="inlineStr"/>
      <c r="BG937" t="n">
        <v>110</v>
      </c>
      <c r="BH937" t="inlineStr"/>
      <c r="BI937" t="inlineStr"/>
      <c r="BJ937" t="inlineStr"/>
      <c r="BK937" t="inlineStr">
        <is>
          <t>x</t>
        </is>
      </c>
      <c r="BL937" t="inlineStr">
        <is>
          <t>x</t>
        </is>
      </c>
      <c r="BM937" t="inlineStr">
        <is>
          <t>n</t>
        </is>
      </c>
      <c r="BN937" t="n">
        <v>0</v>
      </c>
      <c r="BO937" t="inlineStr"/>
      <c r="BP937" t="inlineStr"/>
      <c r="BQ937" t="inlineStr"/>
      <c r="BR937" t="inlineStr"/>
      <c r="BS937" t="inlineStr"/>
      <c r="BT937" t="inlineStr"/>
      <c r="BU937" t="inlineStr"/>
      <c r="BV937" t="inlineStr"/>
      <c r="BW937" t="inlineStr"/>
      <c r="BX937" t="inlineStr"/>
      <c r="BY937" t="inlineStr"/>
      <c r="BZ937" t="inlineStr"/>
      <c r="CA937" t="inlineStr"/>
      <c r="CB937" t="inlineStr"/>
      <c r="CC937" t="inlineStr"/>
      <c r="CD937" t="inlineStr"/>
      <c r="CE937" t="inlineStr"/>
      <c r="CF937" t="inlineStr"/>
      <c r="CG937" t="inlineStr"/>
      <c r="CH937" t="inlineStr"/>
      <c r="CI937" t="inlineStr"/>
      <c r="CJ937" t="inlineStr"/>
      <c r="CK937" t="inlineStr"/>
      <c r="CL937" t="inlineStr"/>
      <c r="CM937" t="inlineStr"/>
      <c r="CN937" t="inlineStr"/>
      <c r="CO937" t="inlineStr"/>
      <c r="CP937" t="inlineStr"/>
      <c r="CQ937" t="inlineStr"/>
      <c r="CR937" t="inlineStr"/>
      <c r="CS937" t="inlineStr"/>
      <c r="CT937" t="inlineStr"/>
      <c r="CU937" t="inlineStr"/>
      <c r="CV937" t="inlineStr"/>
      <c r="CW937" t="inlineStr"/>
      <c r="CX937" t="inlineStr"/>
      <c r="CY937" t="inlineStr"/>
      <c r="CZ937" t="inlineStr"/>
      <c r="DA937" t="inlineStr"/>
      <c r="DB937" t="inlineStr"/>
      <c r="DC937" t="inlineStr"/>
      <c r="DD937" t="inlineStr"/>
      <c r="DE937" t="inlineStr"/>
      <c r="DF937" t="inlineStr"/>
      <c r="DG937" t="inlineStr"/>
    </row>
    <row r="938">
      <c r="A938" t="inlineStr">
        <is>
          <t>III</t>
        </is>
      </c>
      <c r="B938" t="b">
        <v>1</v>
      </c>
      <c r="C938" t="inlineStr"/>
      <c r="D938" t="inlineStr"/>
      <c r="E938" t="n">
        <v>1073</v>
      </c>
      <c r="F938">
        <f>HYPERLINK("https://portal.dnb.de/opac.htm?method=simpleSearch&amp;cqlMode=true&amp;query=idn%3D1000470466", "Portal")</f>
        <v/>
      </c>
      <c r="G938" t="inlineStr">
        <is>
          <t>Aal</t>
        </is>
      </c>
      <c r="H938" t="inlineStr">
        <is>
          <t>L-1523-170687309</t>
        </is>
      </c>
      <c r="I938" t="inlineStr">
        <is>
          <t>1000470466</t>
        </is>
      </c>
      <c r="J938" t="inlineStr">
        <is>
          <t>III 104, 10 b</t>
        </is>
      </c>
      <c r="K938" t="inlineStr">
        <is>
          <t>III 104, 10 b</t>
        </is>
      </c>
      <c r="L938" t="inlineStr">
        <is>
          <t>III 104, 10 b</t>
        </is>
      </c>
      <c r="M938" t="inlineStr"/>
      <c r="N938" t="inlineStr">
        <is>
          <t>Ain @Christliche frag Si=||monis Reutters von Schlaytz, an alle|| Bischöffe, vnnd andere gaystliche auch|| zum tayl weltlich regenten :  Warumb|| sy d</t>
        </is>
      </c>
      <c r="O938" t="inlineStr">
        <is>
          <t xml:space="preserve"> : </t>
        </is>
      </c>
      <c r="P938" t="inlineStr"/>
      <c r="Q938" t="inlineStr"/>
      <c r="R938" t="inlineStr"/>
      <c r="S938" t="inlineStr">
        <is>
          <t>bis 25 cm</t>
        </is>
      </c>
      <c r="T938" t="inlineStr"/>
      <c r="U938" t="inlineStr"/>
      <c r="V938" t="inlineStr"/>
      <c r="W938" t="inlineStr"/>
      <c r="X938" t="inlineStr"/>
      <c r="Y938" t="inlineStr"/>
      <c r="Z938" t="inlineStr"/>
      <c r="AA938" t="inlineStr"/>
      <c r="AB938" t="inlineStr"/>
      <c r="AC938" t="inlineStr"/>
      <c r="AD938" t="inlineStr"/>
      <c r="AE938" t="inlineStr"/>
      <c r="AF938" t="inlineStr"/>
      <c r="AG938" t="inlineStr"/>
      <c r="AH938" t="inlineStr"/>
      <c r="AI938" t="inlineStr">
        <is>
          <t>Pa</t>
        </is>
      </c>
      <c r="AJ938" t="inlineStr"/>
      <c r="AK938" t="inlineStr"/>
      <c r="AL938" t="inlineStr"/>
      <c r="AM938" t="inlineStr">
        <is>
          <t>h/E</t>
        </is>
      </c>
      <c r="AN938" t="inlineStr"/>
      <c r="AO938" t="inlineStr"/>
      <c r="AP938" t="inlineStr"/>
      <c r="AQ938" t="inlineStr"/>
      <c r="AR938" t="inlineStr"/>
      <c r="AS938" t="inlineStr">
        <is>
          <t>Pa</t>
        </is>
      </c>
      <c r="AT938" t="inlineStr"/>
      <c r="AU938" t="inlineStr"/>
      <c r="AV938" t="inlineStr"/>
      <c r="AW938" t="inlineStr"/>
      <c r="AX938" t="inlineStr"/>
      <c r="AY938" t="inlineStr"/>
      <c r="AZ938" t="inlineStr"/>
      <c r="BA938" t="inlineStr"/>
      <c r="BB938" t="inlineStr"/>
      <c r="BC938" t="inlineStr"/>
      <c r="BD938" t="inlineStr"/>
      <c r="BE938" t="inlineStr"/>
      <c r="BF938" t="inlineStr"/>
      <c r="BG938" t="n">
        <v>110</v>
      </c>
      <c r="BH938" t="inlineStr"/>
      <c r="BI938" t="inlineStr"/>
      <c r="BJ938" t="inlineStr"/>
      <c r="BK938" t="inlineStr">
        <is>
          <t>x</t>
        </is>
      </c>
      <c r="BL938" t="inlineStr">
        <is>
          <t>x</t>
        </is>
      </c>
      <c r="BM938" t="inlineStr">
        <is>
          <t>n</t>
        </is>
      </c>
      <c r="BN938" t="n">
        <v>0</v>
      </c>
      <c r="BO938" t="inlineStr"/>
      <c r="BP938" t="inlineStr"/>
      <c r="BQ938" t="inlineStr"/>
      <c r="BR938" t="inlineStr"/>
      <c r="BS938" t="inlineStr"/>
      <c r="BT938" t="inlineStr"/>
      <c r="BU938" t="inlineStr"/>
      <c r="BV938" t="inlineStr"/>
      <c r="BW938" t="inlineStr"/>
      <c r="BX938" t="inlineStr"/>
      <c r="BY938" t="inlineStr"/>
      <c r="BZ938" t="inlineStr"/>
      <c r="CA938" t="inlineStr"/>
      <c r="CB938" t="inlineStr"/>
      <c r="CC938" t="inlineStr"/>
      <c r="CD938" t="inlineStr"/>
      <c r="CE938" t="inlineStr"/>
      <c r="CF938" t="inlineStr"/>
      <c r="CG938" t="inlineStr"/>
      <c r="CH938" t="inlineStr"/>
      <c r="CI938" t="inlineStr"/>
      <c r="CJ938" t="inlineStr"/>
      <c r="CK938" t="inlineStr"/>
      <c r="CL938" t="inlineStr"/>
      <c r="CM938" t="inlineStr"/>
      <c r="CN938" t="inlineStr"/>
      <c r="CO938" t="inlineStr"/>
      <c r="CP938" t="inlineStr"/>
      <c r="CQ938" t="inlineStr"/>
      <c r="CR938" t="inlineStr"/>
      <c r="CS938" t="inlineStr"/>
      <c r="CT938" t="inlineStr"/>
      <c r="CU938" t="inlineStr"/>
      <c r="CV938" t="inlineStr"/>
      <c r="CW938" t="inlineStr"/>
      <c r="CX938" t="inlineStr"/>
      <c r="CY938" t="inlineStr"/>
      <c r="CZ938" t="inlineStr"/>
      <c r="DA938" t="inlineStr"/>
      <c r="DB938" t="inlineStr"/>
      <c r="DC938" t="inlineStr"/>
      <c r="DD938" t="inlineStr"/>
      <c r="DE938" t="inlineStr"/>
      <c r="DF938" t="inlineStr"/>
      <c r="DG938" t="inlineStr"/>
    </row>
    <row r="939">
      <c r="A939" t="inlineStr">
        <is>
          <t>III</t>
        </is>
      </c>
      <c r="B939" t="b">
        <v>1</v>
      </c>
      <c r="C939" t="inlineStr"/>
      <c r="D939" t="inlineStr"/>
      <c r="E939" t="n">
        <v>1074</v>
      </c>
      <c r="F939">
        <f>HYPERLINK("https://portal.dnb.de/opac.htm?method=simpleSearch&amp;cqlMode=true&amp;query=idn%3D998862851", "Portal")</f>
        <v/>
      </c>
      <c r="G939" t="inlineStr">
        <is>
          <t>Aal</t>
        </is>
      </c>
      <c r="H939" t="inlineStr">
        <is>
          <t>L-1528-167085565</t>
        </is>
      </c>
      <c r="I939" t="inlineStr">
        <is>
          <t>998862851</t>
        </is>
      </c>
      <c r="J939" t="inlineStr">
        <is>
          <t>III 104, 10 c</t>
        </is>
      </c>
      <c r="K939" t="inlineStr">
        <is>
          <t>III 104, 10 c</t>
        </is>
      </c>
      <c r="L939" t="inlineStr">
        <is>
          <t>III 104, 10 c</t>
        </is>
      </c>
      <c r="M939" t="inlineStr"/>
      <c r="N939" t="inlineStr">
        <is>
          <t xml:space="preserve">Vom abendmal|| Christi, Bekendnis|| : </t>
        </is>
      </c>
      <c r="O939" t="inlineStr">
        <is>
          <t xml:space="preserve"> : </t>
        </is>
      </c>
      <c r="P939" t="inlineStr"/>
      <c r="Q939" t="inlineStr"/>
      <c r="R939" t="inlineStr"/>
      <c r="S939" t="inlineStr">
        <is>
          <t>bis 25 cm</t>
        </is>
      </c>
      <c r="T939" t="inlineStr"/>
      <c r="U939" t="inlineStr"/>
      <c r="V939" t="inlineStr"/>
      <c r="W939" t="inlineStr"/>
      <c r="X939" t="inlineStr"/>
      <c r="Y939" t="inlineStr"/>
      <c r="Z939" t="inlineStr"/>
      <c r="AA939" t="inlineStr"/>
      <c r="AB939" t="inlineStr"/>
      <c r="AC939" t="inlineStr"/>
      <c r="AD939" t="inlineStr"/>
      <c r="AE939" t="inlineStr"/>
      <c r="AF939" t="inlineStr"/>
      <c r="AG939" t="inlineStr"/>
      <c r="AH939" t="inlineStr"/>
      <c r="AI939" t="inlineStr">
        <is>
          <t>HPg</t>
        </is>
      </c>
      <c r="AJ939" t="inlineStr"/>
      <c r="AK939" t="inlineStr"/>
      <c r="AL939" t="inlineStr"/>
      <c r="AM939" t="inlineStr">
        <is>
          <t>h/E</t>
        </is>
      </c>
      <c r="AN939" t="inlineStr"/>
      <c r="AO939" t="inlineStr"/>
      <c r="AP939" t="inlineStr"/>
      <c r="AQ939" t="inlineStr"/>
      <c r="AR939" t="inlineStr"/>
      <c r="AS939" t="inlineStr">
        <is>
          <t>Pa</t>
        </is>
      </c>
      <c r="AT939" t="inlineStr"/>
      <c r="AU939" t="inlineStr"/>
      <c r="AV939" t="inlineStr"/>
      <c r="AW939" t="inlineStr"/>
      <c r="AX939" t="inlineStr"/>
      <c r="AY939" t="inlineStr"/>
      <c r="AZ939" t="inlineStr"/>
      <c r="BA939" t="inlineStr"/>
      <c r="BB939" t="inlineStr"/>
      <c r="BC939" t="inlineStr"/>
      <c r="BD939" t="inlineStr"/>
      <c r="BE939" t="inlineStr"/>
      <c r="BF939" t="inlineStr"/>
      <c r="BG939" t="n">
        <v>110</v>
      </c>
      <c r="BH939" t="inlineStr"/>
      <c r="BI939" t="inlineStr"/>
      <c r="BJ939" t="inlineStr"/>
      <c r="BK939" t="inlineStr">
        <is>
          <t>x</t>
        </is>
      </c>
      <c r="BL939" t="inlineStr">
        <is>
          <t>x</t>
        </is>
      </c>
      <c r="BM939" t="inlineStr"/>
      <c r="BN939" t="n">
        <v>0</v>
      </c>
      <c r="BO939" t="inlineStr"/>
      <c r="BP939" t="inlineStr"/>
      <c r="BQ939" t="inlineStr"/>
      <c r="BR939" t="inlineStr"/>
      <c r="BS939" t="inlineStr"/>
      <c r="BT939" t="inlineStr"/>
      <c r="BU939" t="inlineStr"/>
      <c r="BV939" t="inlineStr"/>
      <c r="BW939" t="inlineStr"/>
      <c r="BX939" t="inlineStr"/>
      <c r="BY939" t="inlineStr"/>
      <c r="BZ939" t="inlineStr"/>
      <c r="CA939" t="inlineStr"/>
      <c r="CB939" t="inlineStr"/>
      <c r="CC939" t="inlineStr"/>
      <c r="CD939" t="inlineStr"/>
      <c r="CE939" t="inlineStr"/>
      <c r="CF939" t="inlineStr"/>
      <c r="CG939" t="inlineStr"/>
      <c r="CH939" t="inlineStr"/>
      <c r="CI939" t="inlineStr"/>
      <c r="CJ939" t="inlineStr"/>
      <c r="CK939" t="inlineStr"/>
      <c r="CL939" t="inlineStr"/>
      <c r="CM939" t="inlineStr"/>
      <c r="CN939" t="inlineStr"/>
      <c r="CO939" t="inlineStr"/>
      <c r="CP939" t="inlineStr"/>
      <c r="CQ939" t="inlineStr"/>
      <c r="CR939" t="inlineStr"/>
      <c r="CS939" t="inlineStr"/>
      <c r="CT939" t="inlineStr"/>
      <c r="CU939" t="inlineStr"/>
      <c r="CV939" t="inlineStr"/>
      <c r="CW939" t="inlineStr"/>
      <c r="CX939" t="inlineStr"/>
      <c r="CY939" t="inlineStr"/>
      <c r="CZ939" t="inlineStr"/>
      <c r="DA939" t="inlineStr"/>
      <c r="DB939" t="inlineStr"/>
      <c r="DC939" t="inlineStr"/>
      <c r="DD939" t="inlineStr"/>
      <c r="DE939" t="inlineStr"/>
      <c r="DF939" t="inlineStr"/>
      <c r="DG939" t="inlineStr"/>
    </row>
    <row r="940">
      <c r="A940" t="inlineStr">
        <is>
          <t>III</t>
        </is>
      </c>
      <c r="B940" t="b">
        <v>1</v>
      </c>
      <c r="C940" t="inlineStr"/>
      <c r="D940" t="inlineStr"/>
      <c r="E940" t="n">
        <v>1037</v>
      </c>
      <c r="F940">
        <f>HYPERLINK("https://portal.dnb.de/opac.htm?method=simpleSearch&amp;cqlMode=true&amp;query=idn%3D1066957584", "Portal")</f>
        <v/>
      </c>
      <c r="G940" t="inlineStr">
        <is>
          <t>Aaf</t>
        </is>
      </c>
      <c r="H940" t="inlineStr">
        <is>
          <t>L-1522-315488212</t>
        </is>
      </c>
      <c r="I940" t="inlineStr">
        <is>
          <t>1066957584</t>
        </is>
      </c>
      <c r="J940" t="inlineStr">
        <is>
          <t>III 104, 11</t>
        </is>
      </c>
      <c r="K940" t="inlineStr">
        <is>
          <t>III 104, 11</t>
        </is>
      </c>
      <c r="L940" t="inlineStr">
        <is>
          <t>III 104, 11</t>
        </is>
      </c>
      <c r="M940" t="inlineStr"/>
      <c r="N940" t="inlineStr">
        <is>
          <t xml:space="preserve">Antwortt|| deutsch : </t>
        </is>
      </c>
      <c r="O940" t="inlineStr">
        <is>
          <t xml:space="preserve"> : </t>
        </is>
      </c>
      <c r="P940" t="inlineStr"/>
      <c r="Q940" t="inlineStr"/>
      <c r="R940" t="inlineStr"/>
      <c r="S940" t="inlineStr">
        <is>
          <t>bis 25 cm</t>
        </is>
      </c>
      <c r="T940" t="inlineStr"/>
      <c r="U940" t="inlineStr"/>
      <c r="V940" t="inlineStr"/>
      <c r="W940" t="inlineStr"/>
      <c r="X940" t="inlineStr"/>
      <c r="Y940" t="inlineStr"/>
      <c r="Z940" t="inlineStr"/>
      <c r="AA940" t="inlineStr"/>
      <c r="AB940" t="inlineStr"/>
      <c r="AC940" t="inlineStr"/>
      <c r="AD940" t="inlineStr"/>
      <c r="AE940" t="inlineStr"/>
      <c r="AF940" t="inlineStr"/>
      <c r="AG940" t="inlineStr"/>
      <c r="AH940" t="inlineStr"/>
      <c r="AI940" t="inlineStr">
        <is>
          <t>Pa</t>
        </is>
      </c>
      <c r="AJ940" t="inlineStr"/>
      <c r="AK940" t="inlineStr"/>
      <c r="AL940" t="inlineStr"/>
      <c r="AM940" t="inlineStr">
        <is>
          <t>h/E</t>
        </is>
      </c>
      <c r="AN940" t="inlineStr"/>
      <c r="AO940" t="inlineStr"/>
      <c r="AP940" t="inlineStr"/>
      <c r="AQ940" t="inlineStr"/>
      <c r="AR940" t="inlineStr"/>
      <c r="AS940" t="inlineStr">
        <is>
          <t>Pa</t>
        </is>
      </c>
      <c r="AT940" t="inlineStr"/>
      <c r="AU940" t="inlineStr"/>
      <c r="AV940" t="inlineStr"/>
      <c r="AW940" t="inlineStr"/>
      <c r="AX940" t="inlineStr"/>
      <c r="AY940" t="inlineStr"/>
      <c r="AZ940" t="inlineStr"/>
      <c r="BA940" t="inlineStr"/>
      <c r="BB940" t="inlineStr"/>
      <c r="BC940" t="inlineStr"/>
      <c r="BD940" t="inlineStr"/>
      <c r="BE940" t="inlineStr"/>
      <c r="BF940" t="inlineStr"/>
      <c r="BG940" t="n">
        <v>110</v>
      </c>
      <c r="BH940" t="inlineStr"/>
      <c r="BI940" t="inlineStr"/>
      <c r="BJ940" t="inlineStr"/>
      <c r="BK940" t="inlineStr"/>
      <c r="BL940" t="inlineStr"/>
      <c r="BM940" t="inlineStr">
        <is>
          <t>n</t>
        </is>
      </c>
      <c r="BN940" t="n">
        <v>0</v>
      </c>
      <c r="BO940" t="inlineStr"/>
      <c r="BP940" t="inlineStr"/>
      <c r="BQ940" t="inlineStr"/>
      <c r="BR940" t="inlineStr"/>
      <c r="BS940" t="inlineStr"/>
      <c r="BT940" t="inlineStr"/>
      <c r="BU940" t="inlineStr"/>
      <c r="BV940" t="inlineStr"/>
      <c r="BW940" t="inlineStr"/>
      <c r="BX940" t="inlineStr"/>
      <c r="BY940" t="inlineStr"/>
      <c r="BZ940" t="inlineStr"/>
      <c r="CA940" t="inlineStr"/>
      <c r="CB940" t="inlineStr"/>
      <c r="CC940" t="inlineStr"/>
      <c r="CD940" t="inlineStr"/>
      <c r="CE940" t="inlineStr"/>
      <c r="CF940" t="inlineStr"/>
      <c r="CG940" t="inlineStr"/>
      <c r="CH940" t="inlineStr"/>
      <c r="CI940" t="inlineStr"/>
      <c r="CJ940" t="inlineStr"/>
      <c r="CK940" t="inlineStr"/>
      <c r="CL940" t="inlineStr"/>
      <c r="CM940" t="inlineStr"/>
      <c r="CN940" t="inlineStr"/>
      <c r="CO940" t="inlineStr"/>
      <c r="CP940" t="inlineStr"/>
      <c r="CQ940" t="inlineStr"/>
      <c r="CR940" t="inlineStr"/>
      <c r="CS940" t="inlineStr"/>
      <c r="CT940" t="inlineStr"/>
      <c r="CU940" t="inlineStr"/>
      <c r="CV940" t="inlineStr"/>
      <c r="CW940" t="inlineStr"/>
      <c r="CX940" t="inlineStr"/>
      <c r="CY940" t="inlineStr"/>
      <c r="CZ940" t="inlineStr"/>
      <c r="DA940" t="inlineStr"/>
      <c r="DB940" t="inlineStr"/>
      <c r="DC940" t="inlineStr"/>
      <c r="DD940" t="inlineStr"/>
      <c r="DE940" t="inlineStr"/>
      <c r="DF940" t="inlineStr"/>
      <c r="DG940" t="inlineStr"/>
    </row>
    <row r="941">
      <c r="A941" t="inlineStr">
        <is>
          <t>III</t>
        </is>
      </c>
      <c r="B941" t="b">
        <v>0</v>
      </c>
      <c r="C941" t="inlineStr"/>
      <c r="D941" t="inlineStr"/>
      <c r="E941" t="n">
        <v>1038</v>
      </c>
      <c r="F941">
        <f>HYPERLINK("https://portal.dnb.de/opac.htm?method=simpleSearch&amp;cqlMode=true&amp;query=idn%3D1066961557", "Portal")</f>
        <v/>
      </c>
      <c r="G941" t="inlineStr"/>
      <c r="H941" t="inlineStr">
        <is>
          <t>L-1542-315491949</t>
        </is>
      </c>
      <c r="I941" t="inlineStr">
        <is>
          <t>1066961557</t>
        </is>
      </c>
      <c r="J941" t="inlineStr"/>
      <c r="K941" t="inlineStr"/>
      <c r="L941" t="inlineStr">
        <is>
          <t>III 104, 12</t>
        </is>
      </c>
      <c r="M941" t="inlineStr"/>
      <c r="N941" t="inlineStr"/>
      <c r="O941" t="inlineStr"/>
      <c r="P941" t="inlineStr"/>
      <c r="Q941" t="inlineStr"/>
      <c r="R941" t="inlineStr"/>
      <c r="S941" t="inlineStr"/>
      <c r="T941" t="inlineStr"/>
      <c r="U941" t="inlineStr"/>
      <c r="V941" t="inlineStr"/>
      <c r="W941" t="inlineStr"/>
      <c r="X941" t="inlineStr"/>
      <c r="Y941" t="inlineStr"/>
      <c r="Z941" t="inlineStr"/>
      <c r="AA941" t="inlineStr"/>
      <c r="AB941" t="inlineStr"/>
      <c r="AC941" t="inlineStr"/>
      <c r="AD941" t="inlineStr">
        <is>
          <t>DA</t>
        </is>
      </c>
      <c r="AE941" t="inlineStr"/>
      <c r="AF941" t="inlineStr"/>
      <c r="AG941" t="inlineStr"/>
      <c r="AH941" t="inlineStr"/>
      <c r="AI941" t="inlineStr"/>
      <c r="AJ941" t="inlineStr"/>
      <c r="AK941" t="inlineStr"/>
      <c r="AL941" t="inlineStr"/>
      <c r="AM941" t="inlineStr"/>
      <c r="AN941" t="inlineStr"/>
      <c r="AO941" t="inlineStr"/>
      <c r="AP941" t="inlineStr"/>
      <c r="AQ941" t="inlineStr"/>
      <c r="AR941" t="inlineStr"/>
      <c r="AS941" t="inlineStr"/>
      <c r="AT941" t="inlineStr"/>
      <c r="AU941" t="inlineStr"/>
      <c r="AV941" t="inlineStr"/>
      <c r="AW941" t="inlineStr"/>
      <c r="AX941" t="inlineStr"/>
      <c r="AY941" t="inlineStr"/>
      <c r="AZ941" t="inlineStr"/>
      <c r="BA941" t="inlineStr"/>
      <c r="BB941" t="inlineStr"/>
      <c r="BC941" t="inlineStr"/>
      <c r="BD941" t="inlineStr"/>
      <c r="BE941" t="inlineStr"/>
      <c r="BF941" t="inlineStr"/>
      <c r="BG941" t="inlineStr"/>
      <c r="BH941" t="inlineStr"/>
      <c r="BI941" t="inlineStr"/>
      <c r="BJ941" t="inlineStr"/>
      <c r="BK941" t="inlineStr"/>
      <c r="BL941" t="inlineStr"/>
      <c r="BM941" t="inlineStr"/>
      <c r="BN941" t="n">
        <v>0</v>
      </c>
      <c r="BO941" t="inlineStr"/>
      <c r="BP941" t="inlineStr"/>
      <c r="BQ941" t="inlineStr"/>
      <c r="BR941" t="inlineStr"/>
      <c r="BS941" t="inlineStr"/>
      <c r="BT941" t="inlineStr"/>
      <c r="BU941" t="inlineStr"/>
      <c r="BV941" t="inlineStr"/>
      <c r="BW941" t="inlineStr"/>
      <c r="BX941" t="inlineStr"/>
      <c r="BY941" t="inlineStr"/>
      <c r="BZ941" t="inlineStr"/>
      <c r="CA941" t="inlineStr"/>
      <c r="CB941" t="inlineStr"/>
      <c r="CC941" t="inlineStr"/>
      <c r="CD941" t="inlineStr"/>
      <c r="CE941" t="inlineStr"/>
      <c r="CF941" t="inlineStr"/>
      <c r="CG941" t="inlineStr"/>
      <c r="CH941" t="inlineStr"/>
      <c r="CI941" t="inlineStr"/>
      <c r="CJ941" t="inlineStr"/>
      <c r="CK941" t="inlineStr"/>
      <c r="CL941" t="inlineStr"/>
      <c r="CM941" t="inlineStr"/>
      <c r="CN941" t="inlineStr"/>
      <c r="CO941" t="inlineStr"/>
      <c r="CP941" t="inlineStr"/>
      <c r="CQ941" t="inlineStr"/>
      <c r="CR941" t="inlineStr"/>
      <c r="CS941" t="inlineStr"/>
      <c r="CT941" t="inlineStr"/>
      <c r="CU941" t="inlineStr"/>
      <c r="CV941" t="inlineStr"/>
      <c r="CW941" t="inlineStr"/>
      <c r="CX941" t="inlineStr"/>
      <c r="CY941" t="inlineStr"/>
      <c r="CZ941" t="inlineStr"/>
      <c r="DA941" t="inlineStr"/>
      <c r="DB941" t="inlineStr"/>
      <c r="DC941" t="inlineStr"/>
      <c r="DD941" t="inlineStr"/>
      <c r="DE941" t="inlineStr"/>
      <c r="DF941" t="inlineStr"/>
      <c r="DG941" t="inlineStr"/>
    </row>
    <row r="942">
      <c r="A942" t="inlineStr">
        <is>
          <t>III</t>
        </is>
      </c>
      <c r="B942" t="b">
        <v>0</v>
      </c>
      <c r="C942" t="inlineStr"/>
      <c r="D942" t="inlineStr"/>
      <c r="E942" t="n">
        <v>1039</v>
      </c>
      <c r="F942">
        <f>HYPERLINK("https://portal.dnb.de/opac.htm?method=simpleSearch&amp;cqlMode=true&amp;query=idn%3D1066957444", "Portal")</f>
        <v/>
      </c>
      <c r="G942" t="inlineStr"/>
      <c r="H942" t="inlineStr">
        <is>
          <t>L-1532-315488085</t>
        </is>
      </c>
      <c r="I942" t="inlineStr">
        <is>
          <t>1066957444</t>
        </is>
      </c>
      <c r="J942" t="inlineStr"/>
      <c r="K942" t="inlineStr"/>
      <c r="L942" t="inlineStr">
        <is>
          <t>III 104, 13</t>
        </is>
      </c>
      <c r="M942" t="inlineStr"/>
      <c r="N942" t="inlineStr"/>
      <c r="O942" t="inlineStr"/>
      <c r="P942" t="inlineStr"/>
      <c r="Q942" t="inlineStr"/>
      <c r="R942" t="inlineStr"/>
      <c r="S942" t="inlineStr">
        <is>
          <t>bis 25 cm</t>
        </is>
      </c>
      <c r="T942" t="inlineStr"/>
      <c r="U942" t="inlineStr"/>
      <c r="V942" t="inlineStr"/>
      <c r="W942" t="inlineStr"/>
      <c r="X942" t="inlineStr"/>
      <c r="Y942" t="inlineStr"/>
      <c r="Z942" t="inlineStr"/>
      <c r="AA942" t="inlineStr"/>
      <c r="AB942" t="inlineStr"/>
      <c r="AC942" t="inlineStr"/>
      <c r="AD942" t="inlineStr"/>
      <c r="AE942" t="inlineStr"/>
      <c r="AF942" t="inlineStr"/>
      <c r="AG942" t="inlineStr"/>
      <c r="AH942" t="inlineStr"/>
      <c r="AI942" t="inlineStr">
        <is>
          <t>Br</t>
        </is>
      </c>
      <c r="AJ942" t="inlineStr"/>
      <c r="AK942" t="inlineStr"/>
      <c r="AL942" t="inlineStr"/>
      <c r="AM942" t="inlineStr">
        <is>
          <t>f</t>
        </is>
      </c>
      <c r="AN942" t="inlineStr"/>
      <c r="AO942" t="inlineStr"/>
      <c r="AP942" t="inlineStr"/>
      <c r="AQ942" t="inlineStr"/>
      <c r="AR942" t="inlineStr"/>
      <c r="AS942" t="inlineStr">
        <is>
          <t>Pa</t>
        </is>
      </c>
      <c r="AT942" t="inlineStr"/>
      <c r="AU942" t="inlineStr"/>
      <c r="AV942" t="inlineStr"/>
      <c r="AW942" t="inlineStr"/>
      <c r="AX942" t="inlineStr"/>
      <c r="AY942" t="inlineStr"/>
      <c r="AZ942" t="inlineStr"/>
      <c r="BA942" t="inlineStr"/>
      <c r="BB942" t="inlineStr"/>
      <c r="BC942" t="inlineStr"/>
      <c r="BD942" t="inlineStr"/>
      <c r="BE942" t="inlineStr"/>
      <c r="BF942" t="inlineStr"/>
      <c r="BG942" t="n">
        <v>110</v>
      </c>
      <c r="BH942" t="inlineStr"/>
      <c r="BI942" t="inlineStr"/>
      <c r="BJ942" t="inlineStr"/>
      <c r="BK942" t="inlineStr"/>
      <c r="BL942" t="inlineStr"/>
      <c r="BM942" t="inlineStr">
        <is>
          <t>n</t>
        </is>
      </c>
      <c r="BN942" t="n">
        <v>0</v>
      </c>
      <c r="BO942" t="inlineStr"/>
      <c r="BP942" t="inlineStr"/>
      <c r="BQ942" t="inlineStr"/>
      <c r="BR942" t="inlineStr"/>
      <c r="BS942" t="inlineStr"/>
      <c r="BT942" t="inlineStr"/>
      <c r="BU942" t="inlineStr"/>
      <c r="BV942" t="inlineStr"/>
      <c r="BW942" t="inlineStr"/>
      <c r="BX942" t="inlineStr"/>
      <c r="BY942" t="inlineStr"/>
      <c r="BZ942" t="inlineStr"/>
      <c r="CA942" t="inlineStr"/>
      <c r="CB942" t="inlineStr"/>
      <c r="CC942" t="inlineStr"/>
      <c r="CD942" t="inlineStr"/>
      <c r="CE942" t="inlineStr"/>
      <c r="CF942" t="inlineStr"/>
      <c r="CG942" t="inlineStr"/>
      <c r="CH942" t="inlineStr"/>
      <c r="CI942" t="inlineStr"/>
      <c r="CJ942" t="inlineStr"/>
      <c r="CK942" t="inlineStr"/>
      <c r="CL942" t="inlineStr"/>
      <c r="CM942" t="inlineStr"/>
      <c r="CN942" t="inlineStr"/>
      <c r="CO942" t="inlineStr"/>
      <c r="CP942" t="inlineStr"/>
      <c r="CQ942" t="inlineStr"/>
      <c r="CR942" t="inlineStr"/>
      <c r="CS942" t="inlineStr"/>
      <c r="CT942" t="inlineStr"/>
      <c r="CU942" t="inlineStr"/>
      <c r="CV942" t="inlineStr"/>
      <c r="CW942" t="inlineStr"/>
      <c r="CX942" t="inlineStr"/>
      <c r="CY942" t="inlineStr"/>
      <c r="CZ942" t="inlineStr"/>
      <c r="DA942" t="inlineStr"/>
      <c r="DB942" t="inlineStr"/>
      <c r="DC942" t="inlineStr"/>
      <c r="DD942" t="inlineStr"/>
      <c r="DE942" t="inlineStr"/>
      <c r="DF942" t="inlineStr"/>
      <c r="DG942" t="inlineStr"/>
    </row>
    <row r="943">
      <c r="A943" t="inlineStr">
        <is>
          <t>III</t>
        </is>
      </c>
      <c r="B943" t="b">
        <v>1</v>
      </c>
      <c r="C943" t="inlineStr"/>
      <c r="D943" t="inlineStr"/>
      <c r="E943" t="n">
        <v>1040</v>
      </c>
      <c r="F943">
        <f>HYPERLINK("https://portal.dnb.de/opac.htm?method=simpleSearch&amp;cqlMode=true&amp;query=idn%3D1066961689", "Portal")</f>
        <v/>
      </c>
      <c r="G943" t="inlineStr">
        <is>
          <t>Aaf</t>
        </is>
      </c>
      <c r="H943" t="inlineStr">
        <is>
          <t>L-1525-315492082</t>
        </is>
      </c>
      <c r="I943" t="inlineStr">
        <is>
          <t>1066961689</t>
        </is>
      </c>
      <c r="J943" t="inlineStr">
        <is>
          <t>III 104, 14</t>
        </is>
      </c>
      <c r="K943" t="inlineStr">
        <is>
          <t>III 104, 14</t>
        </is>
      </c>
      <c r="L943" t="inlineStr">
        <is>
          <t>III 104, 14</t>
        </is>
      </c>
      <c r="M943" t="inlineStr"/>
      <c r="N943" t="inlineStr">
        <is>
          <t xml:space="preserve">Philips Me=||lanchtchons Anwey=||sung ynn die heylige/|| G#[oe]tliche schrifft/ durch|| Georgium Spalati=||num verdeutscht.|| : </t>
        </is>
      </c>
      <c r="O943" t="inlineStr">
        <is>
          <t xml:space="preserve"> : </t>
        </is>
      </c>
      <c r="P943" t="inlineStr"/>
      <c r="Q943" t="inlineStr"/>
      <c r="R943" t="inlineStr"/>
      <c r="S943" t="inlineStr">
        <is>
          <t>bis 25 cm</t>
        </is>
      </c>
      <c r="T943" t="inlineStr"/>
      <c r="U943" t="inlineStr"/>
      <c r="V943" t="inlineStr"/>
      <c r="W943" t="inlineStr"/>
      <c r="X943" t="inlineStr"/>
      <c r="Y943" t="inlineStr"/>
      <c r="Z943" t="inlineStr"/>
      <c r="AA943" t="inlineStr"/>
      <c r="AB943" t="inlineStr"/>
      <c r="AC943" t="inlineStr"/>
      <c r="AD943" t="inlineStr"/>
      <c r="AE943" t="inlineStr"/>
      <c r="AF943" t="inlineStr"/>
      <c r="AG943" t="inlineStr"/>
      <c r="AH943" t="inlineStr">
        <is>
          <t>x</t>
        </is>
      </c>
      <c r="AI943" t="inlineStr">
        <is>
          <t>HL</t>
        </is>
      </c>
      <c r="AJ943" t="inlineStr"/>
      <c r="AK943" t="inlineStr"/>
      <c r="AL943" t="inlineStr">
        <is>
          <t>x</t>
        </is>
      </c>
      <c r="AM943" t="inlineStr">
        <is>
          <t>f/V</t>
        </is>
      </c>
      <c r="AN943" t="inlineStr"/>
      <c r="AO943" t="inlineStr"/>
      <c r="AP943" t="inlineStr"/>
      <c r="AQ943" t="inlineStr"/>
      <c r="AR943" t="inlineStr"/>
      <c r="AS943" t="inlineStr">
        <is>
          <t>Pa</t>
        </is>
      </c>
      <c r="AT943" t="inlineStr"/>
      <c r="AU943" t="inlineStr"/>
      <c r="AV943" t="inlineStr"/>
      <c r="AW943" t="inlineStr"/>
      <c r="AX943" t="inlineStr"/>
      <c r="AY943" t="inlineStr"/>
      <c r="AZ943" t="inlineStr"/>
      <c r="BA943" t="inlineStr"/>
      <c r="BB943" t="inlineStr"/>
      <c r="BC943" t="inlineStr"/>
      <c r="BD943" t="inlineStr"/>
      <c r="BE943" t="inlineStr"/>
      <c r="BF943" t="inlineStr"/>
      <c r="BG943" t="n">
        <v>60</v>
      </c>
      <c r="BH943" t="inlineStr"/>
      <c r="BI943" t="inlineStr"/>
      <c r="BJ943" t="inlineStr"/>
      <c r="BK943" t="inlineStr"/>
      <c r="BL943" t="inlineStr"/>
      <c r="BM943" t="inlineStr">
        <is>
          <t>n</t>
        </is>
      </c>
      <c r="BN943" t="n">
        <v>0</v>
      </c>
      <c r="BO943" t="inlineStr"/>
      <c r="BP943" t="inlineStr"/>
      <c r="BQ943" t="inlineStr"/>
      <c r="BR943" t="inlineStr"/>
      <c r="BS943" t="inlineStr"/>
      <c r="BT943" t="inlineStr"/>
      <c r="BU943" t="inlineStr"/>
      <c r="BV943" t="inlineStr"/>
      <c r="BW943" t="inlineStr"/>
      <c r="BX943" t="inlineStr"/>
      <c r="BY943" t="inlineStr"/>
      <c r="BZ943" t="inlineStr"/>
      <c r="CA943" t="inlineStr"/>
      <c r="CB943" t="inlineStr"/>
      <c r="CC943" t="inlineStr"/>
      <c r="CD943" t="inlineStr"/>
      <c r="CE943" t="inlineStr"/>
      <c r="CF943" t="inlineStr"/>
      <c r="CG943" t="inlineStr"/>
      <c r="CH943" t="inlineStr"/>
      <c r="CI943" t="inlineStr"/>
      <c r="CJ943" t="inlineStr"/>
      <c r="CK943" t="inlineStr"/>
      <c r="CL943" t="inlineStr"/>
      <c r="CM943" t="inlineStr"/>
      <c r="CN943" t="inlineStr"/>
      <c r="CO943" t="inlineStr"/>
      <c r="CP943" t="inlineStr"/>
      <c r="CQ943" t="inlineStr"/>
      <c r="CR943" t="inlineStr"/>
      <c r="CS943" t="inlineStr"/>
      <c r="CT943" t="inlineStr"/>
      <c r="CU943" t="inlineStr"/>
      <c r="CV943" t="inlineStr"/>
      <c r="CW943" t="inlineStr"/>
      <c r="CX943" t="inlineStr"/>
      <c r="CY943" t="inlineStr"/>
      <c r="CZ943" t="inlineStr"/>
      <c r="DA943" t="inlineStr"/>
      <c r="DB943" t="inlineStr"/>
      <c r="DC943" t="inlineStr"/>
      <c r="DD943" t="inlineStr"/>
      <c r="DE943" t="inlineStr"/>
      <c r="DF943" t="inlineStr"/>
      <c r="DG943" t="inlineStr"/>
    </row>
    <row r="944">
      <c r="A944" t="inlineStr">
        <is>
          <t>III</t>
        </is>
      </c>
      <c r="B944" t="b">
        <v>1</v>
      </c>
      <c r="C944" t="inlineStr"/>
      <c r="D944" t="inlineStr"/>
      <c r="E944" t="n">
        <v>1075</v>
      </c>
      <c r="F944">
        <f>HYPERLINK("https://portal.dnb.de/opac.htm?method=simpleSearch&amp;cqlMode=true&amp;query=idn%3D998898333", "Portal")</f>
        <v/>
      </c>
      <c r="G944" t="inlineStr">
        <is>
          <t>Aal</t>
        </is>
      </c>
      <c r="H944" t="inlineStr">
        <is>
          <t>L-1524-167183281</t>
        </is>
      </c>
      <c r="I944" t="inlineStr">
        <is>
          <t>998898333</t>
        </is>
      </c>
      <c r="J944" t="inlineStr">
        <is>
          <t>III 104, 14 a</t>
        </is>
      </c>
      <c r="K944" t="inlineStr">
        <is>
          <t>III 104, 14 a</t>
        </is>
      </c>
      <c r="L944" t="inlineStr">
        <is>
          <t>III 104, 14 a</t>
        </is>
      </c>
      <c r="M944" t="inlineStr"/>
      <c r="N944" t="inlineStr">
        <is>
          <t xml:space="preserve">Von Kauffshand=||lung vnd wu=||cher : </t>
        </is>
      </c>
      <c r="O944" t="inlineStr">
        <is>
          <t xml:space="preserve"> : </t>
        </is>
      </c>
      <c r="P944" t="inlineStr"/>
      <c r="Q944" t="inlineStr"/>
      <c r="R944" t="inlineStr"/>
      <c r="S944" t="inlineStr">
        <is>
          <t>bis 25 cm</t>
        </is>
      </c>
      <c r="T944" t="inlineStr"/>
      <c r="U944" t="inlineStr"/>
      <c r="V944" t="inlineStr"/>
      <c r="W944" t="inlineStr"/>
      <c r="X944" t="inlineStr"/>
      <c r="Y944" t="inlineStr"/>
      <c r="Z944" t="inlineStr"/>
      <c r="AA944" t="inlineStr"/>
      <c r="AB944" t="inlineStr"/>
      <c r="AC944" t="inlineStr"/>
      <c r="AD944" t="inlineStr"/>
      <c r="AE944" t="inlineStr"/>
      <c r="AF944" t="inlineStr"/>
      <c r="AG944" t="inlineStr"/>
      <c r="AH944" t="inlineStr"/>
      <c r="AI944" t="inlineStr">
        <is>
          <t>HPg</t>
        </is>
      </c>
      <c r="AJ944" t="inlineStr"/>
      <c r="AK944" t="inlineStr"/>
      <c r="AL944" t="inlineStr"/>
      <c r="AM944" t="inlineStr">
        <is>
          <t>h/E</t>
        </is>
      </c>
      <c r="AN944" t="inlineStr"/>
      <c r="AO944" t="inlineStr"/>
      <c r="AP944" t="inlineStr"/>
      <c r="AQ944" t="inlineStr"/>
      <c r="AR944" t="inlineStr"/>
      <c r="AS944" t="inlineStr">
        <is>
          <t>Pa</t>
        </is>
      </c>
      <c r="AT944" t="inlineStr"/>
      <c r="AU944" t="inlineStr"/>
      <c r="AV944" t="inlineStr"/>
      <c r="AW944" t="inlineStr"/>
      <c r="AX944" t="inlineStr"/>
      <c r="AY944" t="inlineStr"/>
      <c r="AZ944" t="inlineStr"/>
      <c r="BA944" t="inlineStr"/>
      <c r="BB944" t="inlineStr"/>
      <c r="BC944" t="inlineStr"/>
      <c r="BD944" t="inlineStr"/>
      <c r="BE944" t="inlineStr"/>
      <c r="BF944" t="inlineStr"/>
      <c r="BG944" t="n">
        <v>110</v>
      </c>
      <c r="BH944" t="inlineStr"/>
      <c r="BI944" t="inlineStr"/>
      <c r="BJ944" t="inlineStr"/>
      <c r="BK944" t="inlineStr">
        <is>
          <t>x</t>
        </is>
      </c>
      <c r="BL944" t="inlineStr">
        <is>
          <t>x</t>
        </is>
      </c>
      <c r="BM944" t="inlineStr">
        <is>
          <t>n</t>
        </is>
      </c>
      <c r="BN944" t="n">
        <v>0</v>
      </c>
      <c r="BO944" t="inlineStr"/>
      <c r="BP944" t="inlineStr"/>
      <c r="BQ944" t="inlineStr"/>
      <c r="BR944" t="inlineStr"/>
      <c r="BS944" t="inlineStr"/>
      <c r="BT944" t="inlineStr"/>
      <c r="BU944" t="inlineStr"/>
      <c r="BV944" t="inlineStr"/>
      <c r="BW944" t="inlineStr"/>
      <c r="BX944" t="inlineStr"/>
      <c r="BY944" t="inlineStr"/>
      <c r="BZ944" t="inlineStr"/>
      <c r="CA944" t="inlineStr"/>
      <c r="CB944" t="inlineStr"/>
      <c r="CC944" t="inlineStr"/>
      <c r="CD944" t="inlineStr"/>
      <c r="CE944" t="inlineStr"/>
      <c r="CF944" t="inlineStr"/>
      <c r="CG944" t="inlineStr"/>
      <c r="CH944" t="inlineStr"/>
      <c r="CI944" t="inlineStr"/>
      <c r="CJ944" t="inlineStr"/>
      <c r="CK944" t="inlineStr"/>
      <c r="CL944" t="inlineStr"/>
      <c r="CM944" t="inlineStr"/>
      <c r="CN944" t="inlineStr"/>
      <c r="CO944" t="inlineStr"/>
      <c r="CP944" t="inlineStr"/>
      <c r="CQ944" t="inlineStr"/>
      <c r="CR944" t="inlineStr"/>
      <c r="CS944" t="inlineStr"/>
      <c r="CT944" t="inlineStr"/>
      <c r="CU944" t="inlineStr"/>
      <c r="CV944" t="inlineStr"/>
      <c r="CW944" t="inlineStr"/>
      <c r="CX944" t="inlineStr"/>
      <c r="CY944" t="inlineStr"/>
      <c r="CZ944" t="inlineStr"/>
      <c r="DA944" t="inlineStr"/>
      <c r="DB944" t="inlineStr"/>
      <c r="DC944" t="inlineStr"/>
      <c r="DD944" t="inlineStr"/>
      <c r="DE944" t="inlineStr"/>
      <c r="DF944" t="inlineStr"/>
      <c r="DG944" t="inlineStr"/>
    </row>
    <row r="945">
      <c r="A945" t="inlineStr">
        <is>
          <t>III</t>
        </is>
      </c>
      <c r="B945" t="b">
        <v>1</v>
      </c>
      <c r="C945" t="inlineStr"/>
      <c r="D945" t="inlineStr"/>
      <c r="E945" t="inlineStr"/>
      <c r="F945">
        <f>HYPERLINK("https://portal.dnb.de/opac.htm?method=simpleSearch&amp;cqlMode=true&amp;query=idn%3D1263573177", "Portal")</f>
        <v/>
      </c>
      <c r="G945" t="inlineStr">
        <is>
          <t>Qd</t>
        </is>
      </c>
      <c r="H945" t="inlineStr">
        <is>
          <t>L-1524-786237821</t>
        </is>
      </c>
      <c r="I945" t="inlineStr">
        <is>
          <t>1263573177</t>
        </is>
      </c>
      <c r="J945" t="inlineStr">
        <is>
          <t>III 104, 14 b</t>
        </is>
      </c>
      <c r="K945" t="inlineStr">
        <is>
          <t>III 104, 14 b</t>
        </is>
      </c>
      <c r="L945" t="inlineStr">
        <is>
          <t>III 104, 14 b</t>
        </is>
      </c>
      <c r="M945" t="inlineStr"/>
      <c r="N945" t="inlineStr">
        <is>
          <t xml:space="preserve">Sammelband : </t>
        </is>
      </c>
      <c r="O945" t="inlineStr">
        <is>
          <t xml:space="preserve"> : </t>
        </is>
      </c>
      <c r="P945" t="inlineStr"/>
      <c r="Q945" t="inlineStr"/>
      <c r="R945" t="inlineStr"/>
      <c r="S945" t="inlineStr">
        <is>
          <t>bis 25 cm</t>
        </is>
      </c>
      <c r="T945" t="inlineStr"/>
      <c r="U945" t="inlineStr"/>
      <c r="V945" t="inlineStr"/>
      <c r="W945" t="inlineStr"/>
      <c r="X945" t="inlineStr"/>
      <c r="Y945" t="inlineStr"/>
      <c r="Z945" t="inlineStr"/>
      <c r="AA945" t="inlineStr"/>
      <c r="AB945" t="inlineStr"/>
      <c r="AC945" t="inlineStr"/>
      <c r="AD945" t="inlineStr"/>
      <c r="AE945" t="inlineStr"/>
      <c r="AF945" t="inlineStr"/>
      <c r="AG945" t="inlineStr"/>
      <c r="AH945" t="inlineStr"/>
      <c r="AI945" t="inlineStr">
        <is>
          <t>HD</t>
        </is>
      </c>
      <c r="AJ945" t="inlineStr"/>
      <c r="AK945" t="inlineStr"/>
      <c r="AL945" t="inlineStr">
        <is>
          <t>x</t>
        </is>
      </c>
      <c r="AM945" t="inlineStr">
        <is>
          <t>f</t>
        </is>
      </c>
      <c r="AN945" t="inlineStr"/>
      <c r="AO945" t="inlineStr"/>
      <c r="AP945" t="inlineStr"/>
      <c r="AQ945" t="inlineStr"/>
      <c r="AR945" t="inlineStr"/>
      <c r="AS945" t="inlineStr">
        <is>
          <t>Pa</t>
        </is>
      </c>
      <c r="AT945" t="inlineStr"/>
      <c r="AU945" t="inlineStr"/>
      <c r="AV945" t="inlineStr"/>
      <c r="AW945" t="inlineStr"/>
      <c r="AX945" t="inlineStr"/>
      <c r="AY945" t="inlineStr"/>
      <c r="AZ945" t="inlineStr"/>
      <c r="BA945" t="inlineStr"/>
      <c r="BB945" t="inlineStr"/>
      <c r="BC945" t="inlineStr"/>
      <c r="BD945" t="inlineStr"/>
      <c r="BE945" t="n">
        <v>0</v>
      </c>
      <c r="BF945" t="inlineStr">
        <is>
          <t>x</t>
        </is>
      </c>
      <c r="BG945" t="n">
        <v>110</v>
      </c>
      <c r="BH945" t="inlineStr"/>
      <c r="BI945" t="inlineStr"/>
      <c r="BJ945" t="inlineStr"/>
      <c r="BK945" t="inlineStr"/>
      <c r="BL945" t="inlineStr"/>
      <c r="BM945" t="inlineStr">
        <is>
          <t>n</t>
        </is>
      </c>
      <c r="BN945" t="n">
        <v>0</v>
      </c>
      <c r="BO945" t="inlineStr"/>
      <c r="BP945" t="inlineStr">
        <is>
          <t>Gewebe</t>
        </is>
      </c>
      <c r="BQ945" t="inlineStr"/>
      <c r="BR945" t="inlineStr"/>
      <c r="BS945" t="inlineStr"/>
      <c r="BT945" t="inlineStr"/>
      <c r="BU945" t="inlineStr"/>
      <c r="BV945" t="inlineStr"/>
      <c r="BW945" t="inlineStr"/>
      <c r="BX945" t="inlineStr"/>
      <c r="BY945" t="inlineStr"/>
      <c r="BZ945" t="inlineStr"/>
      <c r="CA945" t="inlineStr"/>
      <c r="CB945" t="inlineStr"/>
      <c r="CC945" t="inlineStr"/>
      <c r="CD945" t="inlineStr"/>
      <c r="CE945" t="inlineStr"/>
      <c r="CF945" t="inlineStr"/>
      <c r="CG945" t="inlineStr"/>
      <c r="CH945" t="inlineStr"/>
      <c r="CI945" t="inlineStr"/>
      <c r="CJ945" t="inlineStr"/>
      <c r="CK945" t="inlineStr"/>
      <c r="CL945" t="inlineStr"/>
      <c r="CM945" t="inlineStr"/>
      <c r="CN945" t="inlineStr"/>
      <c r="CO945" t="inlineStr"/>
      <c r="CP945" t="inlineStr"/>
      <c r="CQ945" t="inlineStr"/>
      <c r="CR945" t="inlineStr"/>
      <c r="CS945" t="inlineStr"/>
      <c r="CT945" t="inlineStr"/>
      <c r="CU945" t="inlineStr"/>
      <c r="CV945" t="inlineStr"/>
      <c r="CW945" t="inlineStr"/>
      <c r="CX945" t="inlineStr"/>
      <c r="CY945" t="inlineStr"/>
      <c r="CZ945" t="inlineStr"/>
      <c r="DA945" t="inlineStr"/>
      <c r="DB945" t="inlineStr"/>
      <c r="DC945" t="inlineStr"/>
      <c r="DD945" t="inlineStr"/>
      <c r="DE945" t="inlineStr"/>
      <c r="DF945" t="inlineStr"/>
      <c r="DG945" t="inlineStr"/>
    </row>
    <row r="946">
      <c r="A946" t="inlineStr">
        <is>
          <t>III</t>
        </is>
      </c>
      <c r="B946" t="b">
        <v>1</v>
      </c>
      <c r="C946" t="inlineStr"/>
      <c r="D946" t="inlineStr"/>
      <c r="E946" t="n">
        <v>1041</v>
      </c>
      <c r="F946">
        <f>HYPERLINK("https://portal.dnb.de/opac.htm?method=simpleSearch&amp;cqlMode=true&amp;query=idn%3D1066962936", "Portal")</f>
        <v/>
      </c>
      <c r="G946" t="inlineStr">
        <is>
          <t>Aaf</t>
        </is>
      </c>
      <c r="H946" t="inlineStr">
        <is>
          <t>L-1527-315493208</t>
        </is>
      </c>
      <c r="I946" t="inlineStr">
        <is>
          <t>1066962936</t>
        </is>
      </c>
      <c r="J946" t="inlineStr">
        <is>
          <t>III 104, 15</t>
        </is>
      </c>
      <c r="K946" t="inlineStr">
        <is>
          <t>III 104, 15</t>
        </is>
      </c>
      <c r="L946" t="inlineStr">
        <is>
          <t>III 104, 15</t>
        </is>
      </c>
      <c r="M946" t="inlineStr"/>
      <c r="N946" t="inlineStr">
        <is>
          <t xml:space="preserve">Vorzeichnus Su-||marien wie sich die : </t>
        </is>
      </c>
      <c r="O946" t="inlineStr">
        <is>
          <t xml:space="preserve"> : </t>
        </is>
      </c>
      <c r="P946" t="inlineStr"/>
      <c r="Q946" t="inlineStr"/>
      <c r="R946" t="inlineStr"/>
      <c r="S946" t="inlineStr">
        <is>
          <t>bis 25 cm</t>
        </is>
      </c>
      <c r="T946" t="inlineStr"/>
      <c r="U946" t="inlineStr"/>
      <c r="V946" t="inlineStr"/>
      <c r="W946" t="inlineStr"/>
      <c r="X946" t="inlineStr"/>
      <c r="Y946" t="inlineStr"/>
      <c r="Z946" t="inlineStr"/>
      <c r="AA946" t="inlineStr"/>
      <c r="AB946" t="inlineStr"/>
      <c r="AC946" t="inlineStr"/>
      <c r="AD946" t="inlineStr"/>
      <c r="AE946" t="inlineStr"/>
      <c r="AF946" t="inlineStr"/>
      <c r="AG946" t="inlineStr"/>
      <c r="AH946" t="inlineStr"/>
      <c r="AI946" t="inlineStr">
        <is>
          <t>G</t>
        </is>
      </c>
      <c r="AJ946" t="inlineStr"/>
      <c r="AK946" t="inlineStr">
        <is>
          <t>x</t>
        </is>
      </c>
      <c r="AL946" t="inlineStr"/>
      <c r="AM946" t="inlineStr">
        <is>
          <t>h/E</t>
        </is>
      </c>
      <c r="AN946" t="inlineStr"/>
      <c r="AO946" t="inlineStr"/>
      <c r="AP946" t="inlineStr"/>
      <c r="AQ946" t="inlineStr"/>
      <c r="AR946" t="inlineStr"/>
      <c r="AS946" t="inlineStr">
        <is>
          <t>Pa</t>
        </is>
      </c>
      <c r="AT946" t="inlineStr">
        <is>
          <t>x</t>
        </is>
      </c>
      <c r="AU946" t="inlineStr"/>
      <c r="AV946" t="inlineStr"/>
      <c r="AW946" t="inlineStr"/>
      <c r="AX946" t="inlineStr"/>
      <c r="AY946" t="inlineStr"/>
      <c r="AZ946" t="inlineStr"/>
      <c r="BA946" t="inlineStr"/>
      <c r="BB946" t="inlineStr"/>
      <c r="BC946" t="inlineStr"/>
      <c r="BD946" t="inlineStr"/>
      <c r="BE946" t="inlineStr"/>
      <c r="BF946" t="inlineStr"/>
      <c r="BG946" t="n">
        <v>110</v>
      </c>
      <c r="BH946" t="inlineStr"/>
      <c r="BI946" t="inlineStr"/>
      <c r="BJ946" t="inlineStr"/>
      <c r="BK946" t="inlineStr"/>
      <c r="BL946" t="inlineStr"/>
      <c r="BM946" t="inlineStr">
        <is>
          <t>n</t>
        </is>
      </c>
      <c r="BN946" t="n">
        <v>0</v>
      </c>
      <c r="BO946" t="inlineStr"/>
      <c r="BP946" t="inlineStr"/>
      <c r="BQ946" t="inlineStr"/>
      <c r="BR946" t="inlineStr"/>
      <c r="BS946" t="inlineStr"/>
      <c r="BT946" t="inlineStr"/>
      <c r="BU946" t="inlineStr"/>
      <c r="BV946" t="inlineStr"/>
      <c r="BW946" t="inlineStr"/>
      <c r="BX946" t="inlineStr"/>
      <c r="BY946" t="inlineStr"/>
      <c r="BZ946" t="inlineStr"/>
      <c r="CA946" t="inlineStr"/>
      <c r="CB946" t="inlineStr"/>
      <c r="CC946" t="inlineStr"/>
      <c r="CD946" t="inlineStr"/>
      <c r="CE946" t="inlineStr"/>
      <c r="CF946" t="inlineStr"/>
      <c r="CG946" t="inlineStr"/>
      <c r="CH946" t="inlineStr"/>
      <c r="CI946" t="inlineStr"/>
      <c r="CJ946" t="inlineStr"/>
      <c r="CK946" t="inlineStr"/>
      <c r="CL946" t="inlineStr"/>
      <c r="CM946" t="inlineStr"/>
      <c r="CN946" t="inlineStr"/>
      <c r="CO946" t="inlineStr"/>
      <c r="CP946" t="inlineStr"/>
      <c r="CQ946" t="inlineStr"/>
      <c r="CR946" t="inlineStr"/>
      <c r="CS946" t="inlineStr"/>
      <c r="CT946" t="inlineStr"/>
      <c r="CU946" t="inlineStr"/>
      <c r="CV946" t="inlineStr"/>
      <c r="CW946" t="inlineStr"/>
      <c r="CX946" t="inlineStr"/>
      <c r="CY946" t="inlineStr"/>
      <c r="CZ946" t="inlineStr"/>
      <c r="DA946" t="inlineStr"/>
      <c r="DB946" t="inlineStr"/>
      <c r="DC946" t="inlineStr"/>
      <c r="DD946" t="inlineStr"/>
      <c r="DE946" t="inlineStr"/>
      <c r="DF946" t="inlineStr"/>
      <c r="DG946" t="inlineStr"/>
    </row>
    <row r="947">
      <c r="A947" t="inlineStr">
        <is>
          <t>III</t>
        </is>
      </c>
      <c r="B947" t="b">
        <v>1</v>
      </c>
      <c r="C947" t="inlineStr"/>
      <c r="D947" t="inlineStr"/>
      <c r="E947" t="n">
        <v>1078</v>
      </c>
      <c r="F947">
        <f>HYPERLINK("https://portal.dnb.de/opac.htm?method=simpleSearch&amp;cqlMode=true&amp;query=idn%3D999178016", "Portal")</f>
        <v/>
      </c>
      <c r="G947" t="inlineStr">
        <is>
          <t>Aal</t>
        </is>
      </c>
      <c r="H947" t="inlineStr">
        <is>
          <t>L-1527-167684795</t>
        </is>
      </c>
      <c r="I947" t="inlineStr">
        <is>
          <t>999178016</t>
        </is>
      </c>
      <c r="J947" t="inlineStr">
        <is>
          <t>III 104, 15a</t>
        </is>
      </c>
      <c r="K947" t="inlineStr">
        <is>
          <t>III 104, 15a</t>
        </is>
      </c>
      <c r="L947" t="inlineStr">
        <is>
          <t>III 104, 15 a</t>
        </is>
      </c>
      <c r="M947" t="inlineStr"/>
      <c r="N947" t="inlineStr">
        <is>
          <t>Etlicher Gottlosen|| vnd widderchristi=||schen lere von der Papistischen|| Messen, so der Barfusser zu Er=||furt D. Conrad Kling gethan,|| Verlegung d</t>
        </is>
      </c>
      <c r="O947" t="inlineStr">
        <is>
          <t xml:space="preserve"> : </t>
        </is>
      </c>
      <c r="P947" t="inlineStr"/>
      <c r="Q947" t="inlineStr"/>
      <c r="R947" t="inlineStr"/>
      <c r="S947" t="inlineStr">
        <is>
          <t>bis 25 cm</t>
        </is>
      </c>
      <c r="T947" t="inlineStr"/>
      <c r="U947" t="inlineStr"/>
      <c r="V947" t="inlineStr"/>
      <c r="W947" t="inlineStr"/>
      <c r="X947" t="inlineStr"/>
      <c r="Y947" t="inlineStr"/>
      <c r="Z947" t="inlineStr"/>
      <c r="AA947" t="inlineStr"/>
      <c r="AB947" t="inlineStr"/>
      <c r="AC947" t="inlineStr"/>
      <c r="AD947" t="inlineStr"/>
      <c r="AE947" t="inlineStr"/>
      <c r="AF947" t="inlineStr"/>
      <c r="AG947" t="inlineStr"/>
      <c r="AH947" t="inlineStr"/>
      <c r="AI947" t="inlineStr">
        <is>
          <t>HPg</t>
        </is>
      </c>
      <c r="AJ947" t="inlineStr"/>
      <c r="AK947" t="inlineStr"/>
      <c r="AL947" t="inlineStr"/>
      <c r="AM947" t="inlineStr">
        <is>
          <t>h/E</t>
        </is>
      </c>
      <c r="AN947" t="inlineStr"/>
      <c r="AO947" t="inlineStr"/>
      <c r="AP947" t="inlineStr"/>
      <c r="AQ947" t="inlineStr"/>
      <c r="AR947" t="inlineStr"/>
      <c r="AS947" t="inlineStr">
        <is>
          <t>Pa</t>
        </is>
      </c>
      <c r="AT947" t="inlineStr"/>
      <c r="AU947" t="inlineStr"/>
      <c r="AV947" t="inlineStr"/>
      <c r="AW947" t="inlineStr"/>
      <c r="AX947" t="inlineStr"/>
      <c r="AY947" t="inlineStr"/>
      <c r="AZ947" t="inlineStr"/>
      <c r="BA947" t="inlineStr"/>
      <c r="BB947" t="inlineStr"/>
      <c r="BC947" t="inlineStr"/>
      <c r="BD947" t="inlineStr"/>
      <c r="BE947" t="inlineStr"/>
      <c r="BF947" t="inlineStr"/>
      <c r="BG947" t="n">
        <v>110</v>
      </c>
      <c r="BH947" t="inlineStr"/>
      <c r="BI947" t="inlineStr"/>
      <c r="BJ947" t="inlineStr"/>
      <c r="BK947" t="inlineStr"/>
      <c r="BL947" t="inlineStr"/>
      <c r="BM947" t="inlineStr">
        <is>
          <t>n</t>
        </is>
      </c>
      <c r="BN947" t="n">
        <v>0</v>
      </c>
      <c r="BO947" t="inlineStr"/>
      <c r="BP947" t="inlineStr"/>
      <c r="BQ947" t="inlineStr"/>
      <c r="BR947" t="inlineStr"/>
      <c r="BS947" t="inlineStr"/>
      <c r="BT947" t="inlineStr"/>
      <c r="BU947" t="inlineStr"/>
      <c r="BV947" t="inlineStr"/>
      <c r="BW947" t="inlineStr"/>
      <c r="BX947" t="inlineStr"/>
      <c r="BY947" t="inlineStr"/>
      <c r="BZ947" t="inlineStr"/>
      <c r="CA947" t="inlineStr"/>
      <c r="CB947" t="inlineStr"/>
      <c r="CC947" t="inlineStr"/>
      <c r="CD947" t="inlineStr"/>
      <c r="CE947" t="inlineStr"/>
      <c r="CF947" t="inlineStr"/>
      <c r="CG947" t="inlineStr"/>
      <c r="CH947" t="inlineStr"/>
      <c r="CI947" t="inlineStr"/>
      <c r="CJ947" t="inlineStr"/>
      <c r="CK947" t="inlineStr"/>
      <c r="CL947" t="inlineStr"/>
      <c r="CM947" t="inlineStr"/>
      <c r="CN947" t="inlineStr"/>
      <c r="CO947" t="inlineStr"/>
      <c r="CP947" t="inlineStr"/>
      <c r="CQ947" t="inlineStr"/>
      <c r="CR947" t="inlineStr"/>
      <c r="CS947" t="inlineStr"/>
      <c r="CT947" t="inlineStr"/>
      <c r="CU947" t="inlineStr"/>
      <c r="CV947" t="inlineStr"/>
      <c r="CW947" t="inlineStr"/>
      <c r="CX947" t="inlineStr"/>
      <c r="CY947" t="inlineStr"/>
      <c r="CZ947" t="inlineStr"/>
      <c r="DA947" t="inlineStr"/>
      <c r="DB947" t="inlineStr"/>
      <c r="DC947" t="inlineStr"/>
      <c r="DD947" t="inlineStr"/>
      <c r="DE947" t="inlineStr"/>
      <c r="DF947" t="inlineStr"/>
      <c r="DG947" t="inlineStr"/>
    </row>
    <row r="948">
      <c r="A948" t="inlineStr">
        <is>
          <t>III</t>
        </is>
      </c>
      <c r="B948" t="b">
        <v>1</v>
      </c>
      <c r="C948" t="inlineStr"/>
      <c r="D948" t="inlineStr"/>
      <c r="E948" t="n">
        <v>1079</v>
      </c>
      <c r="F948">
        <f>HYPERLINK("https://portal.dnb.de/opac.htm?method=simpleSearch&amp;cqlMode=true&amp;query=idn%3D999178199", "Portal")</f>
        <v/>
      </c>
      <c r="G948" t="inlineStr">
        <is>
          <t>Aal</t>
        </is>
      </c>
      <c r="H948" t="inlineStr">
        <is>
          <t>L-1529-167684949</t>
        </is>
      </c>
      <c r="I948" t="inlineStr">
        <is>
          <t>999178199</t>
        </is>
      </c>
      <c r="J948" t="inlineStr">
        <is>
          <t>III 104, 15b</t>
        </is>
      </c>
      <c r="K948" t="inlineStr">
        <is>
          <t>III 104, 15b</t>
        </is>
      </c>
      <c r="L948" t="inlineStr">
        <is>
          <t>III 104, 15 b</t>
        </is>
      </c>
      <c r="M948" t="inlineStr"/>
      <c r="N948" t="inlineStr">
        <is>
          <t xml:space="preserve">An die hoch=||geborne Furstin,|| fraw Sibilla Hertzogin zu|| Sachsen, Oeconomia Chri=||stiana das ist, von Christ=||licher haushaltung|| : </t>
        </is>
      </c>
      <c r="O948" t="inlineStr">
        <is>
          <t xml:space="preserve"> : </t>
        </is>
      </c>
      <c r="P948" t="inlineStr"/>
      <c r="Q948" t="inlineStr"/>
      <c r="R948" t="inlineStr"/>
      <c r="S948" t="inlineStr">
        <is>
          <t>bis 25 cm</t>
        </is>
      </c>
      <c r="T948" t="inlineStr"/>
      <c r="U948" t="inlineStr"/>
      <c r="V948" t="inlineStr"/>
      <c r="W948" t="inlineStr"/>
      <c r="X948" t="inlineStr"/>
      <c r="Y948" t="inlineStr"/>
      <c r="Z948" t="inlineStr"/>
      <c r="AA948" t="inlineStr"/>
      <c r="AB948" t="inlineStr"/>
      <c r="AC948" t="inlineStr"/>
      <c r="AD948" t="inlineStr"/>
      <c r="AE948" t="inlineStr"/>
      <c r="AF948" t="inlineStr"/>
      <c r="AG948" t="inlineStr"/>
      <c r="AH948" t="inlineStr"/>
      <c r="AI948" t="inlineStr">
        <is>
          <t>Pa</t>
        </is>
      </c>
      <c r="AJ948" t="inlineStr"/>
      <c r="AK948" t="inlineStr"/>
      <c r="AL948" t="inlineStr"/>
      <c r="AM948" t="inlineStr">
        <is>
          <t>h/E</t>
        </is>
      </c>
      <c r="AN948" t="inlineStr"/>
      <c r="AO948" t="inlineStr"/>
      <c r="AP948" t="inlineStr"/>
      <c r="AQ948" t="inlineStr"/>
      <c r="AR948" t="inlineStr"/>
      <c r="AS948" t="inlineStr">
        <is>
          <t>Pa</t>
        </is>
      </c>
      <c r="AT948" t="inlineStr"/>
      <c r="AU948" t="inlineStr"/>
      <c r="AV948" t="inlineStr"/>
      <c r="AW948" t="inlineStr"/>
      <c r="AX948" t="inlineStr"/>
      <c r="AY948" t="inlineStr"/>
      <c r="AZ948" t="inlineStr"/>
      <c r="BA948" t="inlineStr"/>
      <c r="BB948" t="inlineStr"/>
      <c r="BC948" t="inlineStr"/>
      <c r="BD948" t="inlineStr"/>
      <c r="BE948" t="inlineStr"/>
      <c r="BF948" t="inlineStr"/>
      <c r="BG948" t="n">
        <v>110</v>
      </c>
      <c r="BH948" t="inlineStr"/>
      <c r="BI948" t="inlineStr"/>
      <c r="BJ948" t="inlineStr"/>
      <c r="BK948" t="inlineStr">
        <is>
          <t>x</t>
        </is>
      </c>
      <c r="BL948" t="inlineStr">
        <is>
          <t>x</t>
        </is>
      </c>
      <c r="BM948" t="inlineStr">
        <is>
          <t>n</t>
        </is>
      </c>
      <c r="BN948" t="n">
        <v>0</v>
      </c>
      <c r="BO948" t="inlineStr"/>
      <c r="BP948" t="inlineStr"/>
      <c r="BQ948" t="inlineStr"/>
      <c r="BR948" t="inlineStr"/>
      <c r="BS948" t="inlineStr"/>
      <c r="BT948" t="inlineStr"/>
      <c r="BU948" t="inlineStr"/>
      <c r="BV948" t="inlineStr"/>
      <c r="BW948" t="inlineStr"/>
      <c r="BX948" t="inlineStr"/>
      <c r="BY948" t="inlineStr"/>
      <c r="BZ948" t="inlineStr"/>
      <c r="CA948" t="inlineStr"/>
      <c r="CB948" t="inlineStr"/>
      <c r="CC948" t="inlineStr"/>
      <c r="CD948" t="inlineStr"/>
      <c r="CE948" t="inlineStr"/>
      <c r="CF948" t="inlineStr"/>
      <c r="CG948" t="inlineStr"/>
      <c r="CH948" t="inlineStr"/>
      <c r="CI948" t="inlineStr"/>
      <c r="CJ948" t="inlineStr"/>
      <c r="CK948" t="inlineStr"/>
      <c r="CL948" t="inlineStr"/>
      <c r="CM948" t="inlineStr"/>
      <c r="CN948" t="inlineStr"/>
      <c r="CO948" t="inlineStr"/>
      <c r="CP948" t="inlineStr"/>
      <c r="CQ948" t="inlineStr"/>
      <c r="CR948" t="inlineStr"/>
      <c r="CS948" t="inlineStr"/>
      <c r="CT948" t="inlineStr"/>
      <c r="CU948" t="inlineStr"/>
      <c r="CV948" t="inlineStr"/>
      <c r="CW948" t="inlineStr"/>
      <c r="CX948" t="inlineStr"/>
      <c r="CY948" t="inlineStr"/>
      <c r="CZ948" t="inlineStr"/>
      <c r="DA948" t="inlineStr"/>
      <c r="DB948" t="inlineStr"/>
      <c r="DC948" t="inlineStr"/>
      <c r="DD948" t="inlineStr"/>
      <c r="DE948" t="inlineStr"/>
      <c r="DF948" t="inlineStr"/>
      <c r="DG948" t="inlineStr"/>
    </row>
    <row r="949">
      <c r="A949" t="inlineStr">
        <is>
          <t>III</t>
        </is>
      </c>
      <c r="B949" t="b">
        <v>1</v>
      </c>
      <c r="C949" t="inlineStr"/>
      <c r="D949" t="inlineStr"/>
      <c r="E949" t="n">
        <v>1042</v>
      </c>
      <c r="F949">
        <f>HYPERLINK("https://portal.dnb.de/opac.htm?method=simpleSearch&amp;cqlMode=true&amp;query=idn%3D1066964343", "Portal")</f>
        <v/>
      </c>
      <c r="G949" t="inlineStr">
        <is>
          <t>Aaf</t>
        </is>
      </c>
      <c r="H949" t="inlineStr">
        <is>
          <t>L-1531-315494573</t>
        </is>
      </c>
      <c r="I949" t="inlineStr">
        <is>
          <t>1066964343</t>
        </is>
      </c>
      <c r="J949" t="inlineStr">
        <is>
          <t>III 104, 16</t>
        </is>
      </c>
      <c r="K949" t="inlineStr">
        <is>
          <t>III 104, 16</t>
        </is>
      </c>
      <c r="L949" t="inlineStr">
        <is>
          <t>III 104, 16</t>
        </is>
      </c>
      <c r="M949" t="inlineStr"/>
      <c r="N949" t="inlineStr">
        <is>
          <t xml:space="preserve">Widder|| den Meuchler|| zu Dresen|| gedr#[ue]ckt.|| Mart. Luther.|| : </t>
        </is>
      </c>
      <c r="O949" t="inlineStr">
        <is>
          <t xml:space="preserve"> : </t>
        </is>
      </c>
      <c r="P949" t="inlineStr"/>
      <c r="Q949" t="inlineStr"/>
      <c r="R949" t="inlineStr"/>
      <c r="S949" t="inlineStr">
        <is>
          <t>bis 25 cm</t>
        </is>
      </c>
      <c r="T949" t="inlineStr"/>
      <c r="U949" t="inlineStr"/>
      <c r="V949" t="inlineStr"/>
      <c r="W949" t="inlineStr"/>
      <c r="X949" t="inlineStr"/>
      <c r="Y949" t="inlineStr"/>
      <c r="Z949" t="inlineStr"/>
      <c r="AA949" t="inlineStr"/>
      <c r="AB949" t="inlineStr"/>
      <c r="AC949" t="inlineStr"/>
      <c r="AD949" t="inlineStr"/>
      <c r="AE949" t="inlineStr"/>
      <c r="AF949" t="inlineStr"/>
      <c r="AG949" t="inlineStr"/>
      <c r="AH949" t="inlineStr"/>
      <c r="AI949" t="inlineStr">
        <is>
          <t>Br</t>
        </is>
      </c>
      <c r="AJ949" t="inlineStr"/>
      <c r="AK949" t="inlineStr"/>
      <c r="AL949" t="inlineStr"/>
      <c r="AM949" t="inlineStr">
        <is>
          <t>f</t>
        </is>
      </c>
      <c r="AN949" t="inlineStr"/>
      <c r="AO949" t="inlineStr"/>
      <c r="AP949" t="inlineStr"/>
      <c r="AQ949" t="inlineStr"/>
      <c r="AR949" t="inlineStr"/>
      <c r="AS949" t="inlineStr">
        <is>
          <t>Pa</t>
        </is>
      </c>
      <c r="AT949" t="inlineStr"/>
      <c r="AU949" t="inlineStr"/>
      <c r="AV949" t="inlineStr"/>
      <c r="AW949" t="inlineStr"/>
      <c r="AX949" t="inlineStr"/>
      <c r="AY949" t="inlineStr"/>
      <c r="AZ949" t="inlineStr"/>
      <c r="BA949" t="inlineStr"/>
      <c r="BB949" t="inlineStr"/>
      <c r="BC949" t="inlineStr"/>
      <c r="BD949" t="inlineStr"/>
      <c r="BE949" t="inlineStr"/>
      <c r="BF949" t="inlineStr"/>
      <c r="BG949" t="n">
        <v>180</v>
      </c>
      <c r="BH949" t="inlineStr"/>
      <c r="BI949" t="inlineStr"/>
      <c r="BJ949" t="inlineStr"/>
      <c r="BK949" t="inlineStr"/>
      <c r="BL949" t="inlineStr"/>
      <c r="BM949" t="inlineStr">
        <is>
          <t>n</t>
        </is>
      </c>
      <c r="BN949" t="n">
        <v>0</v>
      </c>
      <c r="BO949" t="inlineStr"/>
      <c r="BP949" t="inlineStr"/>
      <c r="BQ949" t="inlineStr"/>
      <c r="BR949" t="inlineStr"/>
      <c r="BS949" t="inlineStr"/>
      <c r="BT949" t="inlineStr"/>
      <c r="BU949" t="inlineStr"/>
      <c r="BV949" t="inlineStr"/>
      <c r="BW949" t="inlineStr"/>
      <c r="BX949" t="inlineStr"/>
      <c r="BY949" t="inlineStr"/>
      <c r="BZ949" t="inlineStr"/>
      <c r="CA949" t="inlineStr"/>
      <c r="CB949" t="inlineStr"/>
      <c r="CC949" t="inlineStr"/>
      <c r="CD949" t="inlineStr"/>
      <c r="CE949" t="inlineStr"/>
      <c r="CF949" t="inlineStr"/>
      <c r="CG949" t="inlineStr"/>
      <c r="CH949" t="inlineStr"/>
      <c r="CI949" t="inlineStr"/>
      <c r="CJ949" t="inlineStr"/>
      <c r="CK949" t="inlineStr"/>
      <c r="CL949" t="inlineStr"/>
      <c r="CM949" t="inlineStr"/>
      <c r="CN949" t="inlineStr"/>
      <c r="CO949" t="inlineStr"/>
      <c r="CP949" t="inlineStr"/>
      <c r="CQ949" t="inlineStr"/>
      <c r="CR949" t="inlineStr"/>
      <c r="CS949" t="inlineStr"/>
      <c r="CT949" t="inlineStr"/>
      <c r="CU949" t="inlineStr"/>
      <c r="CV949" t="inlineStr"/>
      <c r="CW949" t="inlineStr"/>
      <c r="CX949" t="inlineStr"/>
      <c r="CY949" t="inlineStr"/>
      <c r="CZ949" t="inlineStr"/>
      <c r="DA949" t="inlineStr"/>
      <c r="DB949" t="inlineStr"/>
      <c r="DC949" t="inlineStr"/>
      <c r="DD949" t="inlineStr"/>
      <c r="DE949" t="inlineStr"/>
      <c r="DF949" t="inlineStr"/>
      <c r="DG949" t="inlineStr"/>
    </row>
    <row r="950">
      <c r="A950" t="inlineStr">
        <is>
          <t>III</t>
        </is>
      </c>
      <c r="B950" t="b">
        <v>1</v>
      </c>
      <c r="C950" t="inlineStr"/>
      <c r="D950" t="inlineStr"/>
      <c r="E950" t="inlineStr"/>
      <c r="F950">
        <f>HYPERLINK("https://portal.dnb.de/opac.htm?method=simpleSearch&amp;cqlMode=true&amp;query=idn%3D1223003582", "Portal")</f>
        <v/>
      </c>
      <c r="G950" t="inlineStr">
        <is>
          <t>Qd</t>
        </is>
      </c>
      <c r="H950" t="inlineStr">
        <is>
          <t>L-1500-704954621</t>
        </is>
      </c>
      <c r="I950" t="inlineStr">
        <is>
          <t>1223003582</t>
        </is>
      </c>
      <c r="J950" t="inlineStr">
        <is>
          <t>III 104, 16 a</t>
        </is>
      </c>
      <c r="K950" t="inlineStr">
        <is>
          <t>III 104, 16 a</t>
        </is>
      </c>
      <c r="L950" t="inlineStr">
        <is>
          <t>III 104, 16 a</t>
        </is>
      </c>
      <c r="M950" t="inlineStr"/>
      <c r="N950" t="inlineStr">
        <is>
          <t xml:space="preserve">Sammelband mit Drucken des 16. Jahrhunderts : </t>
        </is>
      </c>
      <c r="O950" t="inlineStr">
        <is>
          <t xml:space="preserve"> : </t>
        </is>
      </c>
      <c r="P950" t="inlineStr"/>
      <c r="Q950" t="inlineStr"/>
      <c r="R950" t="inlineStr"/>
      <c r="S950" t="inlineStr">
        <is>
          <t>bis 25 cm</t>
        </is>
      </c>
      <c r="T950" t="inlineStr"/>
      <c r="U950" t="inlineStr"/>
      <c r="V950" t="inlineStr"/>
      <c r="W950" t="inlineStr"/>
      <c r="X950" t="inlineStr"/>
      <c r="Y950" t="inlineStr"/>
      <c r="Z950" t="inlineStr"/>
      <c r="AA950" t="inlineStr"/>
      <c r="AB950" t="inlineStr"/>
      <c r="AC950" t="inlineStr"/>
      <c r="AD950" t="inlineStr"/>
      <c r="AE950" t="inlineStr"/>
      <c r="AF950" t="inlineStr"/>
      <c r="AG950" t="inlineStr"/>
      <c r="AH950" t="inlineStr"/>
      <c r="AI950" t="inlineStr">
        <is>
          <t>HD</t>
        </is>
      </c>
      <c r="AJ950" t="inlineStr"/>
      <c r="AK950" t="inlineStr"/>
      <c r="AL950" t="inlineStr"/>
      <c r="AM950" t="inlineStr">
        <is>
          <t>h</t>
        </is>
      </c>
      <c r="AN950" t="inlineStr"/>
      <c r="AO950" t="inlineStr"/>
      <c r="AP950" t="inlineStr"/>
      <c r="AQ950" t="inlineStr"/>
      <c r="AR950" t="inlineStr"/>
      <c r="AS950" t="inlineStr">
        <is>
          <t>Pa</t>
        </is>
      </c>
      <c r="AT950" t="inlineStr"/>
      <c r="AU950" t="inlineStr"/>
      <c r="AV950" t="inlineStr"/>
      <c r="AW950" t="inlineStr"/>
      <c r="AX950" t="inlineStr"/>
      <c r="AY950" t="inlineStr"/>
      <c r="AZ950" t="inlineStr"/>
      <c r="BA950" t="inlineStr"/>
      <c r="BB950" t="inlineStr"/>
      <c r="BC950" t="inlineStr"/>
      <c r="BD950" t="inlineStr"/>
      <c r="BE950" t="inlineStr"/>
      <c r="BF950" t="inlineStr"/>
      <c r="BG950" t="inlineStr">
        <is>
          <t>nur 110</t>
        </is>
      </c>
      <c r="BH950" t="inlineStr"/>
      <c r="BI950" t="inlineStr">
        <is>
          <t>x</t>
        </is>
      </c>
      <c r="BJ950" t="inlineStr">
        <is>
          <t xml:space="preserve">
evtl. Rücken ausfüttern</t>
        </is>
      </c>
      <c r="BK950" t="inlineStr"/>
      <c r="BL950" t="inlineStr"/>
      <c r="BM950" t="inlineStr">
        <is>
          <t>n</t>
        </is>
      </c>
      <c r="BN950" t="n">
        <v>0</v>
      </c>
      <c r="BO950" t="inlineStr"/>
      <c r="BP950" t="inlineStr">
        <is>
          <t>Gewebe</t>
        </is>
      </c>
      <c r="BQ950" t="inlineStr"/>
      <c r="BR950" t="inlineStr"/>
      <c r="BS950" t="inlineStr"/>
      <c r="BT950" t="inlineStr"/>
      <c r="BU950" t="inlineStr"/>
      <c r="BV950" t="inlineStr">
        <is>
          <t>Buch ist stärker beschädigt, aber mit JP notgesichert, daher stabil genug für Digit. --&gt; mit Stephanie besprechen, ob Rest. dennoch erwünscht (dann ws. aber nicht mehr so gut aufzuschlagen); fester Rücken inzwischen hohl</t>
        </is>
      </c>
      <c r="BW950" t="inlineStr">
        <is>
          <t>x nur 110, mit Begleitung</t>
        </is>
      </c>
      <c r="BX950" t="inlineStr"/>
      <c r="BY950" t="inlineStr">
        <is>
          <t>Box (Kassette ist zu klein)</t>
        </is>
      </c>
      <c r="BZ950" t="inlineStr"/>
      <c r="CA950" t="inlineStr"/>
      <c r="CB950" t="inlineStr"/>
      <c r="CC950" t="inlineStr"/>
      <c r="CD950" t="inlineStr"/>
      <c r="CE950" t="inlineStr"/>
      <c r="CF950" t="inlineStr"/>
      <c r="CG950" t="inlineStr"/>
      <c r="CH950" t="inlineStr"/>
      <c r="CI950" t="inlineStr"/>
      <c r="CJ950" t="inlineStr"/>
      <c r="CK950" t="inlineStr"/>
      <c r="CL950" t="inlineStr"/>
      <c r="CM950" t="inlineStr"/>
      <c r="CN950" t="inlineStr"/>
      <c r="CO950" t="inlineStr"/>
      <c r="CP950" t="inlineStr"/>
      <c r="CQ950" t="inlineStr"/>
      <c r="CR950" t="inlineStr"/>
      <c r="CS950" t="inlineStr"/>
      <c r="CT950" t="inlineStr"/>
      <c r="CU950" t="inlineStr"/>
      <c r="CV950" t="inlineStr"/>
      <c r="CW950" t="inlineStr"/>
      <c r="CX950" t="inlineStr"/>
      <c r="CY950" t="inlineStr"/>
      <c r="CZ950" t="inlineStr"/>
      <c r="DA950" t="inlineStr"/>
      <c r="DB950" t="inlineStr"/>
      <c r="DC950" t="inlineStr"/>
      <c r="DD950" t="inlineStr"/>
      <c r="DE950" t="inlineStr"/>
      <c r="DF950" t="inlineStr"/>
      <c r="DG950" t="inlineStr"/>
    </row>
    <row r="951">
      <c r="A951" t="inlineStr">
        <is>
          <t>III</t>
        </is>
      </c>
      <c r="B951" t="b">
        <v>1</v>
      </c>
      <c r="C951" t="inlineStr"/>
      <c r="D951" t="inlineStr"/>
      <c r="E951" t="n">
        <v>1043</v>
      </c>
      <c r="F951">
        <f>HYPERLINK("https://portal.dnb.de/opac.htm?method=simpleSearch&amp;cqlMode=true&amp;query=idn%3D1066958637", "Portal")</f>
        <v/>
      </c>
      <c r="G951" t="inlineStr">
        <is>
          <t>Aaf</t>
        </is>
      </c>
      <c r="H951" t="inlineStr">
        <is>
          <t>L-1531-315489243</t>
        </is>
      </c>
      <c r="I951" t="inlineStr">
        <is>
          <t>1066958637</t>
        </is>
      </c>
      <c r="J951" t="inlineStr">
        <is>
          <t>III 104, 17</t>
        </is>
      </c>
      <c r="K951" t="inlineStr">
        <is>
          <t>III 104, 17</t>
        </is>
      </c>
      <c r="L951" t="inlineStr">
        <is>
          <t>III 104, 17</t>
        </is>
      </c>
      <c r="M951" t="inlineStr"/>
      <c r="N951" t="inlineStr">
        <is>
          <t xml:space="preserve">Warnunge|| D.Martini Lu=||ther/ An seine|| lieben Deud=||schen.|| : </t>
        </is>
      </c>
      <c r="O951" t="inlineStr">
        <is>
          <t xml:space="preserve"> : </t>
        </is>
      </c>
      <c r="P951" t="inlineStr"/>
      <c r="Q951" t="inlineStr"/>
      <c r="R951" t="inlineStr"/>
      <c r="S951" t="inlineStr">
        <is>
          <t>bis 25 cm</t>
        </is>
      </c>
      <c r="T951" t="inlineStr"/>
      <c r="U951" t="inlineStr"/>
      <c r="V951" t="inlineStr"/>
      <c r="W951" t="inlineStr"/>
      <c r="X951" t="inlineStr"/>
      <c r="Y951" t="inlineStr"/>
      <c r="Z951" t="inlineStr"/>
      <c r="AA951" t="inlineStr"/>
      <c r="AB951" t="inlineStr"/>
      <c r="AC951" t="inlineStr"/>
      <c r="AD951" t="inlineStr"/>
      <c r="AE951" t="inlineStr"/>
      <c r="AF951" t="inlineStr"/>
      <c r="AG951" t="inlineStr"/>
      <c r="AH951" t="inlineStr"/>
      <c r="AI951" t="inlineStr">
        <is>
          <t>oE</t>
        </is>
      </c>
      <c r="AJ951" t="inlineStr"/>
      <c r="AK951" t="inlineStr"/>
      <c r="AL951" t="inlineStr"/>
      <c r="AM951" t="inlineStr"/>
      <c r="AN951" t="inlineStr"/>
      <c r="AO951" t="inlineStr"/>
      <c r="AP951" t="inlineStr"/>
      <c r="AQ951" t="inlineStr"/>
      <c r="AR951" t="inlineStr"/>
      <c r="AS951" t="inlineStr">
        <is>
          <t>Pa</t>
        </is>
      </c>
      <c r="AT951" t="inlineStr"/>
      <c r="AU951" t="inlineStr"/>
      <c r="AV951" t="inlineStr"/>
      <c r="AW951" t="inlineStr"/>
      <c r="AX951" t="inlineStr"/>
      <c r="AY951" t="inlineStr"/>
      <c r="AZ951" t="inlineStr"/>
      <c r="BA951" t="inlineStr"/>
      <c r="BB951" t="inlineStr"/>
      <c r="BC951" t="inlineStr"/>
      <c r="BD951" t="inlineStr"/>
      <c r="BE951" t="inlineStr"/>
      <c r="BF951" t="inlineStr"/>
      <c r="BG951" t="inlineStr">
        <is>
          <t>nur 110</t>
        </is>
      </c>
      <c r="BH951" t="inlineStr"/>
      <c r="BI951" t="inlineStr"/>
      <c r="BJ951" t="inlineStr"/>
      <c r="BK951" t="inlineStr"/>
      <c r="BL951" t="inlineStr"/>
      <c r="BM951" t="inlineStr">
        <is>
          <t>n</t>
        </is>
      </c>
      <c r="BN951" t="n">
        <v>0</v>
      </c>
      <c r="BO951" t="inlineStr"/>
      <c r="BP951" t="inlineStr">
        <is>
          <t>Gewebe</t>
        </is>
      </c>
      <c r="BQ951" t="inlineStr"/>
      <c r="BR951" t="inlineStr"/>
      <c r="BS951" t="inlineStr"/>
      <c r="BT951" t="inlineStr"/>
      <c r="BU951" t="inlineStr"/>
      <c r="BV951" t="inlineStr">
        <is>
          <t>Einband liegt der Kassette bei</t>
        </is>
      </c>
      <c r="BW951" t="inlineStr"/>
      <c r="BX951" t="inlineStr"/>
      <c r="BY951" t="inlineStr"/>
      <c r="BZ951" t="inlineStr"/>
      <c r="CA951" t="inlineStr"/>
      <c r="CB951" t="inlineStr"/>
      <c r="CC951" t="inlineStr"/>
      <c r="CD951" t="inlineStr"/>
      <c r="CE951" t="inlineStr"/>
      <c r="CF951" t="inlineStr"/>
      <c r="CG951" t="inlineStr"/>
      <c r="CH951" t="inlineStr"/>
      <c r="CI951" t="inlineStr"/>
      <c r="CJ951" t="inlineStr"/>
      <c r="CK951" t="inlineStr"/>
      <c r="CL951" t="inlineStr"/>
      <c r="CM951" t="inlineStr"/>
      <c r="CN951" t="inlineStr"/>
      <c r="CO951" t="inlineStr"/>
      <c r="CP951" t="inlineStr"/>
      <c r="CQ951" t="inlineStr"/>
      <c r="CR951" t="inlineStr"/>
      <c r="CS951" t="inlineStr"/>
      <c r="CT951" t="inlineStr"/>
      <c r="CU951" t="inlineStr"/>
      <c r="CV951" t="inlineStr"/>
      <c r="CW951" t="inlineStr"/>
      <c r="CX951" t="inlineStr"/>
      <c r="CY951" t="inlineStr"/>
      <c r="CZ951" t="inlineStr"/>
      <c r="DA951" t="inlineStr"/>
      <c r="DB951" t="inlineStr"/>
      <c r="DC951" t="inlineStr"/>
      <c r="DD951" t="inlineStr"/>
      <c r="DE951" t="inlineStr"/>
      <c r="DF951" t="inlineStr"/>
      <c r="DG951" t="inlineStr"/>
    </row>
    <row r="952">
      <c r="A952" t="inlineStr">
        <is>
          <t>III</t>
        </is>
      </c>
      <c r="B952" t="b">
        <v>1</v>
      </c>
      <c r="C952" t="inlineStr"/>
      <c r="D952" t="inlineStr"/>
      <c r="E952" t="n">
        <v>1044</v>
      </c>
      <c r="F952">
        <f>HYPERLINK("https://portal.dnb.de/opac.htm?method=simpleSearch&amp;cqlMode=true&amp;query=idn%3D1066848564", "Portal")</f>
        <v/>
      </c>
      <c r="G952" t="inlineStr">
        <is>
          <t>Aaf</t>
        </is>
      </c>
      <c r="H952" t="inlineStr">
        <is>
          <t>L-1532-315307668</t>
        </is>
      </c>
      <c r="I952" t="inlineStr">
        <is>
          <t>1066848564</t>
        </is>
      </c>
      <c r="J952" t="inlineStr">
        <is>
          <t>III 104, 18</t>
        </is>
      </c>
      <c r="K952" t="inlineStr">
        <is>
          <t>III 104, 18</t>
        </is>
      </c>
      <c r="L952" t="inlineStr">
        <is>
          <t>III 104, 18</t>
        </is>
      </c>
      <c r="M952" t="inlineStr"/>
      <c r="N952" t="inlineStr">
        <is>
          <t xml:space="preserve">Die @Propheten alle Deudsch. : </t>
        </is>
      </c>
      <c r="O952" t="inlineStr">
        <is>
          <t xml:space="preserve"> : </t>
        </is>
      </c>
      <c r="P952" t="inlineStr"/>
      <c r="Q952" t="inlineStr"/>
      <c r="R952" t="inlineStr"/>
      <c r="S952" t="inlineStr">
        <is>
          <t>bis 35 cm</t>
        </is>
      </c>
      <c r="T952" t="inlineStr"/>
      <c r="U952" t="inlineStr"/>
      <c r="V952" t="inlineStr"/>
      <c r="W952" t="inlineStr"/>
      <c r="X952" t="inlineStr"/>
      <c r="Y952" t="inlineStr"/>
      <c r="Z952" t="inlineStr"/>
      <c r="AA952" t="inlineStr"/>
      <c r="AB952" t="inlineStr"/>
      <c r="AC952" t="inlineStr"/>
      <c r="AD952" t="inlineStr"/>
      <c r="AE952" t="inlineStr"/>
      <c r="AF952" t="inlineStr"/>
      <c r="AG952" t="inlineStr"/>
      <c r="AH952" t="inlineStr"/>
      <c r="AI952" t="inlineStr">
        <is>
          <t>L</t>
        </is>
      </c>
      <c r="AJ952" t="inlineStr"/>
      <c r="AK952" t="inlineStr">
        <is>
          <t>x</t>
        </is>
      </c>
      <c r="AL952" t="inlineStr"/>
      <c r="AM952" t="inlineStr">
        <is>
          <t>h/E</t>
        </is>
      </c>
      <c r="AN952" t="inlineStr"/>
      <c r="AO952" t="inlineStr"/>
      <c r="AP952" t="inlineStr"/>
      <c r="AQ952" t="inlineStr"/>
      <c r="AR952" t="inlineStr"/>
      <c r="AS952" t="inlineStr">
        <is>
          <t>Pa</t>
        </is>
      </c>
      <c r="AT952" t="inlineStr"/>
      <c r="AU952" t="inlineStr"/>
      <c r="AV952" t="inlineStr"/>
      <c r="AW952" t="inlineStr"/>
      <c r="AX952" t="inlineStr"/>
      <c r="AY952" t="inlineStr"/>
      <c r="AZ952" t="inlineStr"/>
      <c r="BA952" t="inlineStr"/>
      <c r="BB952" t="inlineStr"/>
      <c r="BC952" t="inlineStr"/>
      <c r="BD952" t="inlineStr"/>
      <c r="BE952" t="inlineStr"/>
      <c r="BF952" t="inlineStr"/>
      <c r="BG952" t="n">
        <v>110</v>
      </c>
      <c r="BH952" t="inlineStr"/>
      <c r="BI952" t="inlineStr"/>
      <c r="BJ952" t="inlineStr"/>
      <c r="BK952" t="inlineStr"/>
      <c r="BL952" t="inlineStr"/>
      <c r="BM952" t="inlineStr">
        <is>
          <t>n</t>
        </is>
      </c>
      <c r="BN952" t="n">
        <v>0</v>
      </c>
      <c r="BO952" t="inlineStr"/>
      <c r="BP952" t="inlineStr"/>
      <c r="BQ952" t="inlineStr"/>
      <c r="BR952" t="inlineStr">
        <is>
          <t>x</t>
        </is>
      </c>
      <c r="BS952" t="inlineStr"/>
      <c r="BT952" t="inlineStr"/>
      <c r="BU952" t="inlineStr"/>
      <c r="BV952" t="inlineStr"/>
      <c r="BW952" t="inlineStr"/>
      <c r="BX952" t="inlineStr"/>
      <c r="BY952" t="inlineStr"/>
      <c r="BZ952" t="inlineStr"/>
      <c r="CA952" t="inlineStr"/>
      <c r="CB952" t="inlineStr"/>
      <c r="CC952" t="inlineStr"/>
      <c r="CD952" t="inlineStr"/>
      <c r="CE952" t="inlineStr"/>
      <c r="CF952" t="inlineStr"/>
      <c r="CG952" t="inlineStr"/>
      <c r="CH952" t="inlineStr"/>
      <c r="CI952" t="inlineStr"/>
      <c r="CJ952" t="inlineStr"/>
      <c r="CK952" t="inlineStr"/>
      <c r="CL952" t="inlineStr"/>
      <c r="CM952" t="inlineStr"/>
      <c r="CN952" t="inlineStr"/>
      <c r="CO952" t="inlineStr"/>
      <c r="CP952" t="inlineStr"/>
      <c r="CQ952" t="inlineStr"/>
      <c r="CR952" t="inlineStr"/>
      <c r="CS952" t="inlineStr"/>
      <c r="CT952" t="inlineStr"/>
      <c r="CU952" t="inlineStr"/>
      <c r="CV952" t="inlineStr"/>
      <c r="CW952" t="inlineStr"/>
      <c r="CX952" t="inlineStr"/>
      <c r="CY952" t="inlineStr"/>
      <c r="CZ952" t="inlineStr"/>
      <c r="DA952" t="inlineStr"/>
      <c r="DB952" t="inlineStr"/>
      <c r="DC952" t="inlineStr"/>
      <c r="DD952" t="inlineStr"/>
      <c r="DE952" t="inlineStr"/>
      <c r="DF952" t="inlineStr"/>
      <c r="DG952" t="inlineStr"/>
    </row>
    <row r="953">
      <c r="A953" t="inlineStr">
        <is>
          <t>III</t>
        </is>
      </c>
      <c r="B953" t="b">
        <v>1</v>
      </c>
      <c r="C953" t="inlineStr"/>
      <c r="D953" t="inlineStr"/>
      <c r="E953" t="n">
        <v>1081</v>
      </c>
      <c r="F953">
        <f>HYPERLINK("https://portal.dnb.de/opac.htm?method=simpleSearch&amp;cqlMode=true&amp;query=idn%3D998890197", "Portal")</f>
        <v/>
      </c>
      <c r="G953" t="inlineStr">
        <is>
          <t>Aal</t>
        </is>
      </c>
      <c r="H953" t="inlineStr">
        <is>
          <t>L-1536-167113534</t>
        </is>
      </c>
      <c r="I953" t="inlineStr">
        <is>
          <t>998890197</t>
        </is>
      </c>
      <c r="J953" t="inlineStr">
        <is>
          <t>III 104, 18a</t>
        </is>
      </c>
      <c r="K953" t="inlineStr">
        <is>
          <t>III 104, 18a</t>
        </is>
      </c>
      <c r="L953" t="inlineStr">
        <is>
          <t>III 104, 18 a</t>
        </is>
      </c>
      <c r="M953" t="inlineStr"/>
      <c r="N953" t="inlineStr">
        <is>
          <t xml:space="preserve">[Zwo|| Hochzeit|| Predigten|| D.|| Mar.|| Luther|| Wittemberg.|| 1536] : </t>
        </is>
      </c>
      <c r="O953" t="inlineStr">
        <is>
          <t xml:space="preserve"> : </t>
        </is>
      </c>
      <c r="P953" t="inlineStr"/>
      <c r="Q953" t="inlineStr"/>
      <c r="R953" t="inlineStr"/>
      <c r="S953" t="inlineStr">
        <is>
          <t>bis 25 cm</t>
        </is>
      </c>
      <c r="T953" t="inlineStr"/>
      <c r="U953" t="inlineStr"/>
      <c r="V953" t="inlineStr"/>
      <c r="W953" t="inlineStr"/>
      <c r="X953" t="inlineStr"/>
      <c r="Y953" t="inlineStr"/>
      <c r="Z953" t="inlineStr"/>
      <c r="AA953" t="inlineStr"/>
      <c r="AB953" t="inlineStr"/>
      <c r="AC953" t="inlineStr"/>
      <c r="AD953" t="inlineStr"/>
      <c r="AE953" t="inlineStr"/>
      <c r="AF953" t="inlineStr"/>
      <c r="AG953" t="inlineStr"/>
      <c r="AH953" t="inlineStr"/>
      <c r="AI953" t="inlineStr">
        <is>
          <t>HPg</t>
        </is>
      </c>
      <c r="AJ953" t="inlineStr"/>
      <c r="AK953" t="inlineStr"/>
      <c r="AL953" t="inlineStr"/>
      <c r="AM953" t="inlineStr">
        <is>
          <t>h/E</t>
        </is>
      </c>
      <c r="AN953" t="inlineStr"/>
      <c r="AO953" t="inlineStr"/>
      <c r="AP953" t="inlineStr"/>
      <c r="AQ953" t="inlineStr"/>
      <c r="AR953" t="inlineStr"/>
      <c r="AS953" t="inlineStr">
        <is>
          <t>Pa</t>
        </is>
      </c>
      <c r="AT953" t="inlineStr"/>
      <c r="AU953" t="inlineStr"/>
      <c r="AV953" t="inlineStr"/>
      <c r="AW953" t="inlineStr"/>
      <c r="AX953" t="inlineStr"/>
      <c r="AY953" t="inlineStr"/>
      <c r="AZ953" t="inlineStr"/>
      <c r="BA953" t="inlineStr"/>
      <c r="BB953" t="inlineStr"/>
      <c r="BC953" t="inlineStr"/>
      <c r="BD953" t="inlineStr"/>
      <c r="BE953" t="inlineStr"/>
      <c r="BF953" t="inlineStr"/>
      <c r="BG953" t="n">
        <v>110</v>
      </c>
      <c r="BH953" t="inlineStr"/>
      <c r="BI953" t="inlineStr"/>
      <c r="BJ953" t="inlineStr"/>
      <c r="BK953" t="inlineStr">
        <is>
          <t>x</t>
        </is>
      </c>
      <c r="BL953" t="inlineStr">
        <is>
          <t>x</t>
        </is>
      </c>
      <c r="BM953" t="inlineStr">
        <is>
          <t>n</t>
        </is>
      </c>
      <c r="BN953" t="n">
        <v>0</v>
      </c>
      <c r="BO953" t="inlineStr"/>
      <c r="BP953" t="inlineStr"/>
      <c r="BQ953" t="inlineStr"/>
      <c r="BR953" t="inlineStr"/>
      <c r="BS953" t="inlineStr"/>
      <c r="BT953" t="inlineStr"/>
      <c r="BU953" t="inlineStr"/>
      <c r="BV953" t="inlineStr"/>
      <c r="BW953" t="inlineStr"/>
      <c r="BX953" t="inlineStr"/>
      <c r="BY953" t="inlineStr"/>
      <c r="BZ953" t="inlineStr"/>
      <c r="CA953" t="inlineStr"/>
      <c r="CB953" t="inlineStr"/>
      <c r="CC953" t="inlineStr"/>
      <c r="CD953" t="inlineStr"/>
      <c r="CE953" t="inlineStr"/>
      <c r="CF953" t="inlineStr"/>
      <c r="CG953" t="inlineStr"/>
      <c r="CH953" t="inlineStr"/>
      <c r="CI953" t="inlineStr"/>
      <c r="CJ953" t="inlineStr"/>
      <c r="CK953" t="inlineStr"/>
      <c r="CL953" t="inlineStr"/>
      <c r="CM953" t="inlineStr"/>
      <c r="CN953" t="inlineStr"/>
      <c r="CO953" t="inlineStr"/>
      <c r="CP953" t="inlineStr"/>
      <c r="CQ953" t="inlineStr"/>
      <c r="CR953" t="inlineStr"/>
      <c r="CS953" t="inlineStr"/>
      <c r="CT953" t="inlineStr"/>
      <c r="CU953" t="inlineStr"/>
      <c r="CV953" t="inlineStr"/>
      <c r="CW953" t="inlineStr"/>
      <c r="CX953" t="inlineStr"/>
      <c r="CY953" t="inlineStr"/>
      <c r="CZ953" t="inlineStr"/>
      <c r="DA953" t="inlineStr"/>
      <c r="DB953" t="inlineStr"/>
      <c r="DC953" t="inlineStr"/>
      <c r="DD953" t="inlineStr"/>
      <c r="DE953" t="inlineStr"/>
      <c r="DF953" t="inlineStr"/>
      <c r="DG953" t="inlineStr"/>
    </row>
    <row r="954">
      <c r="A954" t="inlineStr">
        <is>
          <t>III</t>
        </is>
      </c>
      <c r="B954" t="b">
        <v>1</v>
      </c>
      <c r="C954" t="inlineStr"/>
      <c r="D954" t="inlineStr"/>
      <c r="E954" t="n">
        <v>1082</v>
      </c>
      <c r="F954">
        <f>HYPERLINK("https://portal.dnb.de/opac.htm?method=simpleSearch&amp;cqlMode=true&amp;query=idn%3D999336967", "Portal")</f>
        <v/>
      </c>
      <c r="G954" t="inlineStr">
        <is>
          <t>Aal</t>
        </is>
      </c>
      <c r="H954" t="inlineStr">
        <is>
          <t>L-1536-167934902</t>
        </is>
      </c>
      <c r="I954" t="inlineStr">
        <is>
          <t>999336967</t>
        </is>
      </c>
      <c r="J954" t="inlineStr">
        <is>
          <t>III 104, 18 b</t>
        </is>
      </c>
      <c r="K954" t="inlineStr">
        <is>
          <t>III 104, 18 b</t>
        </is>
      </c>
      <c r="L954" t="inlineStr">
        <is>
          <t>III 104, 18 b</t>
        </is>
      </c>
      <c r="M954" t="inlineStr"/>
      <c r="N954" t="inlineStr">
        <is>
          <t xml:space="preserve">[Der @XXIX|| Psalm Dauids von|| der gewalt der stimme Gottes,|| jnn den lüfften, An die hohen Re||genten, Sampt etlichen schreck||lichen vngewittern, </t>
        </is>
      </c>
      <c r="O954" t="inlineStr">
        <is>
          <t xml:space="preserve"> : </t>
        </is>
      </c>
      <c r="P954" t="inlineStr"/>
      <c r="Q954" t="inlineStr"/>
      <c r="R954" t="inlineStr"/>
      <c r="S954" t="inlineStr">
        <is>
          <t>bis 25 cm</t>
        </is>
      </c>
      <c r="T954" t="inlineStr"/>
      <c r="U954" t="inlineStr"/>
      <c r="V954" t="inlineStr"/>
      <c r="W954" t="inlineStr"/>
      <c r="X954" t="inlineStr"/>
      <c r="Y954" t="inlineStr"/>
      <c r="Z954" t="inlineStr"/>
      <c r="AA954" t="inlineStr"/>
      <c r="AB954" t="inlineStr"/>
      <c r="AC954" t="inlineStr"/>
      <c r="AD954" t="inlineStr"/>
      <c r="AE954" t="inlineStr"/>
      <c r="AF954" t="inlineStr"/>
      <c r="AG954" t="inlineStr"/>
      <c r="AH954" t="inlineStr"/>
      <c r="AI954" t="inlineStr">
        <is>
          <t>HD</t>
        </is>
      </c>
      <c r="AJ954" t="inlineStr"/>
      <c r="AK954" t="inlineStr"/>
      <c r="AL954" t="inlineStr">
        <is>
          <t>x</t>
        </is>
      </c>
      <c r="AM954" t="inlineStr">
        <is>
          <t>f</t>
        </is>
      </c>
      <c r="AN954" t="inlineStr"/>
      <c r="AO954" t="inlineStr"/>
      <c r="AP954" t="inlineStr"/>
      <c r="AQ954" t="inlineStr"/>
      <c r="AR954" t="inlineStr"/>
      <c r="AS954" t="inlineStr">
        <is>
          <t>Pa</t>
        </is>
      </c>
      <c r="AT954" t="inlineStr"/>
      <c r="AU954" t="inlineStr"/>
      <c r="AV954" t="inlineStr"/>
      <c r="AW954" t="inlineStr"/>
      <c r="AX954" t="inlineStr"/>
      <c r="AY954" t="inlineStr"/>
      <c r="AZ954" t="inlineStr"/>
      <c r="BA954" t="inlineStr"/>
      <c r="BB954" t="inlineStr"/>
      <c r="BC954" t="inlineStr"/>
      <c r="BD954" t="inlineStr"/>
      <c r="BE954" t="inlineStr"/>
      <c r="BF954" t="inlineStr"/>
      <c r="BG954" t="n">
        <v>110</v>
      </c>
      <c r="BH954" t="inlineStr"/>
      <c r="BI954" t="inlineStr"/>
      <c r="BJ954" t="inlineStr"/>
      <c r="BK954" t="inlineStr">
        <is>
          <t>x</t>
        </is>
      </c>
      <c r="BL954" t="inlineStr">
        <is>
          <t>x</t>
        </is>
      </c>
      <c r="BM954" t="inlineStr">
        <is>
          <t>n</t>
        </is>
      </c>
      <c r="BN954" t="n">
        <v>0</v>
      </c>
      <c r="BO954" t="inlineStr"/>
      <c r="BP954" t="inlineStr"/>
      <c r="BQ954" t="inlineStr"/>
      <c r="BR954" t="inlineStr"/>
      <c r="BS954" t="inlineStr">
        <is>
          <t>x</t>
        </is>
      </c>
      <c r="BT954" t="inlineStr"/>
      <c r="BU954" t="inlineStr"/>
      <c r="BV954" t="inlineStr"/>
      <c r="BW954" t="inlineStr"/>
      <c r="BX954" t="inlineStr"/>
      <c r="BY954" t="inlineStr"/>
      <c r="BZ954" t="inlineStr"/>
      <c r="CA954" t="inlineStr"/>
      <c r="CB954" t="inlineStr"/>
      <c r="CC954" t="inlineStr"/>
      <c r="CD954" t="inlineStr"/>
      <c r="CE954" t="inlineStr"/>
      <c r="CF954" t="inlineStr"/>
      <c r="CG954" t="inlineStr"/>
      <c r="CH954" t="inlineStr"/>
      <c r="CI954" t="inlineStr"/>
      <c r="CJ954" t="inlineStr"/>
      <c r="CK954" t="inlineStr"/>
      <c r="CL954" t="inlineStr"/>
      <c r="CM954" t="inlineStr"/>
      <c r="CN954" t="inlineStr"/>
      <c r="CO954" t="inlineStr"/>
      <c r="CP954" t="inlineStr"/>
      <c r="CQ954" t="inlineStr"/>
      <c r="CR954" t="inlineStr"/>
      <c r="CS954" t="inlineStr"/>
      <c r="CT954" t="inlineStr"/>
      <c r="CU954" t="inlineStr"/>
      <c r="CV954" t="inlineStr"/>
      <c r="CW954" t="inlineStr"/>
      <c r="CX954" t="inlineStr"/>
      <c r="CY954" t="inlineStr"/>
      <c r="CZ954" t="inlineStr"/>
      <c r="DA954" t="inlineStr"/>
      <c r="DB954" t="inlineStr"/>
      <c r="DC954" t="inlineStr"/>
      <c r="DD954" t="inlineStr"/>
      <c r="DE954" t="inlineStr"/>
      <c r="DF954" t="inlineStr"/>
      <c r="DG954" t="inlineStr"/>
    </row>
    <row r="955">
      <c r="A955" t="inlineStr">
        <is>
          <t>III</t>
        </is>
      </c>
      <c r="B955" t="b">
        <v>1</v>
      </c>
      <c r="C955" t="inlineStr"/>
      <c r="D955" t="inlineStr"/>
      <c r="E955" t="inlineStr"/>
      <c r="F955">
        <f>HYPERLINK("https://portal.dnb.de/opac.htm?method=simpleSearch&amp;cqlMode=true&amp;query=idn%3D1138311278", "Portal")</f>
        <v/>
      </c>
      <c r="G955" t="inlineStr">
        <is>
          <t>Qd</t>
        </is>
      </c>
      <c r="H955" t="inlineStr">
        <is>
          <t>L-9999-41482752X</t>
        </is>
      </c>
      <c r="I955" t="inlineStr">
        <is>
          <t>1138311278</t>
        </is>
      </c>
      <c r="J955" t="inlineStr">
        <is>
          <t>III 104, 19</t>
        </is>
      </c>
      <c r="K955" t="inlineStr">
        <is>
          <t>III 104, 19</t>
        </is>
      </c>
      <c r="L955" t="inlineStr">
        <is>
          <t>III 104, 19</t>
        </is>
      </c>
      <c r="M955" t="inlineStr"/>
      <c r="N955" t="inlineStr">
        <is>
          <t xml:space="preserve">Sammelband mit "Füllmaterial" : </t>
        </is>
      </c>
      <c r="O955" t="inlineStr">
        <is>
          <t xml:space="preserve"> : </t>
        </is>
      </c>
      <c r="P955" t="inlineStr"/>
      <c r="Q955" t="inlineStr"/>
      <c r="R955" t="inlineStr"/>
      <c r="S955" t="inlineStr">
        <is>
          <t>bis 25 cm</t>
        </is>
      </c>
      <c r="T955" t="inlineStr"/>
      <c r="U955" t="inlineStr"/>
      <c r="V955" t="inlineStr"/>
      <c r="W955" t="inlineStr"/>
      <c r="X955" t="inlineStr"/>
      <c r="Y955" t="inlineStr"/>
      <c r="Z955" t="inlineStr"/>
      <c r="AA955" t="inlineStr"/>
      <c r="AB955" t="inlineStr"/>
      <c r="AC955" t="inlineStr"/>
      <c r="AD955" t="inlineStr"/>
      <c r="AE955" t="inlineStr"/>
      <c r="AF955" t="inlineStr"/>
      <c r="AG955" t="inlineStr"/>
      <c r="AH955" t="inlineStr"/>
      <c r="AI955" t="inlineStr">
        <is>
          <t>G</t>
        </is>
      </c>
      <c r="AJ955" t="inlineStr"/>
      <c r="AK955" t="inlineStr">
        <is>
          <t>x</t>
        </is>
      </c>
      <c r="AL955" t="inlineStr"/>
      <c r="AM955" t="inlineStr">
        <is>
          <t>h/E</t>
        </is>
      </c>
      <c r="AN955" t="inlineStr"/>
      <c r="AO955" t="inlineStr"/>
      <c r="AP955" t="inlineStr"/>
      <c r="AQ955" t="inlineStr"/>
      <c r="AR955" t="inlineStr"/>
      <c r="AS955" t="inlineStr">
        <is>
          <t>Pa</t>
        </is>
      </c>
      <c r="AT955" t="inlineStr"/>
      <c r="AU955" t="inlineStr"/>
      <c r="AV955" t="inlineStr"/>
      <c r="AW955" t="inlineStr"/>
      <c r="AX955" t="inlineStr"/>
      <c r="AY955" t="inlineStr"/>
      <c r="AZ955" t="inlineStr"/>
      <c r="BA955" t="inlineStr"/>
      <c r="BB955" t="inlineStr"/>
      <c r="BC955" t="inlineStr"/>
      <c r="BD955" t="inlineStr"/>
      <c r="BE955" t="inlineStr"/>
      <c r="BF955" t="inlineStr"/>
      <c r="BG955" t="n">
        <v>110</v>
      </c>
      <c r="BH955" t="inlineStr"/>
      <c r="BI955" t="inlineStr"/>
      <c r="BJ955" t="inlineStr"/>
      <c r="BK955" t="inlineStr"/>
      <c r="BL955" t="inlineStr"/>
      <c r="BM955" t="inlineStr">
        <is>
          <t>n</t>
        </is>
      </c>
      <c r="BN955" t="n">
        <v>0</v>
      </c>
      <c r="BO955" t="inlineStr"/>
      <c r="BP955" t="inlineStr"/>
      <c r="BQ955" t="inlineStr"/>
      <c r="BR955" t="inlineStr"/>
      <c r="BS955" t="inlineStr"/>
      <c r="BT955" t="inlineStr"/>
      <c r="BU955" t="inlineStr"/>
      <c r="BV955" t="inlineStr"/>
      <c r="BW955" t="inlineStr"/>
      <c r="BX955" t="inlineStr"/>
      <c r="BY955" t="inlineStr"/>
      <c r="BZ955" t="inlineStr"/>
      <c r="CA955" t="inlineStr"/>
      <c r="CB955" t="inlineStr"/>
      <c r="CC955" t="inlineStr"/>
      <c r="CD955" t="inlineStr"/>
      <c r="CE955" t="inlineStr"/>
      <c r="CF955" t="inlineStr"/>
      <c r="CG955" t="inlineStr"/>
      <c r="CH955" t="inlineStr"/>
      <c r="CI955" t="inlineStr"/>
      <c r="CJ955" t="inlineStr"/>
      <c r="CK955" t="inlineStr"/>
      <c r="CL955" t="inlineStr"/>
      <c r="CM955" t="inlineStr"/>
      <c r="CN955" t="inlineStr"/>
      <c r="CO955" t="inlineStr"/>
      <c r="CP955" t="inlineStr"/>
      <c r="CQ955" t="inlineStr"/>
      <c r="CR955" t="inlineStr"/>
      <c r="CS955" t="inlineStr"/>
      <c r="CT955" t="inlineStr"/>
      <c r="CU955" t="inlineStr"/>
      <c r="CV955" t="inlineStr"/>
      <c r="CW955" t="inlineStr"/>
      <c r="CX955" t="inlineStr"/>
      <c r="CY955" t="inlineStr"/>
      <c r="CZ955" t="inlineStr"/>
      <c r="DA955" t="inlineStr"/>
      <c r="DB955" t="inlineStr"/>
      <c r="DC955" t="inlineStr"/>
      <c r="DD955" t="inlineStr"/>
      <c r="DE955" t="inlineStr"/>
      <c r="DF955" t="inlineStr"/>
      <c r="DG955" t="inlineStr"/>
    </row>
    <row r="956">
      <c r="A956" t="inlineStr">
        <is>
          <t>III</t>
        </is>
      </c>
      <c r="B956" t="b">
        <v>1</v>
      </c>
      <c r="C956" t="inlineStr"/>
      <c r="D956" t="inlineStr"/>
      <c r="E956" t="n">
        <v>1085</v>
      </c>
      <c r="F956">
        <f>HYPERLINK("https://portal.dnb.de/opac.htm?method=simpleSearch&amp;cqlMode=true&amp;query=idn%3D995384096", "Portal")</f>
        <v/>
      </c>
      <c r="G956" t="inlineStr">
        <is>
          <t>Aal</t>
        </is>
      </c>
      <c r="H956" t="inlineStr">
        <is>
          <t>L-1537-159443032</t>
        </is>
      </c>
      <c r="I956" t="inlineStr">
        <is>
          <t>995384096</t>
        </is>
      </c>
      <c r="J956" t="inlineStr">
        <is>
          <t>III 104, 19a</t>
        </is>
      </c>
      <c r="K956" t="inlineStr">
        <is>
          <t>III 104, 19a</t>
        </is>
      </c>
      <c r="L956" t="inlineStr">
        <is>
          <t>III 104, 19 a</t>
        </is>
      </c>
      <c r="M956" t="inlineStr"/>
      <c r="N956" t="inlineStr">
        <is>
          <t>Ein @Christliche erin||nerung vnd Vor||rede, vor der Lateischen|| Bibel, erstlich zu Paris jnn|| Franckreich, vnd folgend zu Antorff|| jnn Braband ged</t>
        </is>
      </c>
      <c r="O956" t="inlineStr">
        <is>
          <t xml:space="preserve"> : </t>
        </is>
      </c>
      <c r="P956" t="inlineStr"/>
      <c r="Q956" t="inlineStr"/>
      <c r="R956" t="inlineStr"/>
      <c r="S956" t="inlineStr">
        <is>
          <t>bis 25 cm</t>
        </is>
      </c>
      <c r="T956" t="inlineStr"/>
      <c r="U956" t="inlineStr"/>
      <c r="V956" t="inlineStr"/>
      <c r="W956" t="inlineStr"/>
      <c r="X956" t="inlineStr"/>
      <c r="Y956" t="inlineStr"/>
      <c r="Z956" t="inlineStr"/>
      <c r="AA956" t="inlineStr"/>
      <c r="AB956" t="inlineStr"/>
      <c r="AC956" t="inlineStr"/>
      <c r="AD956" t="inlineStr"/>
      <c r="AE956" t="inlineStr"/>
      <c r="AF956" t="inlineStr"/>
      <c r="AG956" t="inlineStr"/>
      <c r="AH956" t="inlineStr"/>
      <c r="AI956" t="inlineStr">
        <is>
          <t>HPg</t>
        </is>
      </c>
      <c r="AJ956" t="inlineStr"/>
      <c r="AK956" t="inlineStr"/>
      <c r="AL956" t="inlineStr"/>
      <c r="AM956" t="inlineStr">
        <is>
          <t>h/E</t>
        </is>
      </c>
      <c r="AN956" t="inlineStr"/>
      <c r="AO956" t="inlineStr"/>
      <c r="AP956" t="inlineStr"/>
      <c r="AQ956" t="inlineStr"/>
      <c r="AR956" t="inlineStr"/>
      <c r="AS956" t="inlineStr">
        <is>
          <t>Pa</t>
        </is>
      </c>
      <c r="AT956" t="inlineStr"/>
      <c r="AU956" t="inlineStr"/>
      <c r="AV956" t="inlineStr"/>
      <c r="AW956" t="inlineStr"/>
      <c r="AX956" t="inlineStr"/>
      <c r="AY956" t="inlineStr"/>
      <c r="AZ956" t="inlineStr"/>
      <c r="BA956" t="inlineStr"/>
      <c r="BB956" t="inlineStr"/>
      <c r="BC956" t="inlineStr"/>
      <c r="BD956" t="inlineStr"/>
      <c r="BE956" t="inlineStr"/>
      <c r="BF956" t="inlineStr"/>
      <c r="BG956" t="n">
        <v>110</v>
      </c>
      <c r="BH956" t="inlineStr"/>
      <c r="BI956" t="inlineStr"/>
      <c r="BJ956" t="inlineStr"/>
      <c r="BK956" t="inlineStr">
        <is>
          <t>x</t>
        </is>
      </c>
      <c r="BL956" t="inlineStr">
        <is>
          <t>x</t>
        </is>
      </c>
      <c r="BM956" t="inlineStr">
        <is>
          <t>n</t>
        </is>
      </c>
      <c r="BN956" t="n">
        <v>0</v>
      </c>
      <c r="BO956" t="inlineStr"/>
      <c r="BP956" t="inlineStr"/>
      <c r="BQ956" t="inlineStr"/>
      <c r="BR956" t="inlineStr"/>
      <c r="BS956" t="inlineStr"/>
      <c r="BT956" t="inlineStr"/>
      <c r="BU956" t="inlineStr"/>
      <c r="BV956" t="inlineStr"/>
      <c r="BW956" t="inlineStr"/>
      <c r="BX956" t="inlineStr"/>
      <c r="BY956" t="inlineStr"/>
      <c r="BZ956" t="inlineStr"/>
      <c r="CA956" t="inlineStr"/>
      <c r="CB956" t="inlineStr"/>
      <c r="CC956" t="inlineStr"/>
      <c r="CD956" t="inlineStr"/>
      <c r="CE956" t="inlineStr"/>
      <c r="CF956" t="inlineStr"/>
      <c r="CG956" t="inlineStr"/>
      <c r="CH956" t="inlineStr"/>
      <c r="CI956" t="inlineStr"/>
      <c r="CJ956" t="inlineStr"/>
      <c r="CK956" t="inlineStr"/>
      <c r="CL956" t="inlineStr"/>
      <c r="CM956" t="inlineStr"/>
      <c r="CN956" t="inlineStr"/>
      <c r="CO956" t="inlineStr"/>
      <c r="CP956" t="inlineStr"/>
      <c r="CQ956" t="inlineStr"/>
      <c r="CR956" t="inlineStr"/>
      <c r="CS956" t="inlineStr"/>
      <c r="CT956" t="inlineStr"/>
      <c r="CU956" t="inlineStr"/>
      <c r="CV956" t="inlineStr"/>
      <c r="CW956" t="inlineStr"/>
      <c r="CX956" t="inlineStr"/>
      <c r="CY956" t="inlineStr"/>
      <c r="CZ956" t="inlineStr"/>
      <c r="DA956" t="inlineStr"/>
      <c r="DB956" t="inlineStr"/>
      <c r="DC956" t="inlineStr"/>
      <c r="DD956" t="inlineStr"/>
      <c r="DE956" t="inlineStr"/>
      <c r="DF956" t="inlineStr"/>
      <c r="DG956" t="inlineStr"/>
    </row>
    <row r="957">
      <c r="A957" t="inlineStr">
        <is>
          <t>III</t>
        </is>
      </c>
      <c r="B957" t="b">
        <v>1</v>
      </c>
      <c r="C957" t="inlineStr"/>
      <c r="D957" t="inlineStr"/>
      <c r="E957" t="inlineStr"/>
      <c r="F957">
        <f>HYPERLINK("https://portal.dnb.de/opac.htm?method=simpleSearch&amp;cqlMode=true&amp;query=idn%3D1129395545", "Portal")</f>
        <v/>
      </c>
      <c r="G957" t="inlineStr">
        <is>
          <t>Qd</t>
        </is>
      </c>
      <c r="H957" t="inlineStr">
        <is>
          <t>L-9999-401757196</t>
        </is>
      </c>
      <c r="I957" t="inlineStr">
        <is>
          <t>1129395545</t>
        </is>
      </c>
      <c r="J957" t="inlineStr">
        <is>
          <t>III 104, 20</t>
        </is>
      </c>
      <c r="K957" t="inlineStr">
        <is>
          <t>III 104, 20</t>
        </is>
      </c>
      <c r="L957" t="inlineStr">
        <is>
          <t>III 104, 20</t>
        </is>
      </c>
      <c r="M957" t="inlineStr">
        <is>
          <t>steht bei GF</t>
        </is>
      </c>
      <c r="N957" t="inlineStr">
        <is>
          <t xml:space="preserve">Drei alte Drucke zu Ringerkunst und Fechtkunst und ein dazu im 19. Jahrhundert angefertigter historistischer Prachteinband der Klemmsammlung : </t>
        </is>
      </c>
      <c r="O957" t="inlineStr">
        <is>
          <t xml:space="preserve"> : </t>
        </is>
      </c>
      <c r="P957" t="inlineStr"/>
      <c r="Q957" t="inlineStr"/>
      <c r="R957" t="inlineStr"/>
      <c r="S957" t="inlineStr">
        <is>
          <t>bis 35 cm</t>
        </is>
      </c>
      <c r="T957" t="inlineStr"/>
      <c r="U957" t="inlineStr"/>
      <c r="V957" t="inlineStr"/>
      <c r="W957" t="inlineStr"/>
      <c r="X957" t="inlineStr"/>
      <c r="Y957" t="inlineStr"/>
      <c r="Z957" t="inlineStr"/>
      <c r="AA957" t="inlineStr"/>
      <c r="AB957" t="inlineStr"/>
      <c r="AC957" t="inlineStr"/>
      <c r="AD957" t="inlineStr"/>
      <c r="AE957" t="inlineStr"/>
      <c r="AF957" t="inlineStr"/>
      <c r="AG957" t="inlineStr"/>
      <c r="AH957" t="inlineStr"/>
      <c r="AI957" t="inlineStr">
        <is>
          <t>Pg</t>
        </is>
      </c>
      <c r="AJ957" t="inlineStr"/>
      <c r="AK957" t="inlineStr"/>
      <c r="AL957" t="inlineStr">
        <is>
          <t>x</t>
        </is>
      </c>
      <c r="AM957" t="inlineStr">
        <is>
          <t>h/E</t>
        </is>
      </c>
      <c r="AN957" t="inlineStr">
        <is>
          <t>x</t>
        </is>
      </c>
      <c r="AO957" t="inlineStr"/>
      <c r="AP957" t="inlineStr"/>
      <c r="AQ957" t="inlineStr"/>
      <c r="AR957" t="inlineStr"/>
      <c r="AS957" t="inlineStr">
        <is>
          <t>Pa</t>
        </is>
      </c>
      <c r="AT957" t="inlineStr"/>
      <c r="AU957" t="inlineStr"/>
      <c r="AV957" t="inlineStr"/>
      <c r="AW957" t="inlineStr"/>
      <c r="AX957" t="inlineStr"/>
      <c r="AY957" t="inlineStr"/>
      <c r="AZ957" t="inlineStr"/>
      <c r="BA957" t="inlineStr"/>
      <c r="BB957" t="inlineStr"/>
      <c r="BC957" t="inlineStr"/>
      <c r="BD957" t="inlineStr"/>
      <c r="BE957" t="inlineStr"/>
      <c r="BF957" t="inlineStr"/>
      <c r="BG957" t="n">
        <v>110</v>
      </c>
      <c r="BH957" t="inlineStr"/>
      <c r="BI957" t="inlineStr"/>
      <c r="BJ957" t="inlineStr"/>
      <c r="BK957" t="inlineStr"/>
      <c r="BL957" t="inlineStr"/>
      <c r="BM957" t="inlineStr">
        <is>
          <t>n</t>
        </is>
      </c>
      <c r="BN957" t="n">
        <v>0</v>
      </c>
      <c r="BO957" t="inlineStr"/>
      <c r="BP957" t="inlineStr">
        <is>
          <t>Gewebe</t>
        </is>
      </c>
      <c r="BQ957" t="inlineStr"/>
      <c r="BR957" t="inlineStr"/>
      <c r="BS957" t="inlineStr"/>
      <c r="BT957" t="inlineStr"/>
      <c r="BU957" t="inlineStr"/>
      <c r="BV957" t="inlineStr"/>
      <c r="BW957" t="inlineStr"/>
      <c r="BX957" t="inlineStr"/>
      <c r="BY957" t="inlineStr"/>
      <c r="BZ957" t="inlineStr"/>
      <c r="CA957" t="inlineStr"/>
      <c r="CB957" t="inlineStr"/>
      <c r="CC957" t="inlineStr"/>
      <c r="CD957" t="inlineStr"/>
      <c r="CE957" t="inlineStr"/>
      <c r="CF957" t="inlineStr"/>
      <c r="CG957" t="inlineStr"/>
      <c r="CH957" t="inlineStr"/>
      <c r="CI957" t="inlineStr"/>
      <c r="CJ957" t="inlineStr"/>
      <c r="CK957" t="inlineStr"/>
      <c r="CL957" t="inlineStr"/>
      <c r="CM957" t="inlineStr"/>
      <c r="CN957" t="inlineStr"/>
      <c r="CO957" t="inlineStr"/>
      <c r="CP957" t="inlineStr"/>
      <c r="CQ957" t="inlineStr"/>
      <c r="CR957" t="inlineStr"/>
      <c r="CS957" t="inlineStr"/>
      <c r="CT957" t="inlineStr"/>
      <c r="CU957" t="inlineStr"/>
      <c r="CV957" t="inlineStr"/>
      <c r="CW957" t="inlineStr"/>
      <c r="CX957" t="inlineStr"/>
      <c r="CY957" t="inlineStr"/>
      <c r="CZ957" t="inlineStr"/>
      <c r="DA957" t="inlineStr"/>
      <c r="DB957" t="inlineStr"/>
      <c r="DC957" t="inlineStr"/>
      <c r="DD957" t="inlineStr"/>
      <c r="DE957" t="inlineStr"/>
      <c r="DF957" t="inlineStr"/>
      <c r="DG957" t="inlineStr"/>
    </row>
    <row r="958">
      <c r="A958" t="inlineStr">
        <is>
          <t>III</t>
        </is>
      </c>
      <c r="B958" t="b">
        <v>1</v>
      </c>
      <c r="C958" t="inlineStr"/>
      <c r="D958" t="inlineStr"/>
      <c r="E958" t="n">
        <v>1091</v>
      </c>
      <c r="F958">
        <f>HYPERLINK("https://portal.dnb.de/opac.htm?method=simpleSearch&amp;cqlMode=true&amp;query=idn%3D998857661", "Portal")</f>
        <v/>
      </c>
      <c r="G958" t="inlineStr">
        <is>
          <t>Afl</t>
        </is>
      </c>
      <c r="H958" t="inlineStr">
        <is>
          <t>L-1539-167079905</t>
        </is>
      </c>
      <c r="I958" t="inlineStr">
        <is>
          <t>998857661</t>
        </is>
      </c>
      <c r="J958" t="inlineStr">
        <is>
          <t>III 104, 20 a - 1</t>
        </is>
      </c>
      <c r="K958" t="inlineStr">
        <is>
          <t>III 104, 20 a - 1</t>
        </is>
      </c>
      <c r="L958" t="inlineStr">
        <is>
          <t>III 104, 20 a - 1</t>
        </is>
      </c>
      <c r="M958" t="inlineStr">
        <is>
          <t>GF</t>
        </is>
      </c>
      <c r="N958" t="inlineStr">
        <is>
          <t>Der ... @Teil der Bücher D. Mart. Luth. ...</t>
        </is>
      </c>
      <c r="O958" t="inlineStr">
        <is>
          <t>1. : Der @Erste|| Teil der Bü||cher D. Mart. Luth.|| vber etliche Epistel der|| Aposteln</t>
        </is>
      </c>
      <c r="P958" t="inlineStr"/>
      <c r="Q958" t="inlineStr"/>
      <c r="R958" t="inlineStr"/>
      <c r="S958" t="inlineStr">
        <is>
          <t>bis 35 cm</t>
        </is>
      </c>
      <c r="T958" t="inlineStr"/>
      <c r="U958" t="inlineStr"/>
      <c r="V958" t="inlineStr"/>
      <c r="W958" t="inlineStr"/>
      <c r="X958" t="inlineStr"/>
      <c r="Y958" t="inlineStr"/>
      <c r="Z958" t="inlineStr"/>
      <c r="AA958" t="inlineStr"/>
      <c r="AB958" t="inlineStr"/>
      <c r="AC958" t="inlineStr"/>
      <c r="AD958" t="inlineStr"/>
      <c r="AE958" t="inlineStr"/>
      <c r="AF958" t="inlineStr"/>
      <c r="AG958" t="inlineStr"/>
      <c r="AH958" t="inlineStr"/>
      <c r="AI958" t="inlineStr">
        <is>
          <t>HD</t>
        </is>
      </c>
      <c r="AJ958" t="inlineStr"/>
      <c r="AK958" t="inlineStr"/>
      <c r="AL958" t="inlineStr">
        <is>
          <t>x</t>
        </is>
      </c>
      <c r="AM958" t="inlineStr">
        <is>
          <t>f</t>
        </is>
      </c>
      <c r="AN958" t="inlineStr"/>
      <c r="AO958" t="inlineStr"/>
      <c r="AP958" t="inlineStr"/>
      <c r="AQ958" t="inlineStr"/>
      <c r="AR958" t="inlineStr"/>
      <c r="AS958" t="inlineStr">
        <is>
          <t>Pa</t>
        </is>
      </c>
      <c r="AT958" t="inlineStr"/>
      <c r="AU958" t="inlineStr"/>
      <c r="AV958" t="inlineStr"/>
      <c r="AW958" t="inlineStr"/>
      <c r="AX958" t="inlineStr">
        <is>
          <t>x</t>
        </is>
      </c>
      <c r="AY958" t="inlineStr"/>
      <c r="AZ958" t="inlineStr"/>
      <c r="BA958" t="inlineStr"/>
      <c r="BB958" t="inlineStr"/>
      <c r="BC958" t="inlineStr"/>
      <c r="BD958" t="inlineStr"/>
      <c r="BE958" t="inlineStr"/>
      <c r="BF958" t="inlineStr"/>
      <c r="BG958" t="n">
        <v>110</v>
      </c>
      <c r="BH958" t="inlineStr"/>
      <c r="BI958" t="inlineStr"/>
      <c r="BJ958" t="inlineStr"/>
      <c r="BK958" t="inlineStr"/>
      <c r="BL958" t="inlineStr"/>
      <c r="BM958" t="inlineStr">
        <is>
          <t>n</t>
        </is>
      </c>
      <c r="BN958" t="n">
        <v>0</v>
      </c>
      <c r="BO958" t="inlineStr"/>
      <c r="BP958" t="inlineStr">
        <is>
          <t>Gewebe</t>
        </is>
      </c>
      <c r="BQ958" t="inlineStr"/>
      <c r="BR958" t="inlineStr"/>
      <c r="BS958" t="inlineStr"/>
      <c r="BT958" t="inlineStr"/>
      <c r="BU958" t="inlineStr"/>
      <c r="BV958" t="inlineStr"/>
      <c r="BW958" t="inlineStr"/>
      <c r="BX958" t="inlineStr"/>
      <c r="BY958" t="inlineStr"/>
      <c r="BZ958" t="inlineStr"/>
      <c r="CA958" t="inlineStr"/>
      <c r="CB958" t="inlineStr"/>
      <c r="CC958" t="inlineStr"/>
      <c r="CD958" t="inlineStr"/>
      <c r="CE958" t="inlineStr"/>
      <c r="CF958" t="inlineStr"/>
      <c r="CG958" t="inlineStr"/>
      <c r="CH958" t="inlineStr"/>
      <c r="CI958" t="inlineStr"/>
      <c r="CJ958" t="inlineStr"/>
      <c r="CK958" t="inlineStr"/>
      <c r="CL958" t="inlineStr"/>
      <c r="CM958" t="inlineStr"/>
      <c r="CN958" t="inlineStr"/>
      <c r="CO958" t="inlineStr"/>
      <c r="CP958" t="inlineStr"/>
      <c r="CQ958" t="inlineStr"/>
      <c r="CR958" t="inlineStr"/>
      <c r="CS958" t="inlineStr"/>
      <c r="CT958" t="inlineStr"/>
      <c r="CU958" t="inlineStr"/>
      <c r="CV958" t="inlineStr"/>
      <c r="CW958" t="inlineStr"/>
      <c r="CX958" t="inlineStr"/>
      <c r="CY958" t="inlineStr"/>
      <c r="CZ958" t="inlineStr"/>
      <c r="DA958" t="inlineStr"/>
      <c r="DB958" t="inlineStr"/>
      <c r="DC958" t="inlineStr"/>
      <c r="DD958" t="inlineStr"/>
      <c r="DE958" t="inlineStr"/>
      <c r="DF958" t="inlineStr"/>
      <c r="DG958" t="inlineStr"/>
    </row>
    <row r="959">
      <c r="A959" t="inlineStr">
        <is>
          <t>III</t>
        </is>
      </c>
      <c r="B959" t="b">
        <v>1</v>
      </c>
      <c r="C959" t="inlineStr">
        <is>
          <t>x</t>
        </is>
      </c>
      <c r="D959" t="inlineStr"/>
      <c r="E959" t="n">
        <v>1089</v>
      </c>
      <c r="F959">
        <f>HYPERLINK("https://portal.dnb.de/opac.htm?method=simpleSearch&amp;cqlMode=true&amp;query=idn%3D998857874", "Portal")</f>
        <v/>
      </c>
      <c r="G959" t="inlineStr">
        <is>
          <t>Afl</t>
        </is>
      </c>
      <c r="H959" t="inlineStr">
        <is>
          <t>L-1550-16708013X</t>
        </is>
      </c>
      <c r="I959" t="inlineStr">
        <is>
          <t>998857874</t>
        </is>
      </c>
      <c r="J959" t="inlineStr">
        <is>
          <t>III 104, 20 a - 3</t>
        </is>
      </c>
      <c r="K959" t="inlineStr">
        <is>
          <t>III 104, 20 a - 3</t>
        </is>
      </c>
      <c r="L959" t="inlineStr">
        <is>
          <t>III 104, 20 a - 3</t>
        </is>
      </c>
      <c r="M959" t="inlineStr">
        <is>
          <t>GF</t>
        </is>
      </c>
      <c r="N959" t="inlineStr">
        <is>
          <t>Der ... @Teil der Bücher D. Mart. Luth. ...</t>
        </is>
      </c>
      <c r="O959" t="inlineStr">
        <is>
          <t>3. : Der @Dritte Teil|| der bücher des Ehrnwirdigen|| herrn doctoris Martini Lutheri, darin zusamen|| gebracht sind christliche vnd tröstliche Erklerung vnd auslegung der fur||nemesten Psalmen, ...</t>
        </is>
      </c>
      <c r="P959" t="inlineStr"/>
      <c r="Q959" t="inlineStr"/>
      <c r="R959" t="inlineStr"/>
      <c r="S959" t="inlineStr">
        <is>
          <t>bis 35 cm</t>
        </is>
      </c>
      <c r="T959" t="inlineStr"/>
      <c r="U959" t="inlineStr"/>
      <c r="V959" t="inlineStr"/>
      <c r="W959" t="inlineStr"/>
      <c r="X959" t="inlineStr"/>
      <c r="Y959" t="inlineStr"/>
      <c r="Z959" t="inlineStr"/>
      <c r="AA959" t="inlineStr"/>
      <c r="AB959" t="inlineStr"/>
      <c r="AC959" t="inlineStr"/>
      <c r="AD959" t="inlineStr"/>
      <c r="AE959" t="inlineStr"/>
      <c r="AF959" t="inlineStr"/>
      <c r="AG959" t="inlineStr"/>
      <c r="AH959" t="inlineStr"/>
      <c r="AI959" t="inlineStr">
        <is>
          <t>HD</t>
        </is>
      </c>
      <c r="AJ959" t="inlineStr"/>
      <c r="AK959" t="inlineStr"/>
      <c r="AL959" t="inlineStr">
        <is>
          <t>x</t>
        </is>
      </c>
      <c r="AM959" t="inlineStr">
        <is>
          <t>f</t>
        </is>
      </c>
      <c r="AN959" t="inlineStr"/>
      <c r="AO959" t="inlineStr"/>
      <c r="AP959" t="inlineStr"/>
      <c r="AQ959" t="inlineStr"/>
      <c r="AR959" t="inlineStr"/>
      <c r="AS959" t="inlineStr">
        <is>
          <t>Pa</t>
        </is>
      </c>
      <c r="AT959" t="inlineStr"/>
      <c r="AU959" t="inlineStr"/>
      <c r="AV959" t="inlineStr"/>
      <c r="AW959" t="inlineStr">
        <is>
          <t>x</t>
        </is>
      </c>
      <c r="AX959" t="inlineStr"/>
      <c r="AY959" t="inlineStr"/>
      <c r="AZ959" t="inlineStr"/>
      <c r="BA959" t="inlineStr"/>
      <c r="BB959" t="inlineStr"/>
      <c r="BC959" t="inlineStr"/>
      <c r="BD959" t="inlineStr"/>
      <c r="BE959" t="inlineStr"/>
      <c r="BF959" t="inlineStr"/>
      <c r="BG959" t="inlineStr">
        <is>
          <t>max 110</t>
        </is>
      </c>
      <c r="BH959" t="inlineStr"/>
      <c r="BI959" t="inlineStr"/>
      <c r="BJ959" t="inlineStr"/>
      <c r="BK959" t="inlineStr"/>
      <c r="BL959" t="inlineStr"/>
      <c r="BM959" t="inlineStr">
        <is>
          <t>ja vor</t>
        </is>
      </c>
      <c r="BN959" t="n">
        <v>0.5</v>
      </c>
      <c r="BO959" t="inlineStr"/>
      <c r="BP959" t="inlineStr"/>
      <c r="BQ959" t="inlineStr"/>
      <c r="BR959" t="inlineStr"/>
      <c r="BS959" t="inlineStr"/>
      <c r="BT959" t="inlineStr">
        <is>
          <t>x sauer</t>
        </is>
      </c>
      <c r="BU959" t="inlineStr">
        <is>
          <t>x</t>
        </is>
      </c>
      <c r="BV959" t="inlineStr"/>
      <c r="BW959" t="inlineStr"/>
      <c r="BX959" t="inlineStr"/>
      <c r="BY959" t="inlineStr"/>
      <c r="BZ959" t="inlineStr"/>
      <c r="CA959" t="inlineStr"/>
      <c r="CB959" t="inlineStr"/>
      <c r="CC959" t="inlineStr"/>
      <c r="CD959" t="inlineStr"/>
      <c r="CE959" t="inlineStr"/>
      <c r="CF959" t="inlineStr"/>
      <c r="CG959" t="inlineStr">
        <is>
          <t>x</t>
        </is>
      </c>
      <c r="CH959" t="inlineStr"/>
      <c r="CI959" t="inlineStr"/>
      <c r="CJ959" t="inlineStr"/>
      <c r="CK959" t="inlineStr"/>
      <c r="CL959" t="inlineStr"/>
      <c r="CM959" t="n">
        <v>0.5</v>
      </c>
      <c r="CN959" t="inlineStr">
        <is>
          <t>untere Schließe haltendes Teil</t>
        </is>
      </c>
      <c r="CO959" t="inlineStr"/>
      <c r="CP959" t="inlineStr"/>
      <c r="CQ959" t="inlineStr"/>
      <c r="CR959" t="inlineStr"/>
      <c r="CS959" t="inlineStr"/>
      <c r="CT959" t="inlineStr"/>
      <c r="CU959" t="inlineStr"/>
      <c r="CV959" t="inlineStr"/>
      <c r="CW959" t="inlineStr"/>
      <c r="CX959" t="inlineStr"/>
      <c r="CY959" t="inlineStr"/>
      <c r="CZ959" t="inlineStr"/>
      <c r="DA959" t="inlineStr"/>
      <c r="DB959" t="inlineStr"/>
      <c r="DC959" t="inlineStr"/>
      <c r="DD959" t="inlineStr"/>
      <c r="DE959" t="inlineStr"/>
      <c r="DF959" t="inlineStr"/>
      <c r="DG959" t="inlineStr"/>
    </row>
    <row r="960">
      <c r="A960" t="inlineStr">
        <is>
          <t>III</t>
        </is>
      </c>
      <c r="B960" t="b">
        <v>1</v>
      </c>
      <c r="C960" t="inlineStr"/>
      <c r="D960" t="inlineStr"/>
      <c r="E960" t="n">
        <v>1090</v>
      </c>
      <c r="F960">
        <f>HYPERLINK("https://portal.dnb.de/opac.htm?method=simpleSearch&amp;cqlMode=true&amp;query=idn%3D998857955", "Portal")</f>
        <v/>
      </c>
      <c r="G960" t="inlineStr">
        <is>
          <t>Afl</t>
        </is>
      </c>
      <c r="H960" t="inlineStr">
        <is>
          <t>L-1553-167080180</t>
        </is>
      </c>
      <c r="I960" t="inlineStr">
        <is>
          <t>998857955</t>
        </is>
      </c>
      <c r="J960" t="inlineStr">
        <is>
          <t>III 104, 20 a - 6</t>
        </is>
      </c>
      <c r="K960" t="inlineStr">
        <is>
          <t>III 104, 20 a - 6</t>
        </is>
      </c>
      <c r="L960" t="inlineStr">
        <is>
          <t>III 104, 20 a - 6</t>
        </is>
      </c>
      <c r="M960" t="inlineStr">
        <is>
          <t>GF</t>
        </is>
      </c>
      <c r="N960" t="inlineStr">
        <is>
          <t>Der ... @Teil der Bücher D. Mart. Luth. ...</t>
        </is>
      </c>
      <c r="O960" t="inlineStr">
        <is>
          <t>6. : Der @Sechste|| teil der bücher des Ehrnwirdi||gen Herrn Doctoris Martini Lutheri, darinnen|| begriffen etliche auslegung der heiligen Schrifft im newen Testament,|| Auch die Bücher vom Ehestand, Kauffshendel vnd Wucher, Ver||manung vnd Trostschrifften, ...</t>
        </is>
      </c>
      <c r="P960" t="inlineStr"/>
      <c r="Q960" t="inlineStr"/>
      <c r="R960" t="inlineStr"/>
      <c r="S960" t="inlineStr">
        <is>
          <t>bis 35 cm</t>
        </is>
      </c>
      <c r="T960" t="inlineStr"/>
      <c r="U960" t="inlineStr"/>
      <c r="V960" t="inlineStr"/>
      <c r="W960" t="inlineStr"/>
      <c r="X960" t="inlineStr"/>
      <c r="Y960" t="inlineStr"/>
      <c r="Z960" t="inlineStr"/>
      <c r="AA960" t="inlineStr"/>
      <c r="AB960" t="inlineStr"/>
      <c r="AC960" t="inlineStr"/>
      <c r="AD960" t="inlineStr"/>
      <c r="AE960" t="inlineStr"/>
      <c r="AF960" t="inlineStr"/>
      <c r="AG960" t="inlineStr"/>
      <c r="AH960" t="inlineStr"/>
      <c r="AI960" t="inlineStr">
        <is>
          <t>HD</t>
        </is>
      </c>
      <c r="AJ960" t="inlineStr"/>
      <c r="AK960" t="inlineStr"/>
      <c r="AL960" t="inlineStr"/>
      <c r="AM960" t="inlineStr">
        <is>
          <t>f</t>
        </is>
      </c>
      <c r="AN960" t="inlineStr"/>
      <c r="AO960" t="inlineStr"/>
      <c r="AP960" t="inlineStr"/>
      <c r="AQ960" t="inlineStr"/>
      <c r="AR960" t="inlineStr">
        <is>
          <t>x</t>
        </is>
      </c>
      <c r="AS960" t="inlineStr">
        <is>
          <t>Pa</t>
        </is>
      </c>
      <c r="AT960" t="inlineStr"/>
      <c r="AU960" t="inlineStr"/>
      <c r="AV960" t="inlineStr"/>
      <c r="AW960" t="inlineStr">
        <is>
          <t>x</t>
        </is>
      </c>
      <c r="AX960" t="inlineStr"/>
      <c r="AY960" t="inlineStr"/>
      <c r="AZ960" t="inlineStr"/>
      <c r="BA960" t="inlineStr"/>
      <c r="BB960" t="inlineStr"/>
      <c r="BC960" t="inlineStr"/>
      <c r="BD960" t="inlineStr"/>
      <c r="BE960" t="inlineStr"/>
      <c r="BF960" t="inlineStr"/>
      <c r="BG960" t="n">
        <v>45</v>
      </c>
      <c r="BH960" t="inlineStr"/>
      <c r="BI960" t="inlineStr"/>
      <c r="BJ960" t="inlineStr"/>
      <c r="BK960" t="inlineStr"/>
      <c r="BL960" t="inlineStr"/>
      <c r="BM960" t="inlineStr">
        <is>
          <t>n</t>
        </is>
      </c>
      <c r="BN960" t="n">
        <v>0</v>
      </c>
      <c r="BO960" t="inlineStr"/>
      <c r="BP960" t="inlineStr"/>
      <c r="BQ960" t="inlineStr"/>
      <c r="BR960" t="inlineStr"/>
      <c r="BS960" t="inlineStr"/>
      <c r="BT960" t="inlineStr">
        <is>
          <t>x sauer</t>
        </is>
      </c>
      <c r="BU960" t="inlineStr">
        <is>
          <t>x</t>
        </is>
      </c>
      <c r="BV960" t="inlineStr"/>
      <c r="BW960" t="inlineStr"/>
      <c r="BX960" t="inlineStr"/>
      <c r="BY960" t="inlineStr"/>
      <c r="BZ960" t="inlineStr"/>
      <c r="CA960" t="inlineStr"/>
      <c r="CB960" t="inlineStr"/>
      <c r="CC960" t="inlineStr"/>
      <c r="CD960" t="inlineStr"/>
      <c r="CE960" t="inlineStr"/>
      <c r="CF960" t="inlineStr"/>
      <c r="CG960" t="inlineStr"/>
      <c r="CH960" t="inlineStr"/>
      <c r="CI960" t="inlineStr"/>
      <c r="CJ960" t="inlineStr"/>
      <c r="CK960" t="inlineStr"/>
      <c r="CL960" t="inlineStr"/>
      <c r="CM960" t="inlineStr"/>
      <c r="CN960" t="inlineStr"/>
      <c r="CO960" t="inlineStr"/>
      <c r="CP960" t="inlineStr"/>
      <c r="CQ960" t="inlineStr"/>
      <c r="CR960" t="inlineStr"/>
      <c r="CS960" t="inlineStr"/>
      <c r="CT960" t="inlineStr"/>
      <c r="CU960" t="inlineStr"/>
      <c r="CV960" t="inlineStr"/>
      <c r="CW960" t="inlineStr"/>
      <c r="CX960" t="inlineStr"/>
      <c r="CY960" t="inlineStr"/>
      <c r="CZ960" t="inlineStr"/>
      <c r="DA960" t="inlineStr"/>
      <c r="DB960" t="inlineStr"/>
      <c r="DC960" t="inlineStr"/>
      <c r="DD960" t="inlineStr"/>
      <c r="DE960" t="inlineStr"/>
      <c r="DF960" t="inlineStr"/>
      <c r="DG960" t="inlineStr"/>
    </row>
    <row r="961">
      <c r="A961" t="inlineStr">
        <is>
          <t>III</t>
        </is>
      </c>
      <c r="B961" t="b">
        <v>1</v>
      </c>
      <c r="C961" t="inlineStr"/>
      <c r="D961" t="inlineStr"/>
      <c r="E961" t="n">
        <v>1092</v>
      </c>
      <c r="F961">
        <f>HYPERLINK("https://portal.dnb.de/opac.htm?method=simpleSearch&amp;cqlMode=true&amp;query=idn%3D998898775", "Portal")</f>
        <v/>
      </c>
      <c r="G961" t="inlineStr">
        <is>
          <t>Aal</t>
        </is>
      </c>
      <c r="H961" t="inlineStr">
        <is>
          <t>L-1539-167183672</t>
        </is>
      </c>
      <c r="I961" t="inlineStr">
        <is>
          <t>998898775</t>
        </is>
      </c>
      <c r="J961" t="inlineStr">
        <is>
          <t>III 104, 20b</t>
        </is>
      </c>
      <c r="K961" t="inlineStr">
        <is>
          <t>III 104, 20b</t>
        </is>
      </c>
      <c r="L961" t="inlineStr">
        <is>
          <t>III 104, 20 b</t>
        </is>
      </c>
      <c r="M961" t="inlineStr"/>
      <c r="N961" t="inlineStr">
        <is>
          <t xml:space="preserve">Von den|| Concilijs vnd|| Kirchen : </t>
        </is>
      </c>
      <c r="O961" t="inlineStr">
        <is>
          <t xml:space="preserve"> : </t>
        </is>
      </c>
      <c r="P961" t="inlineStr"/>
      <c r="Q961" t="inlineStr"/>
      <c r="R961" t="inlineStr"/>
      <c r="S961" t="inlineStr">
        <is>
          <t>bis 25 cm</t>
        </is>
      </c>
      <c r="T961" t="inlineStr"/>
      <c r="U961" t="inlineStr"/>
      <c r="V961" t="inlineStr"/>
      <c r="W961" t="inlineStr"/>
      <c r="X961" t="inlineStr"/>
      <c r="Y961" t="inlineStr"/>
      <c r="Z961" t="inlineStr"/>
      <c r="AA961" t="inlineStr"/>
      <c r="AB961" t="inlineStr"/>
      <c r="AC961" t="inlineStr"/>
      <c r="AD961" t="inlineStr"/>
      <c r="AE961" t="inlineStr"/>
      <c r="AF961" t="inlineStr"/>
      <c r="AG961" t="inlineStr"/>
      <c r="AH961" t="inlineStr"/>
      <c r="AI961" t="inlineStr">
        <is>
          <t>HPg</t>
        </is>
      </c>
      <c r="AJ961" t="inlineStr"/>
      <c r="AK961" t="inlineStr"/>
      <c r="AL961" t="inlineStr">
        <is>
          <t>x</t>
        </is>
      </c>
      <c r="AM961" t="inlineStr">
        <is>
          <t>h/E</t>
        </is>
      </c>
      <c r="AN961" t="inlineStr"/>
      <c r="AO961" t="inlineStr"/>
      <c r="AP961" t="inlineStr"/>
      <c r="AQ961" t="inlineStr"/>
      <c r="AR961" t="inlineStr"/>
      <c r="AS961" t="inlineStr">
        <is>
          <t>Pa</t>
        </is>
      </c>
      <c r="AT961" t="inlineStr"/>
      <c r="AU961" t="inlineStr"/>
      <c r="AV961" t="inlineStr"/>
      <c r="AW961" t="inlineStr"/>
      <c r="AX961" t="inlineStr"/>
      <c r="AY961" t="inlineStr"/>
      <c r="AZ961" t="inlineStr"/>
      <c r="BA961" t="inlineStr"/>
      <c r="BB961" t="inlineStr"/>
      <c r="BC961" t="inlineStr"/>
      <c r="BD961" t="inlineStr"/>
      <c r="BE961" t="inlineStr"/>
      <c r="BF961" t="inlineStr"/>
      <c r="BG961" t="n">
        <v>110</v>
      </c>
      <c r="BH961" t="inlineStr"/>
      <c r="BI961" t="inlineStr"/>
      <c r="BJ961" t="inlineStr"/>
      <c r="BK961" t="inlineStr"/>
      <c r="BL961" t="inlineStr"/>
      <c r="BM961" t="inlineStr">
        <is>
          <t>n</t>
        </is>
      </c>
      <c r="BN961" t="n">
        <v>0</v>
      </c>
      <c r="BO961" t="inlineStr"/>
      <c r="BP961" t="inlineStr">
        <is>
          <t>Gewebe</t>
        </is>
      </c>
      <c r="BQ961" t="inlineStr"/>
      <c r="BR961" t="inlineStr"/>
      <c r="BS961" t="inlineStr"/>
      <c r="BT961" t="inlineStr"/>
      <c r="BU961" t="inlineStr"/>
      <c r="BV961" t="inlineStr">
        <is>
          <t>mit anderen Büchern gemeinsam in einer Kassette</t>
        </is>
      </c>
      <c r="BW961" t="inlineStr"/>
      <c r="BX961" t="inlineStr"/>
      <c r="BY961" t="inlineStr"/>
      <c r="BZ961" t="inlineStr"/>
      <c r="CA961" t="inlineStr"/>
      <c r="CB961" t="inlineStr"/>
      <c r="CC961" t="inlineStr"/>
      <c r="CD961" t="inlineStr"/>
      <c r="CE961" t="inlineStr"/>
      <c r="CF961" t="inlineStr"/>
      <c r="CG961" t="inlineStr"/>
      <c r="CH961" t="inlineStr"/>
      <c r="CI961" t="inlineStr"/>
      <c r="CJ961" t="inlineStr"/>
      <c r="CK961" t="inlineStr"/>
      <c r="CL961" t="inlineStr"/>
      <c r="CM961" t="inlineStr"/>
      <c r="CN961" t="inlineStr"/>
      <c r="CO961" t="inlineStr"/>
      <c r="CP961" t="inlineStr"/>
      <c r="CQ961" t="inlineStr"/>
      <c r="CR961" t="inlineStr"/>
      <c r="CS961" t="inlineStr"/>
      <c r="CT961" t="inlineStr"/>
      <c r="CU961" t="inlineStr"/>
      <c r="CV961" t="inlineStr"/>
      <c r="CW961" t="inlineStr"/>
      <c r="CX961" t="inlineStr"/>
      <c r="CY961" t="inlineStr"/>
      <c r="CZ961" t="inlineStr"/>
      <c r="DA961" t="inlineStr"/>
      <c r="DB961" t="inlineStr"/>
      <c r="DC961" t="inlineStr"/>
      <c r="DD961" t="inlineStr"/>
      <c r="DE961" t="inlineStr"/>
      <c r="DF961" t="inlineStr"/>
      <c r="DG961" t="inlineStr"/>
    </row>
    <row r="962">
      <c r="A962" t="inlineStr">
        <is>
          <t>III</t>
        </is>
      </c>
      <c r="B962" t="b">
        <v>1</v>
      </c>
      <c r="C962" t="inlineStr"/>
      <c r="D962" t="inlineStr"/>
      <c r="E962" t="n">
        <v>1047</v>
      </c>
      <c r="F962">
        <f>HYPERLINK("https://portal.dnb.de/opac.htm?method=simpleSearch&amp;cqlMode=true&amp;query=idn%3D1066964319", "Portal")</f>
        <v/>
      </c>
      <c r="G962" t="inlineStr">
        <is>
          <t>Aaf</t>
        </is>
      </c>
      <c r="H962" t="inlineStr">
        <is>
          <t>L-1540-315494549</t>
        </is>
      </c>
      <c r="I962" t="inlineStr">
        <is>
          <t>1066964319</t>
        </is>
      </c>
      <c r="J962" t="inlineStr">
        <is>
          <t>III 104, 21</t>
        </is>
      </c>
      <c r="K962" t="inlineStr">
        <is>
          <t>III 104, 21</t>
        </is>
      </c>
      <c r="L962" t="inlineStr">
        <is>
          <t>III 104, 21</t>
        </is>
      </c>
      <c r="M962" t="inlineStr"/>
      <c r="N962" t="inlineStr">
        <is>
          <t xml:space="preserve">Biblia: dat ys:|| de gantze Hillige Schrifft/ D#[ue]=||desch/ Vpt nye thogerichtet/|| vnde mit vlite cor=||rigert.|| D. Mart. Luth.|| : </t>
        </is>
      </c>
      <c r="O962" t="inlineStr">
        <is>
          <t xml:space="preserve"> : </t>
        </is>
      </c>
      <c r="P962" t="inlineStr"/>
      <c r="Q962" t="inlineStr"/>
      <c r="R962" t="inlineStr"/>
      <c r="S962" t="inlineStr">
        <is>
          <t>bis 35 cm</t>
        </is>
      </c>
      <c r="T962" t="inlineStr"/>
      <c r="U962" t="inlineStr"/>
      <c r="V962" t="inlineStr"/>
      <c r="W962" t="inlineStr"/>
      <c r="X962" t="inlineStr"/>
      <c r="Y962" t="inlineStr"/>
      <c r="Z962" t="inlineStr"/>
      <c r="AA962" t="inlineStr"/>
      <c r="AB962" t="inlineStr"/>
      <c r="AC962" t="inlineStr"/>
      <c r="AD962" t="inlineStr"/>
      <c r="AE962" t="inlineStr"/>
      <c r="AF962" t="inlineStr"/>
      <c r="AG962" t="inlineStr"/>
      <c r="AH962" t="inlineStr"/>
      <c r="AI962" t="inlineStr">
        <is>
          <t>HL</t>
        </is>
      </c>
      <c r="AJ962" t="inlineStr"/>
      <c r="AK962" t="inlineStr"/>
      <c r="AL962" t="inlineStr"/>
      <c r="AM962" t="inlineStr">
        <is>
          <t>h/E</t>
        </is>
      </c>
      <c r="AN962" t="inlineStr"/>
      <c r="AO962" t="inlineStr"/>
      <c r="AP962" t="inlineStr"/>
      <c r="AQ962" t="inlineStr"/>
      <c r="AR962" t="inlineStr"/>
      <c r="AS962" t="inlineStr">
        <is>
          <t>Pa</t>
        </is>
      </c>
      <c r="AT962" t="inlineStr"/>
      <c r="AU962" t="inlineStr"/>
      <c r="AV962" t="inlineStr"/>
      <c r="AW962" t="inlineStr"/>
      <c r="AX962" t="inlineStr"/>
      <c r="AY962" t="inlineStr"/>
      <c r="AZ962" t="inlineStr"/>
      <c r="BA962" t="inlineStr"/>
      <c r="BB962" t="inlineStr"/>
      <c r="BC962" t="inlineStr"/>
      <c r="BD962" t="inlineStr"/>
      <c r="BE962" t="inlineStr"/>
      <c r="BF962" t="inlineStr"/>
      <c r="BG962" t="n">
        <v>45</v>
      </c>
      <c r="BH962" t="inlineStr"/>
      <c r="BI962" t="inlineStr"/>
      <c r="BJ962" t="inlineStr"/>
      <c r="BK962" t="inlineStr">
        <is>
          <t>x</t>
        </is>
      </c>
      <c r="BL962" t="inlineStr">
        <is>
          <t>x</t>
        </is>
      </c>
      <c r="BM962" t="inlineStr">
        <is>
          <t>n</t>
        </is>
      </c>
      <c r="BN962" t="n">
        <v>0</v>
      </c>
      <c r="BO962" t="inlineStr"/>
      <c r="BP962" t="inlineStr"/>
      <c r="BQ962" t="inlineStr"/>
      <c r="BR962" t="inlineStr"/>
      <c r="BS962" t="inlineStr"/>
      <c r="BT962" t="inlineStr"/>
      <c r="BU962" t="inlineStr"/>
      <c r="BV962" t="inlineStr"/>
      <c r="BW962" t="inlineStr"/>
      <c r="BX962" t="inlineStr"/>
      <c r="BY962" t="inlineStr"/>
      <c r="BZ962" t="inlineStr"/>
      <c r="CA962" t="inlineStr"/>
      <c r="CB962" t="inlineStr"/>
      <c r="CC962" t="inlineStr"/>
      <c r="CD962" t="inlineStr"/>
      <c r="CE962" t="inlineStr"/>
      <c r="CF962" t="inlineStr"/>
      <c r="CG962" t="inlineStr"/>
      <c r="CH962" t="inlineStr"/>
      <c r="CI962" t="inlineStr"/>
      <c r="CJ962" t="inlineStr"/>
      <c r="CK962" t="inlineStr"/>
      <c r="CL962" t="inlineStr"/>
      <c r="CM962" t="inlineStr"/>
      <c r="CN962" t="inlineStr"/>
      <c r="CO962" t="inlineStr"/>
      <c r="CP962" t="inlineStr"/>
      <c r="CQ962" t="inlineStr"/>
      <c r="CR962" t="inlineStr"/>
      <c r="CS962" t="inlineStr"/>
      <c r="CT962" t="inlineStr"/>
      <c r="CU962" t="inlineStr"/>
      <c r="CV962" t="inlineStr"/>
      <c r="CW962" t="inlineStr"/>
      <c r="CX962" t="inlineStr"/>
      <c r="CY962" t="inlineStr"/>
      <c r="CZ962" t="inlineStr"/>
      <c r="DA962" t="inlineStr"/>
      <c r="DB962" t="inlineStr"/>
      <c r="DC962" t="inlineStr"/>
      <c r="DD962" t="inlineStr"/>
      <c r="DE962" t="inlineStr"/>
      <c r="DF962" t="inlineStr"/>
      <c r="DG962" t="inlineStr"/>
    </row>
    <row r="963">
      <c r="A963" t="inlineStr">
        <is>
          <t>III</t>
        </is>
      </c>
      <c r="B963" t="b">
        <v>1</v>
      </c>
      <c r="C963" t="inlineStr"/>
      <c r="D963" t="inlineStr"/>
      <c r="E963" t="n">
        <v>1093</v>
      </c>
      <c r="F963">
        <f>HYPERLINK("https://portal.dnb.de/opac.htm?method=simpleSearch&amp;cqlMode=true&amp;query=idn%3D998886092", "Portal")</f>
        <v/>
      </c>
      <c r="G963" t="inlineStr">
        <is>
          <t>Aal</t>
        </is>
      </c>
      <c r="H963" t="inlineStr">
        <is>
          <t>L-1539-167109278</t>
        </is>
      </c>
      <c r="I963" t="inlineStr">
        <is>
          <t>998886092</t>
        </is>
      </c>
      <c r="J963" t="inlineStr">
        <is>
          <t>III 104, 21a</t>
        </is>
      </c>
      <c r="K963" t="inlineStr">
        <is>
          <t>III 104, 21a</t>
        </is>
      </c>
      <c r="L963" t="inlineStr">
        <is>
          <t>III 104, 21 a</t>
        </is>
      </c>
      <c r="M963" t="inlineStr"/>
      <c r="N963" t="inlineStr">
        <is>
          <t>Der @CXXX. Psalm|| : De profundis clama|| von D. Mar. Luth.|| in Latinischer|| sprach ausge=||legt|| vnd jtzt ver=||deudscht|| durch|| Georg. Maior||</t>
        </is>
      </c>
      <c r="O963" t="inlineStr">
        <is>
          <t xml:space="preserve"> : </t>
        </is>
      </c>
      <c r="P963" t="inlineStr"/>
      <c r="Q963" t="inlineStr"/>
      <c r="R963" t="inlineStr"/>
      <c r="S963" t="inlineStr">
        <is>
          <t>bis 25 cm</t>
        </is>
      </c>
      <c r="T963" t="inlineStr"/>
      <c r="U963" t="inlineStr"/>
      <c r="V963" t="inlineStr"/>
      <c r="W963" t="inlineStr"/>
      <c r="X963" t="inlineStr"/>
      <c r="Y963" t="inlineStr"/>
      <c r="Z963" t="inlineStr"/>
      <c r="AA963" t="inlineStr"/>
      <c r="AB963" t="inlineStr"/>
      <c r="AC963" t="inlineStr"/>
      <c r="AD963" t="inlineStr"/>
      <c r="AE963" t="inlineStr"/>
      <c r="AF963" t="inlineStr"/>
      <c r="AG963" t="inlineStr"/>
      <c r="AH963" t="inlineStr"/>
      <c r="AI963" t="inlineStr">
        <is>
          <t>HPg</t>
        </is>
      </c>
      <c r="AJ963" t="inlineStr"/>
      <c r="AK963" t="inlineStr"/>
      <c r="AL963" t="inlineStr">
        <is>
          <t>x</t>
        </is>
      </c>
      <c r="AM963" t="inlineStr">
        <is>
          <t>h/E</t>
        </is>
      </c>
      <c r="AN963" t="inlineStr"/>
      <c r="AO963" t="inlineStr"/>
      <c r="AP963" t="inlineStr"/>
      <c r="AQ963" t="inlineStr"/>
      <c r="AR963" t="inlineStr"/>
      <c r="AS963" t="inlineStr">
        <is>
          <t>Pa</t>
        </is>
      </c>
      <c r="AT963" t="inlineStr"/>
      <c r="AU963" t="inlineStr"/>
      <c r="AV963" t="inlineStr"/>
      <c r="AW963" t="inlineStr"/>
      <c r="AX963" t="inlineStr"/>
      <c r="AY963" t="inlineStr"/>
      <c r="AZ963" t="inlineStr"/>
      <c r="BA963" t="inlineStr"/>
      <c r="BB963" t="inlineStr"/>
      <c r="BC963" t="inlineStr"/>
      <c r="BD963" t="inlineStr"/>
      <c r="BE963" t="inlineStr"/>
      <c r="BF963" t="inlineStr"/>
      <c r="BG963" t="n">
        <v>110</v>
      </c>
      <c r="BH963" t="inlineStr"/>
      <c r="BI963" t="inlineStr"/>
      <c r="BJ963" t="inlineStr"/>
      <c r="BK963" t="inlineStr"/>
      <c r="BL963" t="inlineStr"/>
      <c r="BM963" t="inlineStr">
        <is>
          <t>n</t>
        </is>
      </c>
      <c r="BN963" t="n">
        <v>0</v>
      </c>
      <c r="BO963" t="inlineStr"/>
      <c r="BP963" t="inlineStr">
        <is>
          <t>Gewebe</t>
        </is>
      </c>
      <c r="BQ963" t="inlineStr"/>
      <c r="BR963" t="inlineStr"/>
      <c r="BS963" t="inlineStr"/>
      <c r="BT963" t="inlineStr"/>
      <c r="BU963" t="inlineStr"/>
      <c r="BV963" t="inlineStr">
        <is>
          <t>mit anderen Büchern gemeinsam in einer Kassette</t>
        </is>
      </c>
      <c r="BW963" t="inlineStr"/>
      <c r="BX963" t="inlineStr"/>
      <c r="BY963" t="inlineStr"/>
      <c r="BZ963" t="inlineStr"/>
      <c r="CA963" t="inlineStr"/>
      <c r="CB963" t="inlineStr"/>
      <c r="CC963" t="inlineStr"/>
      <c r="CD963" t="inlineStr"/>
      <c r="CE963" t="inlineStr"/>
      <c r="CF963" t="inlineStr"/>
      <c r="CG963" t="inlineStr"/>
      <c r="CH963" t="inlineStr"/>
      <c r="CI963" t="inlineStr"/>
      <c r="CJ963" t="inlineStr"/>
      <c r="CK963" t="inlineStr"/>
      <c r="CL963" t="inlineStr"/>
      <c r="CM963" t="inlineStr"/>
      <c r="CN963" t="inlineStr"/>
      <c r="CO963" t="inlineStr"/>
      <c r="CP963" t="inlineStr"/>
      <c r="CQ963" t="inlineStr"/>
      <c r="CR963" t="inlineStr"/>
      <c r="CS963" t="inlineStr"/>
      <c r="CT963" t="inlineStr"/>
      <c r="CU963" t="inlineStr"/>
      <c r="CV963" t="inlineStr"/>
      <c r="CW963" t="inlineStr"/>
      <c r="CX963" t="inlineStr"/>
      <c r="CY963" t="inlineStr"/>
      <c r="CZ963" t="inlineStr"/>
      <c r="DA963" t="inlineStr"/>
      <c r="DB963" t="inlineStr"/>
      <c r="DC963" t="inlineStr"/>
      <c r="DD963" t="inlineStr"/>
      <c r="DE963" t="inlineStr"/>
      <c r="DF963" t="inlineStr"/>
      <c r="DG963" t="inlineStr"/>
    </row>
    <row r="964">
      <c r="A964" t="inlineStr">
        <is>
          <t>III</t>
        </is>
      </c>
      <c r="B964" t="b">
        <v>1</v>
      </c>
      <c r="C964" t="inlineStr"/>
      <c r="D964" t="inlineStr"/>
      <c r="E964" t="n">
        <v>1048</v>
      </c>
      <c r="F964">
        <f>HYPERLINK("https://portal.dnb.de/opac.htm?method=simpleSearch&amp;cqlMode=true&amp;query=idn%3D1066957568", "Portal")</f>
        <v/>
      </c>
      <c r="G964" t="inlineStr">
        <is>
          <t>Aaf</t>
        </is>
      </c>
      <c r="H964" t="inlineStr">
        <is>
          <t>L-1542-315488190</t>
        </is>
      </c>
      <c r="I964" t="inlineStr">
        <is>
          <t>1066957568</t>
        </is>
      </c>
      <c r="J964" t="inlineStr">
        <is>
          <t>III 104, 22</t>
        </is>
      </c>
      <c r="K964" t="inlineStr">
        <is>
          <t>III 104, 22</t>
        </is>
      </c>
      <c r="L964" t="inlineStr">
        <is>
          <t>III 104, 22</t>
        </is>
      </c>
      <c r="M964" t="inlineStr"/>
      <c r="N964" t="inlineStr">
        <is>
          <t xml:space="preserve">Betb#[ue]ch=||lin, mit dem Calender|| vnd Passional, auffs|| new corrigiert vnd|| gemehret.|| D.Mar.|| Luther.|| : </t>
        </is>
      </c>
      <c r="O964" t="inlineStr">
        <is>
          <t xml:space="preserve"> : </t>
        </is>
      </c>
      <c r="P964" t="inlineStr"/>
      <c r="Q964" t="inlineStr"/>
      <c r="R964" t="inlineStr"/>
      <c r="S964" t="inlineStr">
        <is>
          <t>bis 25 cm</t>
        </is>
      </c>
      <c r="T964" t="inlineStr"/>
      <c r="U964" t="inlineStr"/>
      <c r="V964" t="inlineStr"/>
      <c r="W964" t="inlineStr"/>
      <c r="X964" t="inlineStr"/>
      <c r="Y964" t="inlineStr"/>
      <c r="Z964" t="inlineStr"/>
      <c r="AA964" t="inlineStr"/>
      <c r="AB964" t="inlineStr"/>
      <c r="AC964" t="inlineStr"/>
      <c r="AD964" t="inlineStr"/>
      <c r="AE964" t="inlineStr"/>
      <c r="AF964" t="inlineStr"/>
      <c r="AG964" t="inlineStr"/>
      <c r="AH964" t="inlineStr">
        <is>
          <t>x</t>
        </is>
      </c>
      <c r="AI964" t="inlineStr">
        <is>
          <t>HL</t>
        </is>
      </c>
      <c r="AJ964" t="inlineStr"/>
      <c r="AK964" t="inlineStr">
        <is>
          <t>x</t>
        </is>
      </c>
      <c r="AL964" t="inlineStr"/>
      <c r="AM964" t="inlineStr">
        <is>
          <t>f</t>
        </is>
      </c>
      <c r="AN964" t="inlineStr"/>
      <c r="AO964" t="inlineStr"/>
      <c r="AP964" t="inlineStr"/>
      <c r="AQ964" t="inlineStr"/>
      <c r="AR964" t="inlineStr"/>
      <c r="AS964" t="inlineStr">
        <is>
          <t>Pa</t>
        </is>
      </c>
      <c r="AT964" t="inlineStr"/>
      <c r="AU964" t="inlineStr"/>
      <c r="AV964" t="inlineStr"/>
      <c r="AW964" t="inlineStr"/>
      <c r="AX964" t="inlineStr"/>
      <c r="AY964" t="inlineStr"/>
      <c r="AZ964" t="inlineStr"/>
      <c r="BA964" t="inlineStr"/>
      <c r="BB964" t="inlineStr"/>
      <c r="BC964" t="inlineStr"/>
      <c r="BD964" t="inlineStr"/>
      <c r="BE964" t="inlineStr"/>
      <c r="BF964" t="inlineStr"/>
      <c r="BG964" t="n">
        <v>60</v>
      </c>
      <c r="BH964" t="inlineStr"/>
      <c r="BI964" t="inlineStr"/>
      <c r="BJ964" t="inlineStr"/>
      <c r="BK964" t="inlineStr"/>
      <c r="BL964" t="inlineStr"/>
      <c r="BM964" t="inlineStr">
        <is>
          <t>n</t>
        </is>
      </c>
      <c r="BN964" t="n">
        <v>0</v>
      </c>
      <c r="BO964" t="inlineStr"/>
      <c r="BP964" t="inlineStr"/>
      <c r="BQ964" t="inlineStr"/>
      <c r="BR964" t="inlineStr"/>
      <c r="BS964" t="inlineStr"/>
      <c r="BT964" t="inlineStr">
        <is>
          <t>x sauer</t>
        </is>
      </c>
      <c r="BU964" t="inlineStr">
        <is>
          <t>x</t>
        </is>
      </c>
      <c r="BV964" t="inlineStr"/>
      <c r="BW964" t="inlineStr"/>
      <c r="BX964" t="inlineStr"/>
      <c r="BY964" t="inlineStr"/>
      <c r="BZ964" t="inlineStr"/>
      <c r="CA964" t="inlineStr"/>
      <c r="CB964" t="inlineStr"/>
      <c r="CC964" t="inlineStr"/>
      <c r="CD964" t="inlineStr"/>
      <c r="CE964" t="inlineStr"/>
      <c r="CF964" t="inlineStr"/>
      <c r="CG964" t="inlineStr"/>
      <c r="CH964" t="inlineStr"/>
      <c r="CI964" t="inlineStr"/>
      <c r="CJ964" t="inlineStr"/>
      <c r="CK964" t="inlineStr"/>
      <c r="CL964" t="inlineStr"/>
      <c r="CM964" t="inlineStr"/>
      <c r="CN964" t="inlineStr"/>
      <c r="CO964" t="inlineStr"/>
      <c r="CP964" t="inlineStr"/>
      <c r="CQ964" t="inlineStr"/>
      <c r="CR964" t="inlineStr"/>
      <c r="CS964" t="inlineStr"/>
      <c r="CT964" t="inlineStr"/>
      <c r="CU964" t="inlineStr"/>
      <c r="CV964" t="inlineStr"/>
      <c r="CW964" t="inlineStr"/>
      <c r="CX964" t="inlineStr"/>
      <c r="CY964" t="inlineStr"/>
      <c r="CZ964" t="inlineStr"/>
      <c r="DA964" t="inlineStr"/>
      <c r="DB964" t="inlineStr"/>
      <c r="DC964" t="inlineStr"/>
      <c r="DD964" t="inlineStr"/>
      <c r="DE964" t="inlineStr"/>
      <c r="DF964" t="inlineStr"/>
      <c r="DG964" t="inlineStr"/>
    </row>
    <row r="965">
      <c r="A965" t="inlineStr">
        <is>
          <t>III</t>
        </is>
      </c>
      <c r="B965" t="b">
        <v>1</v>
      </c>
      <c r="C965" t="inlineStr"/>
      <c r="D965" t="inlineStr"/>
      <c r="E965" t="n">
        <v>1094</v>
      </c>
      <c r="F965">
        <f>HYPERLINK("https://portal.dnb.de/opac.htm?method=simpleSearch&amp;cqlMode=true&amp;query=idn%3D993885098", "Portal")</f>
        <v/>
      </c>
      <c r="G965" t="inlineStr">
        <is>
          <t>Aal</t>
        </is>
      </c>
      <c r="H965" t="inlineStr">
        <is>
          <t>L-1542-153948558</t>
        </is>
      </c>
      <c r="I965" t="inlineStr">
        <is>
          <t>993885098</t>
        </is>
      </c>
      <c r="J965" t="inlineStr">
        <is>
          <t>III 104, 22 a</t>
        </is>
      </c>
      <c r="K965" t="inlineStr">
        <is>
          <t>III 104, 22 a</t>
        </is>
      </c>
      <c r="L965" t="inlineStr">
        <is>
          <t>III 104, 22 a</t>
        </is>
      </c>
      <c r="M965" t="inlineStr"/>
      <c r="N965" t="inlineStr">
        <is>
          <t xml:space="preserve">Der @Barfu||ser Muenche Eulenspie-||gel vnd Alcoran : </t>
        </is>
      </c>
      <c r="O965" t="inlineStr">
        <is>
          <t xml:space="preserve"> : </t>
        </is>
      </c>
      <c r="P965" t="inlineStr"/>
      <c r="Q965" t="inlineStr"/>
      <c r="R965" t="inlineStr"/>
      <c r="S965" t="inlineStr">
        <is>
          <t>bis 25 cm</t>
        </is>
      </c>
      <c r="T965" t="inlineStr"/>
      <c r="U965" t="inlineStr"/>
      <c r="V965" t="inlineStr"/>
      <c r="W965" t="inlineStr"/>
      <c r="X965" t="inlineStr"/>
      <c r="Y965" t="inlineStr"/>
      <c r="Z965" t="inlineStr"/>
      <c r="AA965" t="inlineStr"/>
      <c r="AB965" t="inlineStr"/>
      <c r="AC965" t="inlineStr"/>
      <c r="AD965" t="inlineStr"/>
      <c r="AE965" t="inlineStr"/>
      <c r="AF965" t="inlineStr"/>
      <c r="AG965" t="inlineStr"/>
      <c r="AH965" t="inlineStr"/>
      <c r="AI965" t="inlineStr">
        <is>
          <t>G</t>
        </is>
      </c>
      <c r="AJ965" t="inlineStr"/>
      <c r="AK965" t="inlineStr"/>
      <c r="AL965" t="inlineStr"/>
      <c r="AM965" t="inlineStr">
        <is>
          <t>h/E</t>
        </is>
      </c>
      <c r="AN965" t="inlineStr"/>
      <c r="AO965" t="inlineStr"/>
      <c r="AP965" t="inlineStr"/>
      <c r="AQ965" t="inlineStr"/>
      <c r="AR965" t="inlineStr"/>
      <c r="AS965" t="inlineStr">
        <is>
          <t>Pa</t>
        </is>
      </c>
      <c r="AT965" t="inlineStr"/>
      <c r="AU965" t="inlineStr"/>
      <c r="AV965" t="inlineStr"/>
      <c r="AW965" t="inlineStr"/>
      <c r="AX965" t="inlineStr"/>
      <c r="AY965" t="inlineStr"/>
      <c r="AZ965" t="inlineStr"/>
      <c r="BA965" t="inlineStr"/>
      <c r="BB965" t="inlineStr"/>
      <c r="BC965" t="inlineStr"/>
      <c r="BD965" t="inlineStr"/>
      <c r="BE965" t="inlineStr"/>
      <c r="BF965" t="inlineStr"/>
      <c r="BG965" t="n">
        <v>110</v>
      </c>
      <c r="BH965" t="inlineStr"/>
      <c r="BI965" t="inlineStr"/>
      <c r="BJ965" t="inlineStr"/>
      <c r="BK965" t="inlineStr">
        <is>
          <t>x</t>
        </is>
      </c>
      <c r="BL965" t="inlineStr">
        <is>
          <t>x</t>
        </is>
      </c>
      <c r="BM965" t="inlineStr">
        <is>
          <t>n</t>
        </is>
      </c>
      <c r="BN965" t="n">
        <v>0</v>
      </c>
      <c r="BO965" t="inlineStr"/>
      <c r="BP965" t="inlineStr"/>
      <c r="BQ965" t="inlineStr"/>
      <c r="BR965" t="inlineStr"/>
      <c r="BS965" t="inlineStr"/>
      <c r="BT965" t="inlineStr"/>
      <c r="BU965" t="inlineStr"/>
      <c r="BV965" t="inlineStr"/>
      <c r="BW965" t="inlineStr"/>
      <c r="BX965" t="inlineStr"/>
      <c r="BY965" t="inlineStr"/>
      <c r="BZ965" t="inlineStr"/>
      <c r="CA965" t="inlineStr"/>
      <c r="CB965" t="inlineStr"/>
      <c r="CC965" t="inlineStr"/>
      <c r="CD965" t="inlineStr"/>
      <c r="CE965" t="inlineStr"/>
      <c r="CF965" t="inlineStr"/>
      <c r="CG965" t="inlineStr"/>
      <c r="CH965" t="inlineStr"/>
      <c r="CI965" t="inlineStr"/>
      <c r="CJ965" t="inlineStr"/>
      <c r="CK965" t="inlineStr"/>
      <c r="CL965" t="inlineStr"/>
      <c r="CM965" t="inlineStr"/>
      <c r="CN965" t="inlineStr"/>
      <c r="CO965" t="inlineStr"/>
      <c r="CP965" t="inlineStr"/>
      <c r="CQ965" t="inlineStr"/>
      <c r="CR965" t="inlineStr"/>
      <c r="CS965" t="inlineStr"/>
      <c r="CT965" t="inlineStr"/>
      <c r="CU965" t="inlineStr"/>
      <c r="CV965" t="inlineStr"/>
      <c r="CW965" t="inlineStr"/>
      <c r="CX965" t="inlineStr"/>
      <c r="CY965" t="inlineStr"/>
      <c r="CZ965" t="inlineStr"/>
      <c r="DA965" t="inlineStr"/>
      <c r="DB965" t="inlineStr"/>
      <c r="DC965" t="inlineStr"/>
      <c r="DD965" t="inlineStr"/>
      <c r="DE965" t="inlineStr"/>
      <c r="DF965" t="inlineStr"/>
      <c r="DG965" t="inlineStr"/>
    </row>
    <row r="966">
      <c r="A966" t="inlineStr">
        <is>
          <t>III</t>
        </is>
      </c>
      <c r="B966" t="b">
        <v>1</v>
      </c>
      <c r="C966" t="inlineStr"/>
      <c r="D966" t="inlineStr"/>
      <c r="E966" t="n">
        <v>1095</v>
      </c>
      <c r="F966">
        <f>HYPERLINK("https://portal.dnb.de/opac.htm?method=simpleSearch&amp;cqlMode=true&amp;query=idn%3D999178393", "Portal")</f>
        <v/>
      </c>
      <c r="G966" t="inlineStr">
        <is>
          <t>Aal</t>
        </is>
      </c>
      <c r="H966" t="inlineStr">
        <is>
          <t>L-1543-167685090</t>
        </is>
      </c>
      <c r="I966" t="inlineStr">
        <is>
          <t>999178393</t>
        </is>
      </c>
      <c r="J966" t="inlineStr">
        <is>
          <t>III 104, 22 e</t>
        </is>
      </c>
      <c r="K966" t="inlineStr">
        <is>
          <t>III 104, 22 e</t>
        </is>
      </c>
      <c r="L966" t="inlineStr">
        <is>
          <t>III 104, 22 e</t>
        </is>
      </c>
      <c r="M966" t="inlineStr"/>
      <c r="N966" t="inlineStr">
        <is>
          <t xml:space="preserve">An die Hochge||borne Fur=||stin, Fraw Sibilla|| Hertzogin zu Sachssen,|| Oeconomia|| Christiana, das ist,|| von Christlicher Haushal=||tung : </t>
        </is>
      </c>
      <c r="O966" t="inlineStr">
        <is>
          <t xml:space="preserve"> : </t>
        </is>
      </c>
      <c r="P966" t="inlineStr"/>
      <c r="Q966" t="inlineStr"/>
      <c r="R966" t="inlineStr"/>
      <c r="S966" t="inlineStr">
        <is>
          <t>bis 25 cm</t>
        </is>
      </c>
      <c r="T966" t="inlineStr"/>
      <c r="U966" t="inlineStr"/>
      <c r="V966" t="inlineStr"/>
      <c r="W966" t="inlineStr"/>
      <c r="X966" t="inlineStr"/>
      <c r="Y966" t="inlineStr"/>
      <c r="Z966" t="inlineStr"/>
      <c r="AA966" t="inlineStr"/>
      <c r="AB966" t="inlineStr"/>
      <c r="AC966" t="inlineStr"/>
      <c r="AD966" t="inlineStr"/>
      <c r="AE966" t="inlineStr"/>
      <c r="AF966" t="inlineStr"/>
      <c r="AG966" t="inlineStr"/>
      <c r="AH966" t="inlineStr"/>
      <c r="AI966" t="inlineStr">
        <is>
          <t>HD</t>
        </is>
      </c>
      <c r="AJ966" t="inlineStr"/>
      <c r="AK966" t="inlineStr"/>
      <c r="AL966" t="inlineStr">
        <is>
          <t>x</t>
        </is>
      </c>
      <c r="AM966" t="inlineStr">
        <is>
          <t>f</t>
        </is>
      </c>
      <c r="AN966" t="inlineStr"/>
      <c r="AO966" t="inlineStr"/>
      <c r="AP966" t="inlineStr"/>
      <c r="AQ966" t="inlineStr"/>
      <c r="AR966" t="inlineStr"/>
      <c r="AS966" t="inlineStr">
        <is>
          <t>Pa</t>
        </is>
      </c>
      <c r="AT966" t="inlineStr"/>
      <c r="AU966" t="inlineStr"/>
      <c r="AV966" t="inlineStr"/>
      <c r="AW966" t="inlineStr"/>
      <c r="AX966" t="inlineStr"/>
      <c r="AY966" t="inlineStr"/>
      <c r="AZ966" t="inlineStr"/>
      <c r="BA966" t="inlineStr"/>
      <c r="BB966" t="inlineStr"/>
      <c r="BC966" t="inlineStr"/>
      <c r="BD966" t="inlineStr"/>
      <c r="BE966" t="n">
        <v>4</v>
      </c>
      <c r="BF966" t="inlineStr"/>
      <c r="BG966" t="n">
        <v>110</v>
      </c>
      <c r="BH966" t="inlineStr"/>
      <c r="BI966" t="inlineStr"/>
      <c r="BJ966" t="inlineStr"/>
      <c r="BK966" t="inlineStr">
        <is>
          <t>x</t>
        </is>
      </c>
      <c r="BL966" t="inlineStr"/>
      <c r="BM966" t="inlineStr">
        <is>
          <t>n</t>
        </is>
      </c>
      <c r="BN966" t="n">
        <v>0</v>
      </c>
      <c r="BO966" t="inlineStr"/>
      <c r="BP966" t="inlineStr">
        <is>
          <t>Gewebe mit Papier</t>
        </is>
      </c>
      <c r="BQ966" t="inlineStr"/>
      <c r="BR966" t="inlineStr"/>
      <c r="BS966" t="inlineStr"/>
      <c r="BT966" t="inlineStr"/>
      <c r="BU966" t="inlineStr"/>
      <c r="BV966" t="inlineStr"/>
      <c r="BW966" t="inlineStr"/>
      <c r="BX966" t="inlineStr"/>
      <c r="BY966" t="inlineStr"/>
      <c r="BZ966" t="inlineStr"/>
      <c r="CA966" t="inlineStr"/>
      <c r="CB966" t="inlineStr"/>
      <c r="CC966" t="inlineStr"/>
      <c r="CD966" t="inlineStr"/>
      <c r="CE966" t="inlineStr"/>
      <c r="CF966" t="inlineStr"/>
      <c r="CG966" t="inlineStr"/>
      <c r="CH966" t="inlineStr"/>
      <c r="CI966" t="inlineStr"/>
      <c r="CJ966" t="inlineStr"/>
      <c r="CK966" t="inlineStr"/>
      <c r="CL966" t="inlineStr"/>
      <c r="CM966" t="inlineStr"/>
      <c r="CN966" t="inlineStr"/>
      <c r="CO966" t="inlineStr"/>
      <c r="CP966" t="inlineStr"/>
      <c r="CQ966" t="inlineStr"/>
      <c r="CR966" t="inlineStr"/>
      <c r="CS966" t="inlineStr"/>
      <c r="CT966" t="inlineStr"/>
      <c r="CU966" t="inlineStr"/>
      <c r="CV966" t="inlineStr"/>
      <c r="CW966" t="inlineStr"/>
      <c r="CX966" t="inlineStr"/>
      <c r="CY966" t="inlineStr"/>
      <c r="CZ966" t="inlineStr"/>
      <c r="DA966" t="inlineStr"/>
      <c r="DB966" t="inlineStr"/>
      <c r="DC966" t="inlineStr"/>
      <c r="DD966" t="inlineStr"/>
      <c r="DE966" t="inlineStr"/>
      <c r="DF966" t="inlineStr"/>
      <c r="DG966" t="inlineStr"/>
    </row>
    <row r="967">
      <c r="A967" t="inlineStr">
        <is>
          <t>III</t>
        </is>
      </c>
      <c r="B967" t="b">
        <v>1</v>
      </c>
      <c r="C967" t="inlineStr"/>
      <c r="D967" t="inlineStr"/>
      <c r="E967" t="inlineStr"/>
      <c r="F967">
        <f>HYPERLINK("https://portal.dnb.de/opac.htm?method=simpleSearch&amp;cqlMode=true&amp;query=idn%3D1268678872", "Portal")</f>
        <v/>
      </c>
      <c r="G967" t="inlineStr">
        <is>
          <t>Qd</t>
        </is>
      </c>
      <c r="H967" t="inlineStr">
        <is>
          <t>L-1537-833774166</t>
        </is>
      </c>
      <c r="I967" t="inlineStr">
        <is>
          <t>1268678872</t>
        </is>
      </c>
      <c r="J967" t="inlineStr">
        <is>
          <t>III 104, 22 g</t>
        </is>
      </c>
      <c r="K967" t="inlineStr">
        <is>
          <t>III 104, 22 g</t>
        </is>
      </c>
      <c r="L967" t="inlineStr">
        <is>
          <t>III 104, 22 g</t>
        </is>
      </c>
      <c r="M967" t="inlineStr"/>
      <c r="N967" t="inlineStr">
        <is>
          <t xml:space="preserve">Sammelband : </t>
        </is>
      </c>
      <c r="O967" t="inlineStr">
        <is>
          <t xml:space="preserve"> : </t>
        </is>
      </c>
      <c r="P967" t="inlineStr"/>
      <c r="Q967" t="inlineStr"/>
      <c r="R967" t="inlineStr"/>
      <c r="S967" t="inlineStr">
        <is>
          <t>bis 25 cm</t>
        </is>
      </c>
      <c r="T967" t="inlineStr"/>
      <c r="U967" t="inlineStr"/>
      <c r="V967" t="inlineStr"/>
      <c r="W967" t="inlineStr"/>
      <c r="X967" t="inlineStr"/>
      <c r="Y967" t="inlineStr"/>
      <c r="Z967" t="inlineStr"/>
      <c r="AA967" t="inlineStr"/>
      <c r="AB967" t="inlineStr"/>
      <c r="AC967" t="inlineStr"/>
      <c r="AD967" t="inlineStr"/>
      <c r="AE967" t="inlineStr"/>
      <c r="AF967" t="inlineStr"/>
      <c r="AG967" t="inlineStr"/>
      <c r="AH967" t="inlineStr">
        <is>
          <t>x</t>
        </is>
      </c>
      <c r="AI967" t="inlineStr">
        <is>
          <t>Pg</t>
        </is>
      </c>
      <c r="AJ967" t="inlineStr"/>
      <c r="AK967" t="inlineStr"/>
      <c r="AL967" t="inlineStr">
        <is>
          <t>x</t>
        </is>
      </c>
      <c r="AM967" t="inlineStr">
        <is>
          <t>h/E</t>
        </is>
      </c>
      <c r="AN967" t="inlineStr"/>
      <c r="AO967" t="inlineStr"/>
      <c r="AP967" t="inlineStr"/>
      <c r="AQ967" t="inlineStr"/>
      <c r="AR967" t="inlineStr"/>
      <c r="AS967" t="inlineStr">
        <is>
          <t>Pa</t>
        </is>
      </c>
      <c r="AT967" t="inlineStr"/>
      <c r="AU967" t="inlineStr"/>
      <c r="AV967" t="inlineStr"/>
      <c r="AW967" t="inlineStr"/>
      <c r="AX967" t="inlineStr"/>
      <c r="AY967" t="inlineStr"/>
      <c r="AZ967" t="inlineStr"/>
      <c r="BA967" t="inlineStr"/>
      <c r="BB967" t="inlineStr"/>
      <c r="BC967" t="inlineStr"/>
      <c r="BD967" t="inlineStr"/>
      <c r="BE967" t="n">
        <v>4</v>
      </c>
      <c r="BF967" t="inlineStr"/>
      <c r="BG967" t="n">
        <v>110</v>
      </c>
      <c r="BH967" t="inlineStr"/>
      <c r="BI967" t="inlineStr"/>
      <c r="BJ967" t="inlineStr"/>
      <c r="BK967" t="inlineStr">
        <is>
          <t>x</t>
        </is>
      </c>
      <c r="BL967" t="inlineStr"/>
      <c r="BM967" t="inlineStr">
        <is>
          <t>n</t>
        </is>
      </c>
      <c r="BN967" t="n">
        <v>0</v>
      </c>
      <c r="BO967" t="inlineStr"/>
      <c r="BP967" t="inlineStr">
        <is>
          <t>Gewebe</t>
        </is>
      </c>
      <c r="BQ967" t="inlineStr"/>
      <c r="BR967" t="inlineStr"/>
      <c r="BS967" t="inlineStr"/>
      <c r="BT967" t="inlineStr"/>
      <c r="BU967" t="inlineStr"/>
      <c r="BV967" t="inlineStr"/>
      <c r="BW967" t="inlineStr"/>
      <c r="BX967" t="inlineStr"/>
      <c r="BY967" t="inlineStr"/>
      <c r="BZ967" t="inlineStr"/>
      <c r="CA967" t="inlineStr"/>
      <c r="CB967" t="inlineStr"/>
      <c r="CC967" t="inlineStr"/>
      <c r="CD967" t="inlineStr"/>
      <c r="CE967" t="inlineStr"/>
      <c r="CF967" t="inlineStr"/>
      <c r="CG967" t="inlineStr"/>
      <c r="CH967" t="inlineStr"/>
      <c r="CI967" t="inlineStr"/>
      <c r="CJ967" t="inlineStr"/>
      <c r="CK967" t="inlineStr"/>
      <c r="CL967" t="inlineStr"/>
      <c r="CM967" t="inlineStr"/>
      <c r="CN967" t="inlineStr"/>
      <c r="CO967" t="inlineStr"/>
      <c r="CP967" t="inlineStr"/>
      <c r="CQ967" t="inlineStr"/>
      <c r="CR967" t="inlineStr"/>
      <c r="CS967" t="inlineStr"/>
      <c r="CT967" t="inlineStr"/>
      <c r="CU967" t="inlineStr"/>
      <c r="CV967" t="inlineStr"/>
      <c r="CW967" t="inlineStr"/>
      <c r="CX967" t="inlineStr"/>
      <c r="CY967" t="inlineStr"/>
      <c r="CZ967" t="inlineStr"/>
      <c r="DA967" t="inlineStr"/>
      <c r="DB967" t="inlineStr"/>
      <c r="DC967" t="inlineStr"/>
      <c r="DD967" t="inlineStr"/>
      <c r="DE967" t="inlineStr"/>
      <c r="DF967" t="inlineStr"/>
      <c r="DG967" t="inlineStr"/>
    </row>
    <row r="968">
      <c r="A968" t="inlineStr">
        <is>
          <t>III</t>
        </is>
      </c>
      <c r="B968" t="b">
        <v>1</v>
      </c>
      <c r="C968" t="inlineStr"/>
      <c r="D968" t="inlineStr"/>
      <c r="E968" t="n">
        <v>1101</v>
      </c>
      <c r="F968">
        <f>HYPERLINK("https://portal.dnb.de/opac.htm?method=simpleSearch&amp;cqlMode=true&amp;query=idn%3D999172476", "Portal")</f>
        <v/>
      </c>
      <c r="G968" t="inlineStr">
        <is>
          <t>Aal</t>
        </is>
      </c>
      <c r="H968" t="inlineStr">
        <is>
          <t>L-1549-167646265</t>
        </is>
      </c>
      <c r="I968" t="inlineStr">
        <is>
          <t>999172476</t>
        </is>
      </c>
      <c r="J968" t="inlineStr">
        <is>
          <t>III 104, 22 h</t>
        </is>
      </c>
      <c r="K968" t="inlineStr">
        <is>
          <t>III 104, 22 h</t>
        </is>
      </c>
      <c r="L968" t="inlineStr">
        <is>
          <t>III 104, 22 h</t>
        </is>
      </c>
      <c r="M968" t="inlineStr"/>
      <c r="N968" t="inlineStr">
        <is>
          <t>Initia|| doctrinae|| physicae, dicta||ta in Academia Vui||tebergensi|| : [Liber 1.2.3. in 1 Bd.]</t>
        </is>
      </c>
      <c r="O968" t="inlineStr">
        <is>
          <t xml:space="preserve"> : </t>
        </is>
      </c>
      <c r="P968" t="inlineStr"/>
      <c r="Q968" t="inlineStr"/>
      <c r="R968" t="inlineStr"/>
      <c r="S968" t="inlineStr">
        <is>
          <t>bis 25 cm</t>
        </is>
      </c>
      <c r="T968" t="inlineStr"/>
      <c r="U968" t="inlineStr"/>
      <c r="V968" t="inlineStr"/>
      <c r="W968" t="inlineStr"/>
      <c r="X968" t="inlineStr"/>
      <c r="Y968" t="inlineStr"/>
      <c r="Z968" t="inlineStr"/>
      <c r="AA968" t="inlineStr"/>
      <c r="AB968" t="inlineStr"/>
      <c r="AC968" t="inlineStr"/>
      <c r="AD968" t="inlineStr"/>
      <c r="AE968" t="inlineStr"/>
      <c r="AF968" t="inlineStr"/>
      <c r="AG968" t="inlineStr"/>
      <c r="AH968" t="inlineStr"/>
      <c r="AI968" t="inlineStr">
        <is>
          <t>L</t>
        </is>
      </c>
      <c r="AJ968" t="inlineStr"/>
      <c r="AK968" t="inlineStr"/>
      <c r="AL968" t="inlineStr"/>
      <c r="AM968" t="inlineStr">
        <is>
          <t>f</t>
        </is>
      </c>
      <c r="AN968" t="inlineStr"/>
      <c r="AO968" t="inlineStr"/>
      <c r="AP968" t="inlineStr"/>
      <c r="AQ968" t="inlineStr"/>
      <c r="AR968" t="inlineStr"/>
      <c r="AS968" t="inlineStr">
        <is>
          <t>Pa</t>
        </is>
      </c>
      <c r="AT968" t="inlineStr"/>
      <c r="AU968" t="inlineStr"/>
      <c r="AV968" t="inlineStr"/>
      <c r="AW968" t="inlineStr"/>
      <c r="AX968" t="inlineStr"/>
      <c r="AY968" t="inlineStr"/>
      <c r="AZ968" t="inlineStr"/>
      <c r="BA968" t="inlineStr"/>
      <c r="BB968" t="inlineStr"/>
      <c r="BC968" t="inlineStr"/>
      <c r="BD968" t="inlineStr"/>
      <c r="BE968" t="inlineStr"/>
      <c r="BF968" t="inlineStr"/>
      <c r="BG968" t="n">
        <v>60</v>
      </c>
      <c r="BH968" t="inlineStr"/>
      <c r="BI968" t="inlineStr"/>
      <c r="BJ968" t="inlineStr"/>
      <c r="BK968" t="inlineStr"/>
      <c r="BL968" t="inlineStr"/>
      <c r="BM968" t="inlineStr">
        <is>
          <t>n</t>
        </is>
      </c>
      <c r="BN968" t="n">
        <v>0</v>
      </c>
      <c r="BO968" t="inlineStr"/>
      <c r="BP968" t="inlineStr">
        <is>
          <t>Gewebe</t>
        </is>
      </c>
      <c r="BQ968" t="inlineStr"/>
      <c r="BR968" t="inlineStr"/>
      <c r="BS968" t="inlineStr"/>
      <c r="BT968" t="inlineStr"/>
      <c r="BU968" t="inlineStr"/>
      <c r="BV968" t="inlineStr"/>
      <c r="BW968" t="inlineStr"/>
      <c r="BX968" t="inlineStr"/>
      <c r="BY968" t="inlineStr"/>
      <c r="BZ968" t="inlineStr"/>
      <c r="CA968" t="inlineStr"/>
      <c r="CB968" t="inlineStr"/>
      <c r="CC968" t="inlineStr"/>
      <c r="CD968" t="inlineStr"/>
      <c r="CE968" t="inlineStr"/>
      <c r="CF968" t="inlineStr"/>
      <c r="CG968" t="inlineStr"/>
      <c r="CH968" t="inlineStr"/>
      <c r="CI968" t="inlineStr"/>
      <c r="CJ968" t="inlineStr"/>
      <c r="CK968" t="inlineStr"/>
      <c r="CL968" t="inlineStr"/>
      <c r="CM968" t="inlineStr"/>
      <c r="CN968" t="inlineStr"/>
      <c r="CO968" t="inlineStr"/>
      <c r="CP968" t="inlineStr"/>
      <c r="CQ968" t="inlineStr"/>
      <c r="CR968" t="inlineStr"/>
      <c r="CS968" t="inlineStr"/>
      <c r="CT968" t="inlineStr"/>
      <c r="CU968" t="inlineStr"/>
      <c r="CV968" t="inlineStr"/>
      <c r="CW968" t="inlineStr"/>
      <c r="CX968" t="inlineStr"/>
      <c r="CY968" t="inlineStr"/>
      <c r="CZ968" t="inlineStr"/>
      <c r="DA968" t="inlineStr"/>
      <c r="DB968" t="inlineStr"/>
      <c r="DC968" t="inlineStr"/>
      <c r="DD968" t="inlineStr"/>
      <c r="DE968" t="inlineStr"/>
      <c r="DF968" t="inlineStr"/>
      <c r="DG968" t="inlineStr"/>
    </row>
    <row r="969">
      <c r="A969" t="inlineStr">
        <is>
          <t>III</t>
        </is>
      </c>
      <c r="B969" t="b">
        <v>1</v>
      </c>
      <c r="C969" t="inlineStr">
        <is>
          <t>x</t>
        </is>
      </c>
      <c r="D969" t="inlineStr"/>
      <c r="E969" t="n">
        <v>1049</v>
      </c>
      <c r="F969">
        <f>HYPERLINK("https://portal.dnb.de/opac.htm?method=simpleSearch&amp;cqlMode=true&amp;query=idn%3D1066847819", "Portal")</f>
        <v/>
      </c>
      <c r="G969" t="inlineStr">
        <is>
          <t>Aaf</t>
        </is>
      </c>
      <c r="H969" t="inlineStr">
        <is>
          <t>L-1556-315306971</t>
        </is>
      </c>
      <c r="I969" t="inlineStr">
        <is>
          <t>1066847819</t>
        </is>
      </c>
      <c r="J969" t="inlineStr">
        <is>
          <t>III 104, 23</t>
        </is>
      </c>
      <c r="K969" t="inlineStr">
        <is>
          <t>III 104, 23</t>
        </is>
      </c>
      <c r="L969" t="inlineStr">
        <is>
          <t>III 104, 23</t>
        </is>
      </c>
      <c r="M969" t="inlineStr">
        <is>
          <t>steht bei GF</t>
        </is>
      </c>
      <c r="N969" t="inlineStr">
        <is>
          <t xml:space="preserve">Biblia|| Das ist: Die gantze|| heilige Schrifft:|| Deudsch.|| Doct. Mart. Luth.|| : </t>
        </is>
      </c>
      <c r="O969" t="inlineStr">
        <is>
          <t xml:space="preserve"> : </t>
        </is>
      </c>
      <c r="P969" t="inlineStr"/>
      <c r="Q969" t="inlineStr"/>
      <c r="R969" t="inlineStr"/>
      <c r="S969" t="inlineStr">
        <is>
          <t>bis 42 cm</t>
        </is>
      </c>
      <c r="T969" t="inlineStr"/>
      <c r="U969" t="inlineStr"/>
      <c r="V969" t="inlineStr"/>
      <c r="W969" t="inlineStr"/>
      <c r="X969" t="inlineStr"/>
      <c r="Y969" t="inlineStr"/>
      <c r="Z969" t="inlineStr"/>
      <c r="AA969" t="inlineStr"/>
      <c r="AB969" t="inlineStr"/>
      <c r="AC969" t="inlineStr"/>
      <c r="AD969" t="inlineStr"/>
      <c r="AE969" t="inlineStr"/>
      <c r="AF969" t="inlineStr"/>
      <c r="AG969" t="inlineStr">
        <is>
          <t>x</t>
        </is>
      </c>
      <c r="AH969" t="inlineStr"/>
      <c r="AI969" t="inlineStr">
        <is>
          <t>HD</t>
        </is>
      </c>
      <c r="AJ969" t="inlineStr"/>
      <c r="AK969" t="inlineStr">
        <is>
          <t>x</t>
        </is>
      </c>
      <c r="AL969" t="inlineStr"/>
      <c r="AM969" t="inlineStr">
        <is>
          <t>f/V</t>
        </is>
      </c>
      <c r="AN969" t="inlineStr"/>
      <c r="AO969" t="inlineStr"/>
      <c r="AP969" t="inlineStr"/>
      <c r="AQ969" t="inlineStr"/>
      <c r="AR969" t="inlineStr">
        <is>
          <t>x</t>
        </is>
      </c>
      <c r="AS969" t="inlineStr">
        <is>
          <t>Pa</t>
        </is>
      </c>
      <c r="AT969" t="inlineStr"/>
      <c r="AU969" t="inlineStr"/>
      <c r="AV969" t="inlineStr"/>
      <c r="AW969" t="inlineStr"/>
      <c r="AX969" t="inlineStr"/>
      <c r="AY969" t="inlineStr"/>
      <c r="AZ969" t="inlineStr"/>
      <c r="BA969" t="inlineStr"/>
      <c r="BB969" t="inlineStr"/>
      <c r="BC969" t="inlineStr"/>
      <c r="BD969" t="inlineStr"/>
      <c r="BE969" t="n">
        <v>0</v>
      </c>
      <c r="BF969" t="inlineStr">
        <is>
          <t>x</t>
        </is>
      </c>
      <c r="BG969" t="n">
        <v>110</v>
      </c>
      <c r="BH969" t="inlineStr"/>
      <c r="BI969" t="inlineStr"/>
      <c r="BJ969" t="inlineStr"/>
      <c r="BK969" t="inlineStr"/>
      <c r="BL969" t="inlineStr"/>
      <c r="BM969" t="inlineStr">
        <is>
          <t>ja vor</t>
        </is>
      </c>
      <c r="BN969" t="n">
        <v>0.5</v>
      </c>
      <c r="BO969" t="inlineStr"/>
      <c r="BP969" t="inlineStr"/>
      <c r="BQ969" t="inlineStr"/>
      <c r="BR969" t="inlineStr"/>
      <c r="BS969" t="inlineStr"/>
      <c r="BT969" t="inlineStr"/>
      <c r="BU969" t="inlineStr"/>
      <c r="BV969" t="inlineStr"/>
      <c r="BW969" t="inlineStr">
        <is>
          <t>x 110</t>
        </is>
      </c>
      <c r="BX969" t="inlineStr">
        <is>
          <t xml:space="preserve">
13 cm dick, Bundsteg 0, steife Schließe</t>
        </is>
      </c>
      <c r="BY969" t="inlineStr">
        <is>
          <t>Box (wg. Schließe)</t>
        </is>
      </c>
      <c r="BZ969" t="inlineStr"/>
      <c r="CA969" t="inlineStr"/>
      <c r="CB969" t="inlineStr">
        <is>
          <t>x</t>
        </is>
      </c>
      <c r="CC969" t="inlineStr"/>
      <c r="CD969" t="inlineStr"/>
      <c r="CE969" t="inlineStr"/>
      <c r="CF969" t="inlineStr"/>
      <c r="CG969" t="inlineStr">
        <is>
          <t>x</t>
        </is>
      </c>
      <c r="CH969" t="inlineStr"/>
      <c r="CI969" t="inlineStr"/>
      <c r="CJ969" t="inlineStr"/>
      <c r="CK969" t="inlineStr"/>
      <c r="CL969" t="inlineStr"/>
      <c r="CM969" t="n">
        <v>0.5</v>
      </c>
      <c r="CN969" t="inlineStr"/>
      <c r="CO969" t="inlineStr"/>
      <c r="CP969" t="inlineStr"/>
      <c r="CQ969" t="inlineStr"/>
      <c r="CR969" t="inlineStr"/>
      <c r="CS969" t="inlineStr"/>
      <c r="CT969" t="inlineStr"/>
      <c r="CU969" t="inlineStr"/>
      <c r="CV969" t="inlineStr"/>
      <c r="CW969" t="inlineStr"/>
      <c r="CX969" t="inlineStr"/>
      <c r="CY969" t="inlineStr"/>
      <c r="CZ969" t="inlineStr"/>
      <c r="DA969" t="inlineStr"/>
      <c r="DB969" t="inlineStr"/>
      <c r="DC969" t="inlineStr"/>
      <c r="DD969" t="inlineStr"/>
      <c r="DE969" t="inlineStr"/>
      <c r="DF969" t="inlineStr"/>
      <c r="DG969" t="inlineStr"/>
    </row>
    <row r="970">
      <c r="A970" t="inlineStr">
        <is>
          <t>III</t>
        </is>
      </c>
      <c r="B970" t="b">
        <v>1</v>
      </c>
      <c r="C970" t="inlineStr"/>
      <c r="D970" t="inlineStr"/>
      <c r="E970" t="n">
        <v>1050</v>
      </c>
      <c r="F970">
        <f>HYPERLINK("https://portal.dnb.de/opac.htm?method=simpleSearch&amp;cqlMode=true&amp;query=idn%3D993887112", "Portal")</f>
        <v/>
      </c>
      <c r="G970" t="inlineStr">
        <is>
          <t>Aal</t>
        </is>
      </c>
      <c r="H970" t="inlineStr">
        <is>
          <t>L-1526-15395048X</t>
        </is>
      </c>
      <c r="I970" t="inlineStr">
        <is>
          <t>993887112</t>
        </is>
      </c>
      <c r="J970" t="inlineStr">
        <is>
          <t>III 104, 24</t>
        </is>
      </c>
      <c r="K970" t="inlineStr">
        <is>
          <t>III 104, 24</t>
        </is>
      </c>
      <c r="L970" t="inlineStr">
        <is>
          <t>III 104, 24</t>
        </is>
      </c>
      <c r="M970" t="inlineStr"/>
      <c r="N970" t="inlineStr">
        <is>
          <t>Der @Neuntzige||ste Psalmus|| Wie keyn trost|| h°ulff|| od||der sterck|| sey|| de, teuffel|| vnd aller får|| geystlich|| vnd leyplich|| zu widder||ste</t>
        </is>
      </c>
      <c r="O970" t="inlineStr">
        <is>
          <t xml:space="preserve"> : </t>
        </is>
      </c>
      <c r="P970" t="inlineStr"/>
      <c r="Q970" t="inlineStr"/>
      <c r="R970" t="inlineStr"/>
      <c r="S970" t="inlineStr">
        <is>
          <t>bis 25 cm</t>
        </is>
      </c>
      <c r="T970" t="inlineStr"/>
      <c r="U970" t="inlineStr"/>
      <c r="V970" t="inlineStr"/>
      <c r="W970" t="inlineStr"/>
      <c r="X970" t="inlineStr"/>
      <c r="Y970" t="inlineStr"/>
      <c r="Z970" t="inlineStr"/>
      <c r="AA970" t="inlineStr"/>
      <c r="AB970" t="inlineStr"/>
      <c r="AC970" t="inlineStr"/>
      <c r="AD970" t="inlineStr"/>
      <c r="AE970" t="inlineStr"/>
      <c r="AF970" t="inlineStr"/>
      <c r="AG970" t="inlineStr"/>
      <c r="AH970" t="inlineStr"/>
      <c r="AI970" t="inlineStr">
        <is>
          <t>Pa</t>
        </is>
      </c>
      <c r="AJ970" t="inlineStr"/>
      <c r="AK970" t="inlineStr"/>
      <c r="AL970" t="inlineStr"/>
      <c r="AM970" t="inlineStr">
        <is>
          <t>h/E</t>
        </is>
      </c>
      <c r="AN970" t="inlineStr"/>
      <c r="AO970" t="inlineStr"/>
      <c r="AP970" t="inlineStr"/>
      <c r="AQ970" t="inlineStr"/>
      <c r="AR970" t="inlineStr"/>
      <c r="AS970" t="inlineStr">
        <is>
          <t>Pa</t>
        </is>
      </c>
      <c r="AT970" t="inlineStr"/>
      <c r="AU970" t="inlineStr"/>
      <c r="AV970" t="inlineStr"/>
      <c r="AW970" t="inlineStr"/>
      <c r="AX970" t="inlineStr"/>
      <c r="AY970" t="inlineStr"/>
      <c r="AZ970" t="inlineStr"/>
      <c r="BA970" t="inlineStr"/>
      <c r="BB970" t="inlineStr"/>
      <c r="BC970" t="inlineStr"/>
      <c r="BD970" t="inlineStr"/>
      <c r="BE970" t="inlineStr"/>
      <c r="BF970" t="inlineStr"/>
      <c r="BG970" t="n">
        <v>110</v>
      </c>
      <c r="BH970" t="inlineStr"/>
      <c r="BI970" t="inlineStr"/>
      <c r="BJ970" t="inlineStr"/>
      <c r="BK970" t="inlineStr"/>
      <c r="BL970" t="inlineStr"/>
      <c r="BM970" t="inlineStr">
        <is>
          <t>n</t>
        </is>
      </c>
      <c r="BN970" t="n">
        <v>0</v>
      </c>
      <c r="BO970" t="inlineStr"/>
      <c r="BP970" t="inlineStr"/>
      <c r="BQ970" t="inlineStr"/>
      <c r="BR970" t="inlineStr"/>
      <c r="BS970" t="inlineStr"/>
      <c r="BT970" t="inlineStr"/>
      <c r="BU970" t="inlineStr"/>
      <c r="BV970" t="inlineStr"/>
      <c r="BW970" t="inlineStr"/>
      <c r="BX970" t="inlineStr"/>
      <c r="BY970" t="inlineStr"/>
      <c r="BZ970" t="inlineStr"/>
      <c r="CA970" t="inlineStr"/>
      <c r="CB970" t="inlineStr"/>
      <c r="CC970" t="inlineStr"/>
      <c r="CD970" t="inlineStr"/>
      <c r="CE970" t="inlineStr"/>
      <c r="CF970" t="inlineStr"/>
      <c r="CG970" t="inlineStr"/>
      <c r="CH970" t="inlineStr"/>
      <c r="CI970" t="inlineStr"/>
      <c r="CJ970" t="inlineStr"/>
      <c r="CK970" t="inlineStr"/>
      <c r="CL970" t="inlineStr"/>
      <c r="CM970" t="inlineStr"/>
      <c r="CN970" t="inlineStr"/>
      <c r="CO970" t="inlineStr"/>
      <c r="CP970" t="inlineStr"/>
      <c r="CQ970" t="inlineStr"/>
      <c r="CR970" t="inlineStr"/>
      <c r="CS970" t="inlineStr"/>
      <c r="CT970" t="inlineStr"/>
      <c r="CU970" t="inlineStr"/>
      <c r="CV970" t="inlineStr"/>
      <c r="CW970" t="inlineStr"/>
      <c r="CX970" t="inlineStr"/>
      <c r="CY970" t="inlineStr"/>
      <c r="CZ970" t="inlineStr"/>
      <c r="DA970" t="inlineStr"/>
      <c r="DB970" t="inlineStr"/>
      <c r="DC970" t="inlineStr"/>
      <c r="DD970" t="inlineStr"/>
      <c r="DE970" t="inlineStr"/>
      <c r="DF970" t="inlineStr"/>
      <c r="DG970" t="inlineStr"/>
    </row>
    <row r="971">
      <c r="A971" t="inlineStr">
        <is>
          <t>III</t>
        </is>
      </c>
      <c r="B971" t="b">
        <v>1</v>
      </c>
      <c r="C971" t="inlineStr"/>
      <c r="D971" t="inlineStr"/>
      <c r="E971" t="inlineStr"/>
      <c r="F971">
        <f>HYPERLINK("https://portal.dnb.de/opac.htm?method=simpleSearch&amp;cqlMode=true&amp;query=idn%3D1138242047", "Portal")</f>
        <v/>
      </c>
      <c r="G971" t="inlineStr">
        <is>
          <t>Qd</t>
        </is>
      </c>
      <c r="H971" t="inlineStr">
        <is>
          <t>L-9999-414746961</t>
        </is>
      </c>
      <c r="I971" t="inlineStr">
        <is>
          <t>1138242047</t>
        </is>
      </c>
      <c r="J971" t="inlineStr">
        <is>
          <t>III 104, 25</t>
        </is>
      </c>
      <c r="K971" t="inlineStr">
        <is>
          <t>III 104, 25</t>
        </is>
      </c>
      <c r="L971" t="inlineStr">
        <is>
          <t>III 104, 25</t>
        </is>
      </c>
      <c r="M971" t="inlineStr"/>
      <c r="N971" t="inlineStr">
        <is>
          <t xml:space="preserve">Sammelband mit zwei Werken von Martin Luther : </t>
        </is>
      </c>
      <c r="O971" t="inlineStr">
        <is>
          <t xml:space="preserve"> : </t>
        </is>
      </c>
      <c r="P971" t="inlineStr"/>
      <c r="Q971" t="inlineStr"/>
      <c r="R971" t="inlineStr"/>
      <c r="S971" t="inlineStr">
        <is>
          <t>bis 25 cm</t>
        </is>
      </c>
      <c r="T971" t="inlineStr"/>
      <c r="U971" t="inlineStr"/>
      <c r="V971" t="inlineStr"/>
      <c r="W971" t="inlineStr"/>
      <c r="X971" t="inlineStr"/>
      <c r="Y971" t="inlineStr"/>
      <c r="Z971" t="inlineStr"/>
      <c r="AA971" t="inlineStr"/>
      <c r="AB971" t="inlineStr"/>
      <c r="AC971" t="inlineStr"/>
      <c r="AD971" t="inlineStr"/>
      <c r="AE971" t="inlineStr"/>
      <c r="AF971" t="inlineStr"/>
      <c r="AG971" t="inlineStr"/>
      <c r="AH971" t="inlineStr"/>
      <c r="AI971" t="inlineStr">
        <is>
          <t>L</t>
        </is>
      </c>
      <c r="AJ971" t="inlineStr"/>
      <c r="AK971" t="inlineStr">
        <is>
          <t>x</t>
        </is>
      </c>
      <c r="AL971" t="inlineStr"/>
      <c r="AM971" t="inlineStr">
        <is>
          <t>h/E</t>
        </is>
      </c>
      <c r="AN971" t="inlineStr"/>
      <c r="AO971" t="inlineStr"/>
      <c r="AP971" t="inlineStr"/>
      <c r="AQ971" t="inlineStr"/>
      <c r="AR971" t="inlineStr"/>
      <c r="AS971" t="inlineStr">
        <is>
          <t>Pa</t>
        </is>
      </c>
      <c r="AT971" t="inlineStr"/>
      <c r="AU971" t="inlineStr"/>
      <c r="AV971" t="inlineStr"/>
      <c r="AW971" t="inlineStr"/>
      <c r="AX971" t="inlineStr"/>
      <c r="AY971" t="inlineStr"/>
      <c r="AZ971" t="inlineStr"/>
      <c r="BA971" t="inlineStr"/>
      <c r="BB971" t="inlineStr"/>
      <c r="BC971" t="inlineStr"/>
      <c r="BD971" t="inlineStr"/>
      <c r="BE971" t="inlineStr"/>
      <c r="BF971" t="inlineStr"/>
      <c r="BG971" t="n">
        <v>110</v>
      </c>
      <c r="BH971" t="inlineStr"/>
      <c r="BI971" t="inlineStr"/>
      <c r="BJ971" t="inlineStr"/>
      <c r="BK971" t="inlineStr"/>
      <c r="BL971" t="inlineStr"/>
      <c r="BM971" t="inlineStr">
        <is>
          <t>n</t>
        </is>
      </c>
      <c r="BN971" t="n">
        <v>0</v>
      </c>
      <c r="BO971" t="inlineStr"/>
      <c r="BP971" t="inlineStr"/>
      <c r="BQ971" t="inlineStr"/>
      <c r="BR971" t="inlineStr">
        <is>
          <t>x</t>
        </is>
      </c>
      <c r="BS971" t="inlineStr"/>
      <c r="BT971" t="inlineStr"/>
      <c r="BU971" t="inlineStr"/>
      <c r="BV971" t="inlineStr"/>
      <c r="BW971" t="inlineStr"/>
      <c r="BX971" t="inlineStr"/>
      <c r="BY971" t="inlineStr"/>
      <c r="BZ971" t="inlineStr"/>
      <c r="CA971" t="inlineStr"/>
      <c r="CB971" t="inlineStr"/>
      <c r="CC971" t="inlineStr"/>
      <c r="CD971" t="inlineStr"/>
      <c r="CE971" t="inlineStr"/>
      <c r="CF971" t="inlineStr"/>
      <c r="CG971" t="inlineStr"/>
      <c r="CH971" t="inlineStr"/>
      <c r="CI971" t="inlineStr"/>
      <c r="CJ971" t="inlineStr"/>
      <c r="CK971" t="inlineStr"/>
      <c r="CL971" t="inlineStr"/>
      <c r="CM971" t="inlineStr"/>
      <c r="CN971" t="inlineStr"/>
      <c r="CO971" t="inlineStr"/>
      <c r="CP971" t="inlineStr"/>
      <c r="CQ971" t="inlineStr"/>
      <c r="CR971" t="inlineStr"/>
      <c r="CS971" t="inlineStr"/>
      <c r="CT971" t="inlineStr"/>
      <c r="CU971" t="inlineStr"/>
      <c r="CV971" t="inlineStr"/>
      <c r="CW971" t="inlineStr"/>
      <c r="CX971" t="inlineStr"/>
      <c r="CY971" t="inlineStr"/>
      <c r="CZ971" t="inlineStr"/>
      <c r="DA971" t="inlineStr"/>
      <c r="DB971" t="inlineStr"/>
      <c r="DC971" t="inlineStr"/>
      <c r="DD971" t="inlineStr"/>
      <c r="DE971" t="inlineStr"/>
      <c r="DF971" t="inlineStr"/>
      <c r="DG971" t="inlineStr"/>
    </row>
    <row r="972">
      <c r="A972" t="inlineStr">
        <is>
          <t>III</t>
        </is>
      </c>
      <c r="B972" t="b">
        <v>1</v>
      </c>
      <c r="C972" t="inlineStr"/>
      <c r="D972" t="inlineStr"/>
      <c r="E972" t="n">
        <v>1103</v>
      </c>
      <c r="F972">
        <f>HYPERLINK("https://portal.dnb.de/opac.htm?method=simpleSearch&amp;cqlMode=true&amp;query=idn%3D99456354X", "Portal")</f>
        <v/>
      </c>
      <c r="G972" t="inlineStr">
        <is>
          <t>Aal</t>
        </is>
      </c>
      <c r="H972" t="inlineStr">
        <is>
          <t>L-1529-156634635</t>
        </is>
      </c>
      <c r="I972" t="inlineStr">
        <is>
          <t>99456354X</t>
        </is>
      </c>
      <c r="J972" t="inlineStr">
        <is>
          <t>III 104, 25a</t>
        </is>
      </c>
      <c r="K972" t="inlineStr">
        <is>
          <t>III 104, 25a</t>
        </is>
      </c>
      <c r="L972" t="inlineStr">
        <is>
          <t>III 104, 25 a</t>
        </is>
      </c>
      <c r="M972" t="inlineStr"/>
      <c r="N972" t="inlineStr">
        <is>
          <t>Wahrhafftig be||richt, Das das wort Gotts,||ohn tumult, ohn schwer||merey, zu Gosler vnd Braun||schweigk gepredigt wird,|| durch|| Anto : Coruinum|| z</t>
        </is>
      </c>
      <c r="O972" t="inlineStr">
        <is>
          <t xml:space="preserve"> : </t>
        </is>
      </c>
      <c r="P972" t="inlineStr"/>
      <c r="Q972" t="inlineStr"/>
      <c r="R972" t="inlineStr"/>
      <c r="S972" t="inlineStr">
        <is>
          <t>bis 25 cm</t>
        </is>
      </c>
      <c r="T972" t="inlineStr"/>
      <c r="U972" t="inlineStr"/>
      <c r="V972" t="inlineStr"/>
      <c r="W972" t="inlineStr"/>
      <c r="X972" t="inlineStr"/>
      <c r="Y972" t="inlineStr"/>
      <c r="Z972" t="inlineStr"/>
      <c r="AA972" t="inlineStr"/>
      <c r="AB972" t="inlineStr"/>
      <c r="AC972" t="inlineStr"/>
      <c r="AD972" t="inlineStr"/>
      <c r="AE972" t="inlineStr"/>
      <c r="AF972" t="inlineStr"/>
      <c r="AG972" t="inlineStr"/>
      <c r="AH972" t="inlineStr"/>
      <c r="AI972" t="inlineStr">
        <is>
          <t>HPg</t>
        </is>
      </c>
      <c r="AJ972" t="inlineStr"/>
      <c r="AK972" t="inlineStr"/>
      <c r="AL972" t="inlineStr"/>
      <c r="AM972" t="inlineStr">
        <is>
          <t>h/E</t>
        </is>
      </c>
      <c r="AN972" t="inlineStr"/>
      <c r="AO972" t="inlineStr"/>
      <c r="AP972" t="inlineStr"/>
      <c r="AQ972" t="inlineStr"/>
      <c r="AR972" t="inlineStr"/>
      <c r="AS972" t="inlineStr">
        <is>
          <t>Pa</t>
        </is>
      </c>
      <c r="AT972" t="inlineStr"/>
      <c r="AU972" t="inlineStr"/>
      <c r="AV972" t="inlineStr"/>
      <c r="AW972" t="inlineStr"/>
      <c r="AX972" t="inlineStr"/>
      <c r="AY972" t="inlineStr"/>
      <c r="AZ972" t="inlineStr"/>
      <c r="BA972" t="inlineStr"/>
      <c r="BB972" t="inlineStr"/>
      <c r="BC972" t="inlineStr"/>
      <c r="BD972" t="inlineStr"/>
      <c r="BE972" t="inlineStr"/>
      <c r="BF972" t="inlineStr"/>
      <c r="BG972" t="n">
        <v>80</v>
      </c>
      <c r="BH972" t="inlineStr"/>
      <c r="BI972" t="inlineStr"/>
      <c r="BJ972" t="inlineStr"/>
      <c r="BK972" t="inlineStr"/>
      <c r="BL972" t="inlineStr"/>
      <c r="BM972" t="inlineStr">
        <is>
          <t>n</t>
        </is>
      </c>
      <c r="BN972" t="n">
        <v>0</v>
      </c>
      <c r="BO972" t="inlineStr"/>
      <c r="BP972" t="inlineStr"/>
      <c r="BQ972" t="inlineStr"/>
      <c r="BR972" t="inlineStr"/>
      <c r="BS972" t="inlineStr"/>
      <c r="BT972" t="inlineStr"/>
      <c r="BU972" t="inlineStr"/>
      <c r="BV972" t="inlineStr"/>
      <c r="BW972" t="inlineStr"/>
      <c r="BX972" t="inlineStr"/>
      <c r="BY972" t="inlineStr"/>
      <c r="BZ972" t="inlineStr"/>
      <c r="CA972" t="inlineStr"/>
      <c r="CB972" t="inlineStr"/>
      <c r="CC972" t="inlineStr"/>
      <c r="CD972" t="inlineStr"/>
      <c r="CE972" t="inlineStr"/>
      <c r="CF972" t="inlineStr"/>
      <c r="CG972" t="inlineStr"/>
      <c r="CH972" t="inlineStr"/>
      <c r="CI972" t="inlineStr"/>
      <c r="CJ972" t="inlineStr"/>
      <c r="CK972" t="inlineStr"/>
      <c r="CL972" t="inlineStr"/>
      <c r="CM972" t="inlineStr"/>
      <c r="CN972" t="inlineStr"/>
      <c r="CO972" t="inlineStr"/>
      <c r="CP972" t="inlineStr"/>
      <c r="CQ972" t="inlineStr"/>
      <c r="CR972" t="inlineStr"/>
      <c r="CS972" t="inlineStr"/>
      <c r="CT972" t="inlineStr"/>
      <c r="CU972" t="inlineStr"/>
      <c r="CV972" t="inlineStr"/>
      <c r="CW972" t="inlineStr"/>
      <c r="CX972" t="inlineStr"/>
      <c r="CY972" t="inlineStr"/>
      <c r="CZ972" t="inlineStr"/>
      <c r="DA972" t="inlineStr"/>
      <c r="DB972" t="inlineStr"/>
      <c r="DC972" t="inlineStr"/>
      <c r="DD972" t="inlineStr"/>
      <c r="DE972" t="inlineStr"/>
      <c r="DF972" t="inlineStr"/>
      <c r="DG972" t="inlineStr"/>
    </row>
    <row r="973">
      <c r="A973" t="inlineStr">
        <is>
          <t>III</t>
        </is>
      </c>
      <c r="B973" t="b">
        <v>1</v>
      </c>
      <c r="C973" t="inlineStr"/>
      <c r="D973" t="inlineStr"/>
      <c r="E973" t="n">
        <v>1104</v>
      </c>
      <c r="F973">
        <f>HYPERLINK("https://portal.dnb.de/opac.htm?method=simpleSearch&amp;cqlMode=true&amp;query=idn%3D998921629", "Portal")</f>
        <v/>
      </c>
      <c r="G973" t="inlineStr">
        <is>
          <t>Aal</t>
        </is>
      </c>
      <c r="H973" t="inlineStr">
        <is>
          <t>L-1534-167205846</t>
        </is>
      </c>
      <c r="I973" t="inlineStr">
        <is>
          <t>998921629</t>
        </is>
      </c>
      <c r="J973" t="inlineStr">
        <is>
          <t>III 104, 25b</t>
        </is>
      </c>
      <c r="K973" t="inlineStr">
        <is>
          <t>III 104, 25b</t>
        </is>
      </c>
      <c r="L973" t="inlineStr">
        <is>
          <t>III 104, 25 b</t>
        </is>
      </c>
      <c r="M973" t="inlineStr"/>
      <c r="N973" t="inlineStr">
        <is>
          <t xml:space="preserve">Der @LXV|| Psalm|| durch|| D. Mart. Luth.|| zu Dessaw|| fur den|| Feursten zu Anhalt|| gepredigt : </t>
        </is>
      </c>
      <c r="O973" t="inlineStr">
        <is>
          <t xml:space="preserve"> : </t>
        </is>
      </c>
      <c r="P973" t="inlineStr"/>
      <c r="Q973" t="inlineStr"/>
      <c r="R973" t="inlineStr"/>
      <c r="S973" t="inlineStr">
        <is>
          <t>bis 25 cm</t>
        </is>
      </c>
      <c r="T973" t="inlineStr"/>
      <c r="U973" t="inlineStr"/>
      <c r="V973" t="inlineStr"/>
      <c r="W973" t="inlineStr"/>
      <c r="X973" t="inlineStr"/>
      <c r="Y973" t="inlineStr"/>
      <c r="Z973" t="inlineStr"/>
      <c r="AA973" t="inlineStr"/>
      <c r="AB973" t="inlineStr"/>
      <c r="AC973" t="inlineStr"/>
      <c r="AD973" t="inlineStr"/>
      <c r="AE973" t="inlineStr"/>
      <c r="AF973" t="inlineStr"/>
      <c r="AG973" t="inlineStr"/>
      <c r="AH973" t="inlineStr"/>
      <c r="AI973" t="inlineStr">
        <is>
          <t>HPg</t>
        </is>
      </c>
      <c r="AJ973" t="inlineStr"/>
      <c r="AK973" t="inlineStr"/>
      <c r="AL973" t="inlineStr">
        <is>
          <t>x</t>
        </is>
      </c>
      <c r="AM973" t="inlineStr">
        <is>
          <t>h/E</t>
        </is>
      </c>
      <c r="AN973" t="inlineStr"/>
      <c r="AO973" t="inlineStr"/>
      <c r="AP973" t="inlineStr"/>
      <c r="AQ973" t="inlineStr"/>
      <c r="AR973" t="inlineStr"/>
      <c r="AS973" t="inlineStr">
        <is>
          <t>Pa</t>
        </is>
      </c>
      <c r="AT973" t="inlineStr"/>
      <c r="AU973" t="inlineStr"/>
      <c r="AV973" t="inlineStr"/>
      <c r="AW973" t="inlineStr"/>
      <c r="AX973" t="inlineStr"/>
      <c r="AY973" t="inlineStr"/>
      <c r="AZ973" t="inlineStr"/>
      <c r="BA973" t="inlineStr"/>
      <c r="BB973" t="inlineStr"/>
      <c r="BC973" t="inlineStr"/>
      <c r="BD973" t="inlineStr"/>
      <c r="BE973" t="inlineStr"/>
      <c r="BF973" t="inlineStr"/>
      <c r="BG973" t="n">
        <v>110</v>
      </c>
      <c r="BH973" t="inlineStr"/>
      <c r="BI973" t="inlineStr"/>
      <c r="BJ973" t="inlineStr"/>
      <c r="BK973" t="inlineStr"/>
      <c r="BL973" t="inlineStr"/>
      <c r="BM973" t="inlineStr">
        <is>
          <t>n</t>
        </is>
      </c>
      <c r="BN973" t="n">
        <v>0</v>
      </c>
      <c r="BO973" t="inlineStr"/>
      <c r="BP973" t="inlineStr">
        <is>
          <t>Gewebe</t>
        </is>
      </c>
      <c r="BQ973" t="inlineStr"/>
      <c r="BR973" t="inlineStr"/>
      <c r="BS973" t="inlineStr"/>
      <c r="BT973" t="inlineStr"/>
      <c r="BU973" t="inlineStr"/>
      <c r="BV973" t="inlineStr">
        <is>
          <t>mit anderen Büchern gemeinsam in einer Kassette</t>
        </is>
      </c>
      <c r="BW973" t="inlineStr"/>
      <c r="BX973" t="inlineStr"/>
      <c r="BY973" t="inlineStr"/>
      <c r="BZ973" t="inlineStr"/>
      <c r="CA973" t="inlineStr"/>
      <c r="CB973" t="inlineStr"/>
      <c r="CC973" t="inlineStr"/>
      <c r="CD973" t="inlineStr"/>
      <c r="CE973" t="inlineStr"/>
      <c r="CF973" t="inlineStr"/>
      <c r="CG973" t="inlineStr"/>
      <c r="CH973" t="inlineStr"/>
      <c r="CI973" t="inlineStr"/>
      <c r="CJ973" t="inlineStr"/>
      <c r="CK973" t="inlineStr"/>
      <c r="CL973" t="inlineStr"/>
      <c r="CM973" t="inlineStr"/>
      <c r="CN973" t="inlineStr"/>
      <c r="CO973" t="inlineStr"/>
      <c r="CP973" t="inlineStr"/>
      <c r="CQ973" t="inlineStr"/>
      <c r="CR973" t="inlineStr"/>
      <c r="CS973" t="inlineStr"/>
      <c r="CT973" t="inlineStr"/>
      <c r="CU973" t="inlineStr"/>
      <c r="CV973" t="inlineStr"/>
      <c r="CW973" t="inlineStr"/>
      <c r="CX973" t="inlineStr"/>
      <c r="CY973" t="inlineStr"/>
      <c r="CZ973" t="inlineStr"/>
      <c r="DA973" t="inlineStr"/>
      <c r="DB973" t="inlineStr"/>
      <c r="DC973" t="inlineStr"/>
      <c r="DD973" t="inlineStr"/>
      <c r="DE973" t="inlineStr"/>
      <c r="DF973" t="inlineStr"/>
      <c r="DG973" t="inlineStr"/>
    </row>
    <row r="974">
      <c r="A974" t="inlineStr">
        <is>
          <t>III</t>
        </is>
      </c>
      <c r="B974" t="b">
        <v>1</v>
      </c>
      <c r="C974" t="inlineStr"/>
      <c r="D974" t="inlineStr"/>
      <c r="E974" t="n">
        <v>1105</v>
      </c>
      <c r="F974">
        <f>HYPERLINK("https://portal.dnb.de/opac.htm?method=simpleSearch&amp;cqlMode=true&amp;query=idn%3D997626577", "Portal")</f>
        <v/>
      </c>
      <c r="G974" t="inlineStr">
        <is>
          <t>Aal</t>
        </is>
      </c>
      <c r="H974" t="inlineStr">
        <is>
          <t>L-1534-164451234</t>
        </is>
      </c>
      <c r="I974" t="inlineStr">
        <is>
          <t>997626577</t>
        </is>
      </c>
      <c r="J974" t="inlineStr">
        <is>
          <t>III 104, 26 a</t>
        </is>
      </c>
      <c r="K974" t="inlineStr">
        <is>
          <t>III 104, 26 a</t>
        </is>
      </c>
      <c r="L974" t="inlineStr">
        <is>
          <t>III 104, 26 a</t>
        </is>
      </c>
      <c r="M974" t="inlineStr"/>
      <c r="N974" t="inlineStr">
        <is>
          <t xml:space="preserve">Wilch die rech||te Kirche, Vnd da||gegen wilch die falsche Kirch|| ist, Christlich antwort vnd|| tröstliche vnterricht, : </t>
        </is>
      </c>
      <c r="O974" t="inlineStr">
        <is>
          <t xml:space="preserve"> : </t>
        </is>
      </c>
      <c r="P974" t="inlineStr"/>
      <c r="Q974" t="inlineStr"/>
      <c r="R974" t="inlineStr"/>
      <c r="S974" t="inlineStr">
        <is>
          <t>bis 25 cm</t>
        </is>
      </c>
      <c r="T974" t="inlineStr"/>
      <c r="U974" t="inlineStr"/>
      <c r="V974" t="inlineStr"/>
      <c r="W974" t="inlineStr"/>
      <c r="X974" t="inlineStr"/>
      <c r="Y974" t="inlineStr"/>
      <c r="Z974" t="inlineStr"/>
      <c r="AA974" t="inlineStr"/>
      <c r="AB974" t="inlineStr"/>
      <c r="AC974" t="inlineStr"/>
      <c r="AD974" t="inlineStr"/>
      <c r="AE974" t="inlineStr"/>
      <c r="AF974" t="inlineStr"/>
      <c r="AG974" t="inlineStr"/>
      <c r="AH974" t="inlineStr"/>
      <c r="AI974" t="inlineStr">
        <is>
          <t>HPg</t>
        </is>
      </c>
      <c r="AJ974" t="inlineStr"/>
      <c r="AK974" t="inlineStr"/>
      <c r="AL974" t="inlineStr"/>
      <c r="AM974" t="inlineStr">
        <is>
          <t>h/E</t>
        </is>
      </c>
      <c r="AN974" t="inlineStr"/>
      <c r="AO974" t="inlineStr"/>
      <c r="AP974" t="inlineStr"/>
      <c r="AQ974" t="inlineStr"/>
      <c r="AR974" t="inlineStr"/>
      <c r="AS974" t="inlineStr">
        <is>
          <t>Pa</t>
        </is>
      </c>
      <c r="AT974" t="inlineStr"/>
      <c r="AU974" t="inlineStr"/>
      <c r="AV974" t="inlineStr"/>
      <c r="AW974" t="inlineStr"/>
      <c r="AX974" t="inlineStr"/>
      <c r="AY974" t="inlineStr"/>
      <c r="AZ974" t="inlineStr"/>
      <c r="BA974" t="inlineStr"/>
      <c r="BB974" t="inlineStr"/>
      <c r="BC974" t="inlineStr"/>
      <c r="BD974" t="inlineStr"/>
      <c r="BE974" t="inlineStr"/>
      <c r="BF974" t="inlineStr"/>
      <c r="BG974" t="n">
        <v>110</v>
      </c>
      <c r="BH974" t="inlineStr"/>
      <c r="BI974" t="inlineStr"/>
      <c r="BJ974" t="inlineStr"/>
      <c r="BK974" t="inlineStr">
        <is>
          <t>x</t>
        </is>
      </c>
      <c r="BL974" t="inlineStr">
        <is>
          <t>x</t>
        </is>
      </c>
      <c r="BM974" t="inlineStr">
        <is>
          <t>n</t>
        </is>
      </c>
      <c r="BN974" t="n">
        <v>0</v>
      </c>
      <c r="BO974" t="inlineStr"/>
      <c r="BP974" t="inlineStr"/>
      <c r="BQ974" t="inlineStr"/>
      <c r="BR974" t="inlineStr"/>
      <c r="BS974" t="inlineStr"/>
      <c r="BT974" t="inlineStr"/>
      <c r="BU974" t="inlineStr"/>
      <c r="BV974" t="inlineStr"/>
      <c r="BW974" t="inlineStr"/>
      <c r="BX974" t="inlineStr"/>
      <c r="BY974" t="inlineStr"/>
      <c r="BZ974" t="inlineStr"/>
      <c r="CA974" t="inlineStr"/>
      <c r="CB974" t="inlineStr"/>
      <c r="CC974" t="inlineStr"/>
      <c r="CD974" t="inlineStr"/>
      <c r="CE974" t="inlineStr"/>
      <c r="CF974" t="inlineStr"/>
      <c r="CG974" t="inlineStr"/>
      <c r="CH974" t="inlineStr"/>
      <c r="CI974" t="inlineStr"/>
      <c r="CJ974" t="inlineStr"/>
      <c r="CK974" t="inlineStr"/>
      <c r="CL974" t="inlineStr"/>
      <c r="CM974" t="inlineStr"/>
      <c r="CN974" t="inlineStr"/>
      <c r="CO974" t="inlineStr"/>
      <c r="CP974" t="inlineStr"/>
      <c r="CQ974" t="inlineStr"/>
      <c r="CR974" t="inlineStr"/>
      <c r="CS974" t="inlineStr"/>
      <c r="CT974" t="inlineStr"/>
      <c r="CU974" t="inlineStr"/>
      <c r="CV974" t="inlineStr"/>
      <c r="CW974" t="inlineStr"/>
      <c r="CX974" t="inlineStr"/>
      <c r="CY974" t="inlineStr"/>
      <c r="CZ974" t="inlineStr"/>
      <c r="DA974" t="inlineStr"/>
      <c r="DB974" t="inlineStr"/>
      <c r="DC974" t="inlineStr"/>
      <c r="DD974" t="inlineStr"/>
      <c r="DE974" t="inlineStr"/>
      <c r="DF974" t="inlineStr"/>
      <c r="DG974" t="inlineStr"/>
    </row>
    <row r="975">
      <c r="A975" t="inlineStr">
        <is>
          <t>III</t>
        </is>
      </c>
      <c r="B975" t="b">
        <v>1</v>
      </c>
      <c r="C975" t="inlineStr"/>
      <c r="D975" t="inlineStr"/>
      <c r="E975" t="n">
        <v>1106</v>
      </c>
      <c r="F975">
        <f>HYPERLINK("https://portal.dnb.de/opac.htm?method=simpleSearch&amp;cqlMode=true&amp;query=idn%3D993930700", "Portal")</f>
        <v/>
      </c>
      <c r="G975" t="inlineStr">
        <is>
          <t>Aal</t>
        </is>
      </c>
      <c r="H975" t="inlineStr">
        <is>
          <t>L-1535-154040312</t>
        </is>
      </c>
      <c r="I975" t="inlineStr">
        <is>
          <t>993930700</t>
        </is>
      </c>
      <c r="J975" t="inlineStr">
        <is>
          <t>III 104, 26 b</t>
        </is>
      </c>
      <c r="K975" t="inlineStr">
        <is>
          <t>III 104, 26 b</t>
        </is>
      </c>
      <c r="L975" t="inlineStr">
        <is>
          <t>III 104, 26 b</t>
        </is>
      </c>
      <c r="M975" t="inlineStr"/>
      <c r="N975" t="inlineStr">
        <is>
          <t xml:space="preserve">Ein @schö-||ner Sermon,|| von dem Wort, Zei-||chen vnd Sa-||crament|| : </t>
        </is>
      </c>
      <c r="O975" t="inlineStr">
        <is>
          <t xml:space="preserve"> : </t>
        </is>
      </c>
      <c r="P975" t="inlineStr"/>
      <c r="Q975" t="inlineStr"/>
      <c r="R975" t="inlineStr"/>
      <c r="S975" t="inlineStr">
        <is>
          <t>bis 25 cm</t>
        </is>
      </c>
      <c r="T975" t="inlineStr"/>
      <c r="U975" t="inlineStr"/>
      <c r="V975" t="inlineStr"/>
      <c r="W975" t="inlineStr"/>
      <c r="X975" t="inlineStr"/>
      <c r="Y975" t="inlineStr"/>
      <c r="Z975" t="inlineStr"/>
      <c r="AA975" t="inlineStr"/>
      <c r="AB975" t="inlineStr"/>
      <c r="AC975" t="inlineStr"/>
      <c r="AD975" t="inlineStr"/>
      <c r="AE975" t="inlineStr"/>
      <c r="AF975" t="inlineStr"/>
      <c r="AG975" t="inlineStr"/>
      <c r="AH975" t="inlineStr"/>
      <c r="AI975" t="inlineStr">
        <is>
          <t>HPg</t>
        </is>
      </c>
      <c r="AJ975" t="inlineStr"/>
      <c r="AK975" t="inlineStr"/>
      <c r="AL975" t="inlineStr"/>
      <c r="AM975" t="inlineStr">
        <is>
          <t>h/E</t>
        </is>
      </c>
      <c r="AN975" t="inlineStr"/>
      <c r="AO975" t="inlineStr"/>
      <c r="AP975" t="inlineStr"/>
      <c r="AQ975" t="inlineStr"/>
      <c r="AR975" t="inlineStr"/>
      <c r="AS975" t="inlineStr">
        <is>
          <t>Pa</t>
        </is>
      </c>
      <c r="AT975" t="inlineStr"/>
      <c r="AU975" t="inlineStr"/>
      <c r="AV975" t="inlineStr"/>
      <c r="AW975" t="inlineStr"/>
      <c r="AX975" t="inlineStr"/>
      <c r="AY975" t="inlineStr"/>
      <c r="AZ975" t="inlineStr"/>
      <c r="BA975" t="inlineStr"/>
      <c r="BB975" t="inlineStr"/>
      <c r="BC975" t="inlineStr"/>
      <c r="BD975" t="inlineStr"/>
      <c r="BE975" t="inlineStr"/>
      <c r="BF975" t="inlineStr"/>
      <c r="BG975" t="n">
        <v>110</v>
      </c>
      <c r="BH975" t="inlineStr"/>
      <c r="BI975" t="inlineStr"/>
      <c r="BJ975" t="inlineStr"/>
      <c r="BK975" t="inlineStr"/>
      <c r="BL975" t="inlineStr"/>
      <c r="BM975" t="inlineStr">
        <is>
          <t>n</t>
        </is>
      </c>
      <c r="BN975" t="n">
        <v>0</v>
      </c>
      <c r="BO975" t="inlineStr"/>
      <c r="BP975" t="inlineStr"/>
      <c r="BQ975" t="inlineStr"/>
      <c r="BR975" t="inlineStr"/>
      <c r="BS975" t="inlineStr"/>
      <c r="BT975" t="inlineStr"/>
      <c r="BU975" t="inlineStr"/>
      <c r="BV975" t="inlineStr"/>
      <c r="BW975" t="inlineStr"/>
      <c r="BX975" t="inlineStr"/>
      <c r="BY975" t="inlineStr"/>
      <c r="BZ975" t="inlineStr"/>
      <c r="CA975" t="inlineStr"/>
      <c r="CB975" t="inlineStr"/>
      <c r="CC975" t="inlineStr"/>
      <c r="CD975" t="inlineStr"/>
      <c r="CE975" t="inlineStr"/>
      <c r="CF975" t="inlineStr"/>
      <c r="CG975" t="inlineStr"/>
      <c r="CH975" t="inlineStr"/>
      <c r="CI975" t="inlineStr"/>
      <c r="CJ975" t="inlineStr"/>
      <c r="CK975" t="inlineStr"/>
      <c r="CL975" t="inlineStr"/>
      <c r="CM975" t="inlineStr"/>
      <c r="CN975" t="inlineStr"/>
      <c r="CO975" t="inlineStr"/>
      <c r="CP975" t="inlineStr"/>
      <c r="CQ975" t="inlineStr"/>
      <c r="CR975" t="inlineStr"/>
      <c r="CS975" t="inlineStr"/>
      <c r="CT975" t="inlineStr"/>
      <c r="CU975" t="inlineStr"/>
      <c r="CV975" t="inlineStr"/>
      <c r="CW975" t="inlineStr"/>
      <c r="CX975" t="inlineStr"/>
      <c r="CY975" t="inlineStr"/>
      <c r="CZ975" t="inlineStr"/>
      <c r="DA975" t="inlineStr"/>
      <c r="DB975" t="inlineStr"/>
      <c r="DC975" t="inlineStr"/>
      <c r="DD975" t="inlineStr"/>
      <c r="DE975" t="inlineStr"/>
      <c r="DF975" t="inlineStr"/>
      <c r="DG975" t="inlineStr"/>
    </row>
    <row r="976">
      <c r="A976" t="inlineStr">
        <is>
          <t>III</t>
        </is>
      </c>
      <c r="B976" t="b">
        <v>1</v>
      </c>
      <c r="C976" t="inlineStr"/>
      <c r="D976" t="inlineStr"/>
      <c r="E976" t="n">
        <v>1107</v>
      </c>
      <c r="F976">
        <f>HYPERLINK("https://portal.dnb.de/opac.htm?method=simpleSearch&amp;cqlMode=true&amp;query=idn%3D1000805778", "Portal")</f>
        <v/>
      </c>
      <c r="G976" t="inlineStr">
        <is>
          <t>Aal</t>
        </is>
      </c>
      <c r="H976" t="inlineStr">
        <is>
          <t>L-1536-171223543</t>
        </is>
      </c>
      <c r="I976" t="inlineStr">
        <is>
          <t>1000805778</t>
        </is>
      </c>
      <c r="J976" t="inlineStr">
        <is>
          <t>III 104, 26 c</t>
        </is>
      </c>
      <c r="K976" t="inlineStr">
        <is>
          <t>III 104, 26 c</t>
        </is>
      </c>
      <c r="L976" t="inlineStr">
        <is>
          <t>III 104, 26 c</t>
        </is>
      </c>
      <c r="M976" t="inlineStr"/>
      <c r="N976" t="inlineStr">
        <is>
          <t>Das @Buch|| der Altveter, des|| Jsraelitischen volcks,|| Nemlich,|| Woher die Syna||gog, das volck Gottes,|| oder die Kirche, jren|| vrsprung habe|| :</t>
        </is>
      </c>
      <c r="O976" t="inlineStr">
        <is>
          <t xml:space="preserve"> : </t>
        </is>
      </c>
      <c r="P976" t="inlineStr"/>
      <c r="Q976" t="inlineStr"/>
      <c r="R976" t="inlineStr"/>
      <c r="S976" t="inlineStr">
        <is>
          <t>bis 25 cm</t>
        </is>
      </c>
      <c r="T976" t="inlineStr"/>
      <c r="U976" t="inlineStr"/>
      <c r="V976" t="inlineStr"/>
      <c r="W976" t="inlineStr"/>
      <c r="X976" t="inlineStr"/>
      <c r="Y976" t="inlineStr"/>
      <c r="Z976" t="inlineStr"/>
      <c r="AA976" t="inlineStr"/>
      <c r="AB976" t="inlineStr"/>
      <c r="AC976" t="inlineStr"/>
      <c r="AD976" t="inlineStr"/>
      <c r="AE976" t="inlineStr"/>
      <c r="AF976" t="inlineStr"/>
      <c r="AG976" t="inlineStr"/>
      <c r="AH976" t="inlineStr"/>
      <c r="AI976" t="inlineStr">
        <is>
          <t>HPg</t>
        </is>
      </c>
      <c r="AJ976" t="inlineStr"/>
      <c r="AK976" t="inlineStr"/>
      <c r="AL976" t="inlineStr"/>
      <c r="AM976" t="inlineStr">
        <is>
          <t>h/E</t>
        </is>
      </c>
      <c r="AN976" t="inlineStr"/>
      <c r="AO976" t="inlineStr"/>
      <c r="AP976" t="inlineStr"/>
      <c r="AQ976" t="inlineStr"/>
      <c r="AR976" t="inlineStr"/>
      <c r="AS976" t="inlineStr">
        <is>
          <t>Pa</t>
        </is>
      </c>
      <c r="AT976" t="inlineStr"/>
      <c r="AU976" t="inlineStr"/>
      <c r="AV976" t="inlineStr"/>
      <c r="AW976" t="inlineStr"/>
      <c r="AX976" t="inlineStr"/>
      <c r="AY976" t="inlineStr"/>
      <c r="AZ976" t="inlineStr"/>
      <c r="BA976" t="inlineStr"/>
      <c r="BB976" t="inlineStr"/>
      <c r="BC976" t="inlineStr"/>
      <c r="BD976" t="inlineStr"/>
      <c r="BE976" t="inlineStr"/>
      <c r="BF976" t="inlineStr"/>
      <c r="BG976" t="n">
        <v>110</v>
      </c>
      <c r="BH976" t="inlineStr"/>
      <c r="BI976" t="inlineStr"/>
      <c r="BJ976" t="inlineStr"/>
      <c r="BK976" t="inlineStr">
        <is>
          <t>x</t>
        </is>
      </c>
      <c r="BL976" t="inlineStr">
        <is>
          <t>x</t>
        </is>
      </c>
      <c r="BM976" t="inlineStr">
        <is>
          <t>n</t>
        </is>
      </c>
      <c r="BN976" t="n">
        <v>0</v>
      </c>
      <c r="BO976" t="inlineStr"/>
      <c r="BP976" t="inlineStr"/>
      <c r="BQ976" t="inlineStr"/>
      <c r="BR976" t="inlineStr"/>
      <c r="BS976" t="inlineStr"/>
      <c r="BT976" t="inlineStr"/>
      <c r="BU976" t="inlineStr"/>
      <c r="BV976" t="inlineStr"/>
      <c r="BW976" t="inlineStr"/>
      <c r="BX976" t="inlineStr"/>
      <c r="BY976" t="inlineStr"/>
      <c r="BZ976" t="inlineStr"/>
      <c r="CA976" t="inlineStr"/>
      <c r="CB976" t="inlineStr"/>
      <c r="CC976" t="inlineStr"/>
      <c r="CD976" t="inlineStr"/>
      <c r="CE976" t="inlineStr"/>
      <c r="CF976" t="inlineStr"/>
      <c r="CG976" t="inlineStr"/>
      <c r="CH976" t="inlineStr"/>
      <c r="CI976" t="inlineStr"/>
      <c r="CJ976" t="inlineStr"/>
      <c r="CK976" t="inlineStr"/>
      <c r="CL976" t="inlineStr"/>
      <c r="CM976" t="inlineStr"/>
      <c r="CN976" t="inlineStr"/>
      <c r="CO976" t="inlineStr"/>
      <c r="CP976" t="inlineStr"/>
      <c r="CQ976" t="inlineStr"/>
      <c r="CR976" t="inlineStr"/>
      <c r="CS976" t="inlineStr"/>
      <c r="CT976" t="inlineStr"/>
      <c r="CU976" t="inlineStr"/>
      <c r="CV976" t="inlineStr"/>
      <c r="CW976" t="inlineStr"/>
      <c r="CX976" t="inlineStr"/>
      <c r="CY976" t="inlineStr"/>
      <c r="CZ976" t="inlineStr"/>
      <c r="DA976" t="inlineStr"/>
      <c r="DB976" t="inlineStr"/>
      <c r="DC976" t="inlineStr"/>
      <c r="DD976" t="inlineStr"/>
      <c r="DE976" t="inlineStr"/>
      <c r="DF976" t="inlineStr"/>
      <c r="DG976" t="inlineStr"/>
    </row>
    <row r="977">
      <c r="A977" t="inlineStr">
        <is>
          <t>III</t>
        </is>
      </c>
      <c r="B977" t="b">
        <v>1</v>
      </c>
      <c r="C977" t="inlineStr"/>
      <c r="D977" t="inlineStr"/>
      <c r="E977" t="n">
        <v>1108</v>
      </c>
      <c r="F977">
        <f>HYPERLINK("https://portal.dnb.de/opac.htm?method=simpleSearch&amp;cqlMode=true&amp;query=idn%3D999175556", "Portal")</f>
        <v/>
      </c>
      <c r="G977" t="inlineStr">
        <is>
          <t>Aal</t>
        </is>
      </c>
      <c r="H977" t="inlineStr">
        <is>
          <t>L-1535-167648985</t>
        </is>
      </c>
      <c r="I977" t="inlineStr">
        <is>
          <t>999175556</t>
        </is>
      </c>
      <c r="J977" t="inlineStr">
        <is>
          <t>III 104, 26 d</t>
        </is>
      </c>
      <c r="K977" t="inlineStr">
        <is>
          <t>III 104, 26 d</t>
        </is>
      </c>
      <c r="L977" t="inlineStr">
        <is>
          <t>III 104, 26 d</t>
        </is>
      </c>
      <c r="M977" t="inlineStr"/>
      <c r="N977" t="inlineStr">
        <is>
          <t xml:space="preserve">Verlegung etlicher|| vnschristlicher|| Artikel|| Welche die Widerteuffer|| furgeben|| : </t>
        </is>
      </c>
      <c r="O977" t="inlineStr">
        <is>
          <t xml:space="preserve"> : </t>
        </is>
      </c>
      <c r="P977" t="inlineStr"/>
      <c r="Q977" t="inlineStr"/>
      <c r="R977" t="inlineStr"/>
      <c r="S977" t="inlineStr">
        <is>
          <t>bis 25 cm</t>
        </is>
      </c>
      <c r="T977" t="inlineStr"/>
      <c r="U977" t="inlineStr"/>
      <c r="V977" t="inlineStr"/>
      <c r="W977" t="inlineStr"/>
      <c r="X977" t="inlineStr"/>
      <c r="Y977" t="inlineStr"/>
      <c r="Z977" t="inlineStr"/>
      <c r="AA977" t="inlineStr"/>
      <c r="AB977" t="inlineStr"/>
      <c r="AC977" t="inlineStr"/>
      <c r="AD977" t="inlineStr"/>
      <c r="AE977" t="inlineStr"/>
      <c r="AF977" t="inlineStr"/>
      <c r="AG977" t="inlineStr"/>
      <c r="AH977" t="inlineStr"/>
      <c r="AI977" t="inlineStr">
        <is>
          <t>HPg</t>
        </is>
      </c>
      <c r="AJ977" t="inlineStr"/>
      <c r="AK977" t="inlineStr"/>
      <c r="AL977" t="inlineStr"/>
      <c r="AM977" t="inlineStr">
        <is>
          <t>h/E</t>
        </is>
      </c>
      <c r="AN977" t="inlineStr"/>
      <c r="AO977" t="inlineStr"/>
      <c r="AP977" t="inlineStr"/>
      <c r="AQ977" t="inlineStr"/>
      <c r="AR977" t="inlineStr"/>
      <c r="AS977" t="inlineStr">
        <is>
          <t>Pa</t>
        </is>
      </c>
      <c r="AT977" t="inlineStr"/>
      <c r="AU977" t="inlineStr"/>
      <c r="AV977" t="inlineStr"/>
      <c r="AW977" t="inlineStr"/>
      <c r="AX977" t="inlineStr"/>
      <c r="AY977" t="inlineStr"/>
      <c r="AZ977" t="inlineStr"/>
      <c r="BA977" t="inlineStr"/>
      <c r="BB977" t="inlineStr"/>
      <c r="BC977" t="inlineStr"/>
      <c r="BD977" t="inlineStr"/>
      <c r="BE977" t="inlineStr"/>
      <c r="BF977" t="inlineStr"/>
      <c r="BG977" t="n">
        <v>110</v>
      </c>
      <c r="BH977" t="inlineStr"/>
      <c r="BI977" t="inlineStr"/>
      <c r="BJ977" t="inlineStr"/>
      <c r="BK977" t="inlineStr">
        <is>
          <t>x</t>
        </is>
      </c>
      <c r="BL977" t="inlineStr">
        <is>
          <t>x</t>
        </is>
      </c>
      <c r="BM977" t="inlineStr">
        <is>
          <t>n</t>
        </is>
      </c>
      <c r="BN977" t="n">
        <v>0</v>
      </c>
      <c r="BO977" t="inlineStr"/>
      <c r="BP977" t="inlineStr"/>
      <c r="BQ977" t="inlineStr"/>
      <c r="BR977" t="inlineStr"/>
      <c r="BS977" t="inlineStr"/>
      <c r="BT977" t="inlineStr"/>
      <c r="BU977" t="inlineStr"/>
      <c r="BV977" t="inlineStr"/>
      <c r="BW977" t="inlineStr"/>
      <c r="BX977" t="inlineStr"/>
      <c r="BY977" t="inlineStr"/>
      <c r="BZ977" t="inlineStr"/>
      <c r="CA977" t="inlineStr"/>
      <c r="CB977" t="inlineStr"/>
      <c r="CC977" t="inlineStr"/>
      <c r="CD977" t="inlineStr"/>
      <c r="CE977" t="inlineStr"/>
      <c r="CF977" t="inlineStr"/>
      <c r="CG977" t="inlineStr"/>
      <c r="CH977" t="inlineStr"/>
      <c r="CI977" t="inlineStr"/>
      <c r="CJ977" t="inlineStr"/>
      <c r="CK977" t="inlineStr"/>
      <c r="CL977" t="inlineStr"/>
      <c r="CM977" t="inlineStr"/>
      <c r="CN977" t="inlineStr"/>
      <c r="CO977" t="inlineStr"/>
      <c r="CP977" t="inlineStr"/>
      <c r="CQ977" t="inlineStr"/>
      <c r="CR977" t="inlineStr"/>
      <c r="CS977" t="inlineStr"/>
      <c r="CT977" t="inlineStr"/>
      <c r="CU977" t="inlineStr"/>
      <c r="CV977" t="inlineStr"/>
      <c r="CW977" t="inlineStr"/>
      <c r="CX977" t="inlineStr"/>
      <c r="CY977" t="inlineStr"/>
      <c r="CZ977" t="inlineStr"/>
      <c r="DA977" t="inlineStr"/>
      <c r="DB977" t="inlineStr"/>
      <c r="DC977" t="inlineStr"/>
      <c r="DD977" t="inlineStr"/>
      <c r="DE977" t="inlineStr"/>
      <c r="DF977" t="inlineStr"/>
      <c r="DG977" t="inlineStr"/>
    </row>
    <row r="978">
      <c r="A978" t="inlineStr">
        <is>
          <t>III</t>
        </is>
      </c>
      <c r="B978" t="b">
        <v>1</v>
      </c>
      <c r="C978" t="inlineStr"/>
      <c r="D978" t="inlineStr"/>
      <c r="E978" t="n">
        <v>1052</v>
      </c>
      <c r="F978">
        <f>HYPERLINK("https://portal.dnb.de/opac.htm?method=simpleSearch&amp;cqlMode=true&amp;query=idn%3D1066961611", "Portal")</f>
        <v/>
      </c>
      <c r="G978" t="inlineStr">
        <is>
          <t>Aaf</t>
        </is>
      </c>
      <c r="H978" t="inlineStr">
        <is>
          <t>L-1544-315492015</t>
        </is>
      </c>
      <c r="I978" t="inlineStr">
        <is>
          <t>1066961611</t>
        </is>
      </c>
      <c r="J978" t="inlineStr">
        <is>
          <t>III 104, 27</t>
        </is>
      </c>
      <c r="K978" t="inlineStr">
        <is>
          <t>III 104, 27</t>
        </is>
      </c>
      <c r="L978" t="inlineStr">
        <is>
          <t>III 104, 27</t>
        </is>
      </c>
      <c r="M978" t="inlineStr"/>
      <c r="N978" t="inlineStr">
        <is>
          <t>Newe Deudsche Geistliche|| Gesenge CXXIII. Mit Vier vnd Fünff Stim-||men, F#[ue]r die gemeinen SCHVLEN, Mit|| sonderlichem vleis aus vielen erlesen.||</t>
        </is>
      </c>
      <c r="O978" t="inlineStr">
        <is>
          <t xml:space="preserve"> : </t>
        </is>
      </c>
      <c r="P978" t="inlineStr"/>
      <c r="Q978" t="inlineStr"/>
      <c r="R978" t="inlineStr"/>
      <c r="S978" t="inlineStr">
        <is>
          <t>bis 25 cm</t>
        </is>
      </c>
      <c r="T978" t="inlineStr"/>
      <c r="U978" t="inlineStr"/>
      <c r="V978" t="inlineStr"/>
      <c r="W978" t="inlineStr"/>
      <c r="X978" t="inlineStr"/>
      <c r="Y978" t="inlineStr"/>
      <c r="Z978" t="inlineStr"/>
      <c r="AA978" t="inlineStr"/>
      <c r="AB978" t="inlineStr"/>
      <c r="AC978" t="inlineStr"/>
      <c r="AD978" t="inlineStr"/>
      <c r="AE978" t="inlineStr"/>
      <c r="AF978" t="inlineStr">
        <is>
          <t>QF (21x15,5)</t>
        </is>
      </c>
      <c r="AG978" t="inlineStr"/>
      <c r="AH978" t="inlineStr"/>
      <c r="AI978" t="inlineStr">
        <is>
          <t>L</t>
        </is>
      </c>
      <c r="AJ978" t="inlineStr"/>
      <c r="AK978" t="inlineStr">
        <is>
          <t>x</t>
        </is>
      </c>
      <c r="AL978" t="inlineStr"/>
      <c r="AM978" t="inlineStr">
        <is>
          <t>h/E</t>
        </is>
      </c>
      <c r="AN978" t="inlineStr"/>
      <c r="AO978" t="inlineStr"/>
      <c r="AP978" t="inlineStr"/>
      <c r="AQ978" t="inlineStr"/>
      <c r="AR978" t="inlineStr"/>
      <c r="AS978" t="inlineStr">
        <is>
          <t>Pa</t>
        </is>
      </c>
      <c r="AT978" t="inlineStr">
        <is>
          <t>x</t>
        </is>
      </c>
      <c r="AU978" t="inlineStr"/>
      <c r="AV978" t="inlineStr"/>
      <c r="AW978" t="inlineStr"/>
      <c r="AX978" t="inlineStr"/>
      <c r="AY978" t="inlineStr"/>
      <c r="AZ978" t="inlineStr"/>
      <c r="BA978" t="inlineStr"/>
      <c r="BB978" t="inlineStr"/>
      <c r="BC978" t="inlineStr"/>
      <c r="BD978" t="inlineStr"/>
      <c r="BE978" t="inlineStr"/>
      <c r="BF978" t="inlineStr"/>
      <c r="BG978" t="n">
        <v>110</v>
      </c>
      <c r="BH978" t="inlineStr"/>
      <c r="BI978" t="inlineStr"/>
      <c r="BJ978" t="inlineStr"/>
      <c r="BK978" t="inlineStr"/>
      <c r="BL978" t="inlineStr"/>
      <c r="BM978" t="inlineStr">
        <is>
          <t>n</t>
        </is>
      </c>
      <c r="BN978" t="n">
        <v>0</v>
      </c>
      <c r="BO978" t="inlineStr"/>
      <c r="BP978" t="inlineStr"/>
      <c r="BQ978" t="inlineStr"/>
      <c r="BR978" t="inlineStr">
        <is>
          <t>x</t>
        </is>
      </c>
      <c r="BS978" t="inlineStr"/>
      <c r="BT978" t="inlineStr"/>
      <c r="BU978" t="inlineStr"/>
      <c r="BV978" t="inlineStr"/>
      <c r="BW978" t="inlineStr"/>
      <c r="BX978" t="inlineStr"/>
      <c r="BY978" t="inlineStr"/>
      <c r="BZ978" t="inlineStr"/>
      <c r="CA978" t="inlineStr"/>
      <c r="CB978" t="inlineStr"/>
      <c r="CC978" t="inlineStr"/>
      <c r="CD978" t="inlineStr"/>
      <c r="CE978" t="inlineStr"/>
      <c r="CF978" t="inlineStr"/>
      <c r="CG978" t="inlineStr"/>
      <c r="CH978" t="inlineStr"/>
      <c r="CI978" t="inlineStr"/>
      <c r="CJ978" t="inlineStr"/>
      <c r="CK978" t="inlineStr"/>
      <c r="CL978" t="inlineStr"/>
      <c r="CM978" t="inlineStr"/>
      <c r="CN978" t="inlineStr"/>
      <c r="CO978" t="inlineStr"/>
      <c r="CP978" t="inlineStr"/>
      <c r="CQ978" t="inlineStr"/>
      <c r="CR978" t="inlineStr"/>
      <c r="CS978" t="inlineStr"/>
      <c r="CT978" t="inlineStr"/>
      <c r="CU978" t="inlineStr"/>
      <c r="CV978" t="inlineStr"/>
      <c r="CW978" t="inlineStr"/>
      <c r="CX978" t="inlineStr"/>
      <c r="CY978" t="inlineStr"/>
      <c r="CZ978" t="inlineStr"/>
      <c r="DA978" t="inlineStr"/>
      <c r="DB978" t="inlineStr"/>
      <c r="DC978" t="inlineStr"/>
      <c r="DD978" t="inlineStr"/>
      <c r="DE978" t="inlineStr"/>
      <c r="DF978" t="inlineStr"/>
      <c r="DG978" t="inlineStr"/>
    </row>
    <row r="979">
      <c r="A979" t="inlineStr">
        <is>
          <t>III</t>
        </is>
      </c>
      <c r="B979" t="b">
        <v>1</v>
      </c>
      <c r="C979" t="inlineStr"/>
      <c r="D979" t="inlineStr"/>
      <c r="E979" t="n">
        <v>1053</v>
      </c>
      <c r="F979">
        <f>HYPERLINK("https://portal.dnb.de/opac.htm?method=simpleSearch&amp;cqlMode=true&amp;query=idn%3D1066957088", "Portal")</f>
        <v/>
      </c>
      <c r="G979" t="inlineStr">
        <is>
          <t>Aaf</t>
        </is>
      </c>
      <c r="H979" t="inlineStr">
        <is>
          <t>L-1546-315487704</t>
        </is>
      </c>
      <c r="I979" t="inlineStr">
        <is>
          <t>1066957088</t>
        </is>
      </c>
      <c r="J979" t="inlineStr">
        <is>
          <t>III 104, 28</t>
        </is>
      </c>
      <c r="K979" t="inlineStr">
        <is>
          <t>III 104, 28</t>
        </is>
      </c>
      <c r="L979" t="inlineStr">
        <is>
          <t>III 104, 28</t>
        </is>
      </c>
      <c r="M979" t="inlineStr"/>
      <c r="N979" t="inlineStr">
        <is>
          <t>Zwo Sch#[oe]ne vnd|| Tr#[oe]stliche predigt D.Martini Lu=||theri/ Die erste/ Von der Tauffe Chri=||sti etc. aus dem iij.Capitel|| Matthej.|| Die ander</t>
        </is>
      </c>
      <c r="O979" t="inlineStr">
        <is>
          <t xml:space="preserve"> : </t>
        </is>
      </c>
      <c r="P979" t="inlineStr"/>
      <c r="Q979" t="inlineStr"/>
      <c r="R979" t="inlineStr"/>
      <c r="S979" t="inlineStr">
        <is>
          <t>bis 25 cm</t>
        </is>
      </c>
      <c r="T979" t="inlineStr"/>
      <c r="U979" t="inlineStr"/>
      <c r="V979" t="inlineStr"/>
      <c r="W979" t="inlineStr"/>
      <c r="X979" t="inlineStr"/>
      <c r="Y979" t="inlineStr"/>
      <c r="Z979" t="inlineStr"/>
      <c r="AA979" t="inlineStr"/>
      <c r="AB979" t="inlineStr"/>
      <c r="AC979" t="inlineStr"/>
      <c r="AD979" t="inlineStr"/>
      <c r="AE979" t="inlineStr"/>
      <c r="AF979" t="inlineStr"/>
      <c r="AG979" t="inlineStr"/>
      <c r="AH979" t="inlineStr"/>
      <c r="AI979" t="inlineStr">
        <is>
          <t>HPg</t>
        </is>
      </c>
      <c r="AJ979" t="inlineStr"/>
      <c r="AK979" t="inlineStr"/>
      <c r="AL979" t="inlineStr"/>
      <c r="AM979" t="inlineStr">
        <is>
          <t>h/E</t>
        </is>
      </c>
      <c r="AN979" t="inlineStr"/>
      <c r="AO979" t="inlineStr"/>
      <c r="AP979" t="inlineStr"/>
      <c r="AQ979" t="inlineStr"/>
      <c r="AR979" t="inlineStr"/>
      <c r="AS979" t="inlineStr">
        <is>
          <t>Pa</t>
        </is>
      </c>
      <c r="AT979" t="inlineStr">
        <is>
          <t>x</t>
        </is>
      </c>
      <c r="AU979" t="inlineStr"/>
      <c r="AV979" t="inlineStr"/>
      <c r="AW979" t="inlineStr"/>
      <c r="AX979" t="inlineStr"/>
      <c r="AY979" t="inlineStr"/>
      <c r="AZ979" t="inlineStr"/>
      <c r="BA979" t="inlineStr"/>
      <c r="BB979" t="inlineStr"/>
      <c r="BC979" t="inlineStr"/>
      <c r="BD979" t="inlineStr"/>
      <c r="BE979" t="inlineStr"/>
      <c r="BF979" t="inlineStr"/>
      <c r="BG979" t="n">
        <v>110</v>
      </c>
      <c r="BH979" t="inlineStr"/>
      <c r="BI979" t="inlineStr"/>
      <c r="BJ979" t="inlineStr"/>
      <c r="BK979" t="inlineStr"/>
      <c r="BL979" t="inlineStr"/>
      <c r="BM979" t="inlineStr">
        <is>
          <t>n</t>
        </is>
      </c>
      <c r="BN979" t="n">
        <v>0</v>
      </c>
      <c r="BO979" t="inlineStr"/>
      <c r="BP979" t="inlineStr"/>
      <c r="BQ979" t="inlineStr"/>
      <c r="BR979" t="inlineStr"/>
      <c r="BS979" t="inlineStr"/>
      <c r="BT979" t="inlineStr"/>
      <c r="BU979" t="inlineStr"/>
      <c r="BV979" t="inlineStr"/>
      <c r="BW979" t="inlineStr"/>
      <c r="BX979" t="inlineStr"/>
      <c r="BY979" t="inlineStr"/>
      <c r="BZ979" t="inlineStr"/>
      <c r="CA979" t="inlineStr"/>
      <c r="CB979" t="inlineStr"/>
      <c r="CC979" t="inlineStr"/>
      <c r="CD979" t="inlineStr"/>
      <c r="CE979" t="inlineStr"/>
      <c r="CF979" t="inlineStr"/>
      <c r="CG979" t="inlineStr"/>
      <c r="CH979" t="inlineStr"/>
      <c r="CI979" t="inlineStr"/>
      <c r="CJ979" t="inlineStr"/>
      <c r="CK979" t="inlineStr"/>
      <c r="CL979" t="inlineStr"/>
      <c r="CM979" t="inlineStr"/>
      <c r="CN979" t="inlineStr"/>
      <c r="CO979" t="inlineStr"/>
      <c r="CP979" t="inlineStr"/>
      <c r="CQ979" t="inlineStr"/>
      <c r="CR979" t="inlineStr"/>
      <c r="CS979" t="inlineStr"/>
      <c r="CT979" t="inlineStr"/>
      <c r="CU979" t="inlineStr"/>
      <c r="CV979" t="inlineStr"/>
      <c r="CW979" t="inlineStr"/>
      <c r="CX979" t="inlineStr"/>
      <c r="CY979" t="inlineStr"/>
      <c r="CZ979" t="inlineStr"/>
      <c r="DA979" t="inlineStr"/>
      <c r="DB979" t="inlineStr"/>
      <c r="DC979" t="inlineStr"/>
      <c r="DD979" t="inlineStr"/>
      <c r="DE979" t="inlineStr"/>
      <c r="DF979" t="inlineStr"/>
      <c r="DG979" t="inlineStr"/>
    </row>
    <row r="980">
      <c r="A980" t="inlineStr">
        <is>
          <t>III</t>
        </is>
      </c>
      <c r="B980" t="b">
        <v>1</v>
      </c>
      <c r="C980" t="inlineStr"/>
      <c r="D980" t="inlineStr"/>
      <c r="E980" t="n">
        <v>1054</v>
      </c>
      <c r="F980">
        <f>HYPERLINK("https://portal.dnb.de/opac.htm?method=simpleSearch&amp;cqlMode=true&amp;query=idn%3D1079624163", "Portal")</f>
        <v/>
      </c>
      <c r="G980" t="inlineStr">
        <is>
          <t>Aaf</t>
        </is>
      </c>
      <c r="H980" t="inlineStr">
        <is>
          <t>L-1551-343799960</t>
        </is>
      </c>
      <c r="I980" t="inlineStr">
        <is>
          <t>1079624163</t>
        </is>
      </c>
      <c r="J980" t="inlineStr">
        <is>
          <t>III 104, 29</t>
        </is>
      </c>
      <c r="K980" t="inlineStr">
        <is>
          <t>III 104, 29</t>
        </is>
      </c>
      <c r="L980" t="inlineStr">
        <is>
          <t>III 104, 29</t>
        </is>
      </c>
      <c r="M980" t="inlineStr"/>
      <c r="N980" t="inlineStr">
        <is>
          <t>T @Wittembergisch|| deudsch Geistlich|| Gesangb#[ue]ch=||lein.|| Mit vier vnd f#[ue]nff stimmen.|| Durch Johan Walthern/ Chur=||f#[ue]rstlichen von Sa</t>
        </is>
      </c>
      <c r="O980" t="inlineStr">
        <is>
          <t xml:space="preserve"> : </t>
        </is>
      </c>
      <c r="P980" t="inlineStr"/>
      <c r="Q980" t="inlineStr"/>
      <c r="R980" t="inlineStr"/>
      <c r="S980" t="inlineStr">
        <is>
          <t>bis 25 cm</t>
        </is>
      </c>
      <c r="T980" t="inlineStr"/>
      <c r="U980" t="inlineStr"/>
      <c r="V980" t="inlineStr"/>
      <c r="W980" t="inlineStr"/>
      <c r="X980" t="inlineStr"/>
      <c r="Y980" t="inlineStr"/>
      <c r="Z980" t="inlineStr"/>
      <c r="AA980" t="inlineStr"/>
      <c r="AB980" t="inlineStr"/>
      <c r="AC980" t="inlineStr"/>
      <c r="AD980" t="inlineStr"/>
      <c r="AE980" t="inlineStr"/>
      <c r="AF980" t="inlineStr">
        <is>
          <t>QF (21x15,5)</t>
        </is>
      </c>
      <c r="AG980" t="inlineStr"/>
      <c r="AH980" t="inlineStr"/>
      <c r="AI980" t="inlineStr">
        <is>
          <t>L</t>
        </is>
      </c>
      <c r="AJ980" t="inlineStr"/>
      <c r="AK980" t="inlineStr">
        <is>
          <t>x</t>
        </is>
      </c>
      <c r="AL980" t="inlineStr"/>
      <c r="AM980" t="inlineStr">
        <is>
          <t>h/E</t>
        </is>
      </c>
      <c r="AN980" t="inlineStr"/>
      <c r="AO980" t="inlineStr"/>
      <c r="AP980" t="inlineStr"/>
      <c r="AQ980" t="inlineStr"/>
      <c r="AR980" t="inlineStr"/>
      <c r="AS980" t="inlineStr">
        <is>
          <t>Pa</t>
        </is>
      </c>
      <c r="AT980" t="inlineStr">
        <is>
          <t>x</t>
        </is>
      </c>
      <c r="AU980" t="inlineStr"/>
      <c r="AV980" t="inlineStr"/>
      <c r="AW980" t="inlineStr"/>
      <c r="AX980" t="inlineStr"/>
      <c r="AY980" t="inlineStr"/>
      <c r="AZ980" t="inlineStr"/>
      <c r="BA980" t="inlineStr"/>
      <c r="BB980" t="inlineStr"/>
      <c r="BC980" t="inlineStr"/>
      <c r="BD980" t="inlineStr"/>
      <c r="BE980" t="inlineStr"/>
      <c r="BF980" t="inlineStr"/>
      <c r="BG980" t="n">
        <v>110</v>
      </c>
      <c r="BH980" t="inlineStr"/>
      <c r="BI980" t="inlineStr"/>
      <c r="BJ980" t="inlineStr"/>
      <c r="BK980" t="inlineStr"/>
      <c r="BL980" t="inlineStr"/>
      <c r="BM980" t="inlineStr">
        <is>
          <t>n</t>
        </is>
      </c>
      <c r="BN980" t="n">
        <v>0</v>
      </c>
      <c r="BO980" t="inlineStr"/>
      <c r="BP980" t="inlineStr"/>
      <c r="BQ980" t="inlineStr"/>
      <c r="BR980" t="inlineStr">
        <is>
          <t>x</t>
        </is>
      </c>
      <c r="BS980" t="inlineStr"/>
      <c r="BT980" t="inlineStr"/>
      <c r="BU980" t="inlineStr"/>
      <c r="BV980" t="inlineStr"/>
      <c r="BW980" t="inlineStr"/>
      <c r="BX980" t="inlineStr"/>
      <c r="BY980" t="inlineStr"/>
      <c r="BZ980" t="inlineStr"/>
      <c r="CA980" t="inlineStr"/>
      <c r="CB980" t="inlineStr"/>
      <c r="CC980" t="inlineStr"/>
      <c r="CD980" t="inlineStr"/>
      <c r="CE980" t="inlineStr"/>
      <c r="CF980" t="inlineStr"/>
      <c r="CG980" t="inlineStr"/>
      <c r="CH980" t="inlineStr"/>
      <c r="CI980" t="inlineStr"/>
      <c r="CJ980" t="inlineStr"/>
      <c r="CK980" t="inlineStr"/>
      <c r="CL980" t="inlineStr"/>
      <c r="CM980" t="inlineStr"/>
      <c r="CN980" t="inlineStr"/>
      <c r="CO980" t="inlineStr"/>
      <c r="CP980" t="inlineStr"/>
      <c r="CQ980" t="inlineStr"/>
      <c r="CR980" t="inlineStr"/>
      <c r="CS980" t="inlineStr"/>
      <c r="CT980" t="inlineStr"/>
      <c r="CU980" t="inlineStr"/>
      <c r="CV980" t="inlineStr"/>
      <c r="CW980" t="inlineStr"/>
      <c r="CX980" t="inlineStr"/>
      <c r="CY980" t="inlineStr"/>
      <c r="CZ980" t="inlineStr"/>
      <c r="DA980" t="inlineStr"/>
      <c r="DB980" t="inlineStr"/>
      <c r="DC980" t="inlineStr"/>
      <c r="DD980" t="inlineStr"/>
      <c r="DE980" t="inlineStr"/>
      <c r="DF980" t="inlineStr"/>
      <c r="DG980" t="inlineStr"/>
    </row>
    <row r="981">
      <c r="A981" t="inlineStr">
        <is>
          <t>III</t>
        </is>
      </c>
      <c r="B981" t="b">
        <v>1</v>
      </c>
      <c r="C981" t="inlineStr"/>
      <c r="D981" t="inlineStr"/>
      <c r="E981" t="n">
        <v>1055</v>
      </c>
      <c r="F981">
        <f>HYPERLINK("https://portal.dnb.de/opac.htm?method=simpleSearch&amp;cqlMode=true&amp;query=idn%3D99892413X", "Portal")</f>
        <v/>
      </c>
      <c r="G981" t="inlineStr">
        <is>
          <t>Aal</t>
        </is>
      </c>
      <c r="H981" t="inlineStr">
        <is>
          <t>L-1559-167208330</t>
        </is>
      </c>
      <c r="I981" t="inlineStr">
        <is>
          <t>99892413X</t>
        </is>
      </c>
      <c r="J981" t="inlineStr">
        <is>
          <t>III 104, 30</t>
        </is>
      </c>
      <c r="K981" t="inlineStr">
        <is>
          <t>III 104, 30</t>
        </is>
      </c>
      <c r="L981" t="inlineStr">
        <is>
          <t>III 104, 30</t>
        </is>
      </c>
      <c r="M981" t="inlineStr"/>
      <c r="N981" t="inlineStr">
        <is>
          <t xml:space="preserve">Chronica|| des Ehrnwirdigen Herrn|| : </t>
        </is>
      </c>
      <c r="O981" t="inlineStr">
        <is>
          <t xml:space="preserve"> : </t>
        </is>
      </c>
      <c r="P981" t="inlineStr"/>
      <c r="Q981" t="inlineStr"/>
      <c r="R981" t="inlineStr"/>
      <c r="S981" t="inlineStr">
        <is>
          <t>bis 25 cm</t>
        </is>
      </c>
      <c r="T981" t="inlineStr"/>
      <c r="U981" t="inlineStr"/>
      <c r="V981" t="inlineStr"/>
      <c r="W981" t="inlineStr"/>
      <c r="X981" t="inlineStr"/>
      <c r="Y981" t="inlineStr"/>
      <c r="Z981" t="inlineStr"/>
      <c r="AA981" t="inlineStr"/>
      <c r="AB981" t="inlineStr"/>
      <c r="AC981" t="inlineStr"/>
      <c r="AD981" t="inlineStr"/>
      <c r="AE981" t="inlineStr"/>
      <c r="AF981" t="inlineStr"/>
      <c r="AG981" t="inlineStr"/>
      <c r="AH981" t="inlineStr">
        <is>
          <t>x</t>
        </is>
      </c>
      <c r="AI981" t="inlineStr">
        <is>
          <t>L</t>
        </is>
      </c>
      <c r="AJ981" t="inlineStr"/>
      <c r="AK981" t="inlineStr"/>
      <c r="AL981" t="inlineStr">
        <is>
          <t>x</t>
        </is>
      </c>
      <c r="AM981" t="inlineStr">
        <is>
          <t>f</t>
        </is>
      </c>
      <c r="AN981" t="inlineStr"/>
      <c r="AO981" t="inlineStr"/>
      <c r="AP981" t="inlineStr"/>
      <c r="AQ981" t="inlineStr"/>
      <c r="AR981" t="inlineStr"/>
      <c r="AS981" t="inlineStr">
        <is>
          <t>Pa</t>
        </is>
      </c>
      <c r="AT981" t="inlineStr"/>
      <c r="AU981" t="inlineStr"/>
      <c r="AV981" t="inlineStr"/>
      <c r="AW981" t="inlineStr"/>
      <c r="AX981" t="inlineStr">
        <is>
          <t>x</t>
        </is>
      </c>
      <c r="AY981" t="inlineStr"/>
      <c r="AZ981" t="inlineStr"/>
      <c r="BA981" t="inlineStr"/>
      <c r="BB981" t="inlineStr"/>
      <c r="BC981" t="inlineStr"/>
      <c r="BD981" t="inlineStr"/>
      <c r="BE981" t="n">
        <v>2</v>
      </c>
      <c r="BF981" t="inlineStr">
        <is>
          <t>x</t>
        </is>
      </c>
      <c r="BG981" t="n">
        <v>110</v>
      </c>
      <c r="BH981" t="inlineStr"/>
      <c r="BI981" t="inlineStr"/>
      <c r="BJ981" t="inlineStr"/>
      <c r="BK981" t="inlineStr"/>
      <c r="BL981" t="inlineStr"/>
      <c r="BM981" t="inlineStr">
        <is>
          <t>n</t>
        </is>
      </c>
      <c r="BN981" t="n">
        <v>0</v>
      </c>
      <c r="BO981" t="inlineStr"/>
      <c r="BP981" t="inlineStr"/>
      <c r="BQ981" t="inlineStr"/>
      <c r="BR981" t="inlineStr"/>
      <c r="BS981" t="inlineStr"/>
      <c r="BT981" t="inlineStr">
        <is>
          <t>x sauer</t>
        </is>
      </c>
      <c r="BU981" t="inlineStr">
        <is>
          <t>x</t>
        </is>
      </c>
      <c r="BV981" t="inlineStr"/>
      <c r="BW981" t="inlineStr"/>
      <c r="BX981" t="inlineStr"/>
      <c r="BY981" t="inlineStr"/>
      <c r="BZ981" t="inlineStr"/>
      <c r="CA981" t="inlineStr"/>
      <c r="CB981" t="inlineStr"/>
      <c r="CC981" t="inlineStr"/>
      <c r="CD981" t="inlineStr"/>
      <c r="CE981" t="inlineStr"/>
      <c r="CF981" t="inlineStr"/>
      <c r="CG981" t="inlineStr"/>
      <c r="CH981" t="inlineStr"/>
      <c r="CI981" t="inlineStr"/>
      <c r="CJ981" t="inlineStr"/>
      <c r="CK981" t="inlineStr"/>
      <c r="CL981" t="inlineStr"/>
      <c r="CM981" t="inlineStr"/>
      <c r="CN981" t="inlineStr"/>
      <c r="CO981" t="inlineStr"/>
      <c r="CP981" t="inlineStr"/>
      <c r="CQ981" t="inlineStr"/>
      <c r="CR981" t="inlineStr"/>
      <c r="CS981" t="inlineStr"/>
      <c r="CT981" t="inlineStr"/>
      <c r="CU981" t="inlineStr"/>
      <c r="CV981" t="inlineStr"/>
      <c r="CW981" t="inlineStr"/>
      <c r="CX981" t="inlineStr"/>
      <c r="CY981" t="inlineStr"/>
      <c r="CZ981" t="inlineStr"/>
      <c r="DA981" t="inlineStr"/>
      <c r="DB981" t="inlineStr"/>
      <c r="DC981" t="inlineStr"/>
      <c r="DD981" t="inlineStr"/>
      <c r="DE981" t="inlineStr"/>
      <c r="DF981" t="inlineStr"/>
      <c r="DG981" t="inlineStr"/>
    </row>
    <row r="982">
      <c r="A982" t="inlineStr">
        <is>
          <t>III</t>
        </is>
      </c>
      <c r="B982" t="b">
        <v>1</v>
      </c>
      <c r="C982" t="inlineStr"/>
      <c r="D982" t="inlineStr"/>
      <c r="E982" t="n">
        <v>1056</v>
      </c>
      <c r="F982">
        <f>HYPERLINK("https://portal.dnb.de/opac.htm?method=simpleSearch&amp;cqlMode=true&amp;query=idn%3D1066960011", "Portal")</f>
        <v/>
      </c>
      <c r="G982" t="inlineStr">
        <is>
          <t>Aaf</t>
        </is>
      </c>
      <c r="H982" t="inlineStr">
        <is>
          <t>L-1527-315490543</t>
        </is>
      </c>
      <c r="I982" t="inlineStr">
        <is>
          <t>1066960011</t>
        </is>
      </c>
      <c r="J982" t="inlineStr">
        <is>
          <t>III 104, 31</t>
        </is>
      </c>
      <c r="K982" t="inlineStr">
        <is>
          <t>III 104, 31</t>
        </is>
      </c>
      <c r="L982" t="inlineStr">
        <is>
          <t>III 104, 31</t>
        </is>
      </c>
      <c r="M982" t="inlineStr"/>
      <c r="N982" t="inlineStr">
        <is>
          <t xml:space="preserve">Etliche spruch : </t>
        </is>
      </c>
      <c r="O982" t="inlineStr">
        <is>
          <t xml:space="preserve"> : </t>
        </is>
      </c>
      <c r="P982" t="inlineStr"/>
      <c r="Q982" t="inlineStr"/>
      <c r="R982" t="inlineStr"/>
      <c r="S982" t="inlineStr">
        <is>
          <t>bis 25 cm</t>
        </is>
      </c>
      <c r="T982" t="inlineStr"/>
      <c r="U982" t="inlineStr"/>
      <c r="V982" t="inlineStr"/>
      <c r="W982" t="inlineStr"/>
      <c r="X982" t="inlineStr"/>
      <c r="Y982" t="inlineStr"/>
      <c r="Z982" t="inlineStr"/>
      <c r="AA982" t="inlineStr"/>
      <c r="AB982" t="inlineStr"/>
      <c r="AC982" t="inlineStr"/>
      <c r="AD982" t="inlineStr"/>
      <c r="AE982" t="inlineStr"/>
      <c r="AF982" t="inlineStr"/>
      <c r="AG982" t="inlineStr"/>
      <c r="AH982" t="inlineStr"/>
      <c r="AI982" t="inlineStr">
        <is>
          <t>Pg</t>
        </is>
      </c>
      <c r="AJ982" t="inlineStr"/>
      <c r="AK982" t="inlineStr"/>
      <c r="AL982" t="inlineStr"/>
      <c r="AM982" t="inlineStr">
        <is>
          <t>h/E</t>
        </is>
      </c>
      <c r="AN982" t="inlineStr"/>
      <c r="AO982" t="inlineStr"/>
      <c r="AP982" t="inlineStr"/>
      <c r="AQ982" t="inlineStr"/>
      <c r="AR982" t="inlineStr"/>
      <c r="AS982" t="inlineStr">
        <is>
          <t>Pa</t>
        </is>
      </c>
      <c r="AT982" t="inlineStr"/>
      <c r="AU982" t="inlineStr"/>
      <c r="AV982" t="inlineStr"/>
      <c r="AW982" t="inlineStr"/>
      <c r="AX982" t="inlineStr"/>
      <c r="AY982" t="inlineStr"/>
      <c r="AZ982" t="inlineStr"/>
      <c r="BA982" t="inlineStr"/>
      <c r="BB982" t="inlineStr"/>
      <c r="BC982" t="inlineStr"/>
      <c r="BD982" t="inlineStr"/>
      <c r="BE982" t="inlineStr"/>
      <c r="BF982" t="inlineStr"/>
      <c r="BG982" t="n">
        <v>110</v>
      </c>
      <c r="BH982" t="inlineStr"/>
      <c r="BI982" t="inlineStr"/>
      <c r="BJ982" t="inlineStr"/>
      <c r="BK982" t="inlineStr"/>
      <c r="BL982" t="inlineStr"/>
      <c r="BM982" t="inlineStr">
        <is>
          <t>n</t>
        </is>
      </c>
      <c r="BN982" t="n">
        <v>0</v>
      </c>
      <c r="BO982" t="inlineStr"/>
      <c r="BP982" t="inlineStr"/>
      <c r="BQ982" t="inlineStr"/>
      <c r="BR982" t="inlineStr"/>
      <c r="BS982" t="inlineStr"/>
      <c r="BT982" t="inlineStr"/>
      <c r="BU982" t="inlineStr"/>
      <c r="BV982" t="inlineStr"/>
      <c r="BW982" t="inlineStr"/>
      <c r="BX982" t="inlineStr"/>
      <c r="BY982" t="inlineStr">
        <is>
          <t>Box (sperrt)</t>
        </is>
      </c>
      <c r="BZ982" t="inlineStr"/>
      <c r="CA982" t="inlineStr"/>
      <c r="CB982" t="inlineStr"/>
      <c r="CC982" t="inlineStr"/>
      <c r="CD982" t="inlineStr"/>
      <c r="CE982" t="inlineStr"/>
      <c r="CF982" t="inlineStr"/>
      <c r="CG982" t="inlineStr"/>
      <c r="CH982" t="inlineStr"/>
      <c r="CI982" t="inlineStr"/>
      <c r="CJ982" t="inlineStr"/>
      <c r="CK982" t="inlineStr"/>
      <c r="CL982" t="inlineStr"/>
      <c r="CM982" t="inlineStr"/>
      <c r="CN982" t="inlineStr"/>
      <c r="CO982" t="inlineStr"/>
      <c r="CP982" t="inlineStr"/>
      <c r="CQ982" t="inlineStr"/>
      <c r="CR982" t="inlineStr"/>
      <c r="CS982" t="inlineStr"/>
      <c r="CT982" t="inlineStr"/>
      <c r="CU982" t="inlineStr"/>
      <c r="CV982" t="inlineStr"/>
      <c r="CW982" t="inlineStr"/>
      <c r="CX982" t="inlineStr"/>
      <c r="CY982" t="inlineStr"/>
      <c r="CZ982" t="inlineStr"/>
      <c r="DA982" t="inlineStr"/>
      <c r="DB982" t="inlineStr"/>
      <c r="DC982" t="inlineStr"/>
      <c r="DD982" t="inlineStr"/>
      <c r="DE982" t="inlineStr"/>
      <c r="DF982" t="inlineStr"/>
      <c r="DG982" t="inlineStr"/>
    </row>
    <row r="983">
      <c r="A983" t="inlineStr">
        <is>
          <t>III</t>
        </is>
      </c>
      <c r="B983" t="b">
        <v>1</v>
      </c>
      <c r="C983" t="inlineStr"/>
      <c r="D983" t="inlineStr"/>
      <c r="E983" t="n">
        <v>1057</v>
      </c>
      <c r="F983">
        <f>HYPERLINK("https://portal.dnb.de/opac.htm?method=simpleSearch&amp;cqlMode=true&amp;query=idn%3D106695755X", "Portal")</f>
        <v/>
      </c>
      <c r="G983" t="inlineStr">
        <is>
          <t>Aaf</t>
        </is>
      </c>
      <c r="H983" t="inlineStr">
        <is>
          <t>L-1531-315488182</t>
        </is>
      </c>
      <c r="I983" t="inlineStr">
        <is>
          <t>106695755X</t>
        </is>
      </c>
      <c r="J983" t="inlineStr">
        <is>
          <t>III 104, 32</t>
        </is>
      </c>
      <c r="K983" t="inlineStr">
        <is>
          <t>III 104, 32</t>
        </is>
      </c>
      <c r="L983" t="inlineStr">
        <is>
          <t>III 104, 32</t>
        </is>
      </c>
      <c r="M983" t="inlineStr"/>
      <c r="N983" t="inlineStr">
        <is>
          <t xml:space="preserve">Vermanug|| an die geistlichen|| versamlet auff dem Reichs=||tag zu Augsburg/ Anno|| 1531.|| Marti. Luther.|| : </t>
        </is>
      </c>
      <c r="O983" t="inlineStr">
        <is>
          <t xml:space="preserve"> : </t>
        </is>
      </c>
      <c r="P983" t="inlineStr"/>
      <c r="Q983" t="inlineStr"/>
      <c r="R983" t="inlineStr"/>
      <c r="S983" t="inlineStr">
        <is>
          <t>bis 25 cm</t>
        </is>
      </c>
      <c r="T983" t="inlineStr"/>
      <c r="U983" t="inlineStr"/>
      <c r="V983" t="inlineStr"/>
      <c r="W983" t="inlineStr"/>
      <c r="X983" t="inlineStr"/>
      <c r="Y983" t="inlineStr"/>
      <c r="Z983" t="inlineStr"/>
      <c r="AA983" t="inlineStr"/>
      <c r="AB983" t="inlineStr"/>
      <c r="AC983" t="inlineStr"/>
      <c r="AD983" t="inlineStr"/>
      <c r="AE983" t="inlineStr"/>
      <c r="AF983" t="inlineStr"/>
      <c r="AG983" t="inlineStr"/>
      <c r="AH983" t="inlineStr"/>
      <c r="AI983" t="inlineStr">
        <is>
          <t>HPg</t>
        </is>
      </c>
      <c r="AJ983" t="inlineStr"/>
      <c r="AK983" t="inlineStr"/>
      <c r="AL983" t="inlineStr"/>
      <c r="AM983" t="inlineStr">
        <is>
          <t>h/E</t>
        </is>
      </c>
      <c r="AN983" t="inlineStr"/>
      <c r="AO983" t="inlineStr"/>
      <c r="AP983" t="inlineStr"/>
      <c r="AQ983" t="inlineStr"/>
      <c r="AR983" t="inlineStr"/>
      <c r="AS983" t="inlineStr">
        <is>
          <t>Pa</t>
        </is>
      </c>
      <c r="AT983" t="inlineStr"/>
      <c r="AU983" t="inlineStr"/>
      <c r="AV983" t="inlineStr"/>
      <c r="AW983" t="inlineStr"/>
      <c r="AX983" t="inlineStr"/>
      <c r="AY983" t="inlineStr"/>
      <c r="AZ983" t="inlineStr"/>
      <c r="BA983" t="inlineStr"/>
      <c r="BB983" t="inlineStr"/>
      <c r="BC983" t="inlineStr"/>
      <c r="BD983" t="inlineStr"/>
      <c r="BE983" t="inlineStr"/>
      <c r="BF983" t="inlineStr"/>
      <c r="BG983" t="n">
        <v>110</v>
      </c>
      <c r="BH983" t="inlineStr"/>
      <c r="BI983" t="inlineStr"/>
      <c r="BJ983" t="inlineStr"/>
      <c r="BK983" t="inlineStr"/>
      <c r="BL983" t="inlineStr"/>
      <c r="BM983" t="inlineStr">
        <is>
          <t>n</t>
        </is>
      </c>
      <c r="BN983" t="n">
        <v>0</v>
      </c>
      <c r="BO983" t="inlineStr"/>
      <c r="BP983" t="inlineStr"/>
      <c r="BQ983" t="inlineStr"/>
      <c r="BR983" t="inlineStr"/>
      <c r="BS983" t="inlineStr"/>
      <c r="BT983" t="inlineStr"/>
      <c r="BU983" t="inlineStr"/>
      <c r="BV983" t="inlineStr"/>
      <c r="BW983" t="inlineStr"/>
      <c r="BX983" t="inlineStr"/>
      <c r="BY983" t="inlineStr"/>
      <c r="BZ983" t="inlineStr"/>
      <c r="CA983" t="inlineStr"/>
      <c r="CB983" t="inlineStr"/>
      <c r="CC983" t="inlineStr"/>
      <c r="CD983" t="inlineStr"/>
      <c r="CE983" t="inlineStr"/>
      <c r="CF983" t="inlineStr"/>
      <c r="CG983" t="inlineStr"/>
      <c r="CH983" t="inlineStr"/>
      <c r="CI983" t="inlineStr"/>
      <c r="CJ983" t="inlineStr"/>
      <c r="CK983" t="inlineStr"/>
      <c r="CL983" t="inlineStr"/>
      <c r="CM983" t="inlineStr"/>
      <c r="CN983" t="inlineStr"/>
      <c r="CO983" t="inlineStr"/>
      <c r="CP983" t="inlineStr"/>
      <c r="CQ983" t="inlineStr"/>
      <c r="CR983" t="inlineStr"/>
      <c r="CS983" t="inlineStr"/>
      <c r="CT983" t="inlineStr"/>
      <c r="CU983" t="inlineStr"/>
      <c r="CV983" t="inlineStr"/>
      <c r="CW983" t="inlineStr"/>
      <c r="CX983" t="inlineStr"/>
      <c r="CY983" t="inlineStr"/>
      <c r="CZ983" t="inlineStr"/>
      <c r="DA983" t="inlineStr"/>
      <c r="DB983" t="inlineStr"/>
      <c r="DC983" t="inlineStr"/>
      <c r="DD983" t="inlineStr"/>
      <c r="DE983" t="inlineStr"/>
      <c r="DF983" t="inlineStr"/>
      <c r="DG983" t="inlineStr"/>
    </row>
    <row r="984">
      <c r="A984" t="inlineStr">
        <is>
          <t>III</t>
        </is>
      </c>
      <c r="B984" t="b">
        <v>1</v>
      </c>
      <c r="C984" t="inlineStr"/>
      <c r="D984" t="inlineStr"/>
      <c r="E984" t="inlineStr"/>
      <c r="F984">
        <f>HYPERLINK("https://portal.dnb.de/opac.htm?method=simpleSearch&amp;cqlMode=true&amp;query=idn%3D1268481114", "Portal")</f>
        <v/>
      </c>
      <c r="G984" t="inlineStr">
        <is>
          <t>Qd</t>
        </is>
      </c>
      <c r="H984" t="inlineStr">
        <is>
          <t>L-1531-833463683</t>
        </is>
      </c>
      <c r="I984" t="inlineStr">
        <is>
          <t>1268481114</t>
        </is>
      </c>
      <c r="J984" t="inlineStr">
        <is>
          <t>III 104, 32 a</t>
        </is>
      </c>
      <c r="K984" t="inlineStr">
        <is>
          <t>III 104, 32 a</t>
        </is>
      </c>
      <c r="L984" t="inlineStr">
        <is>
          <t>III 104, 32 a</t>
        </is>
      </c>
      <c r="M984" t="inlineStr"/>
      <c r="N984" t="inlineStr">
        <is>
          <t xml:space="preserve">Sammelband : </t>
        </is>
      </c>
      <c r="O984" t="inlineStr">
        <is>
          <t xml:space="preserve"> : </t>
        </is>
      </c>
      <c r="P984" t="inlineStr"/>
      <c r="Q984" t="inlineStr"/>
      <c r="R984" t="inlineStr"/>
      <c r="S984" t="inlineStr">
        <is>
          <t>bis 25 cm</t>
        </is>
      </c>
      <c r="T984" t="inlineStr"/>
      <c r="U984" t="inlineStr"/>
      <c r="V984" t="inlineStr"/>
      <c r="W984" t="inlineStr"/>
      <c r="X984" t="inlineStr"/>
      <c r="Y984" t="inlineStr"/>
      <c r="Z984" t="inlineStr"/>
      <c r="AA984" t="inlineStr"/>
      <c r="AB984" t="inlineStr"/>
      <c r="AC984" t="inlineStr"/>
      <c r="AD984" t="inlineStr"/>
      <c r="AE984" t="inlineStr"/>
      <c r="AF984" t="inlineStr"/>
      <c r="AG984" t="inlineStr"/>
      <c r="AH984" t="inlineStr"/>
      <c r="AI984" t="inlineStr">
        <is>
          <t>HD</t>
        </is>
      </c>
      <c r="AJ984" t="inlineStr"/>
      <c r="AK984" t="inlineStr"/>
      <c r="AL984" t="inlineStr">
        <is>
          <t>x</t>
        </is>
      </c>
      <c r="AM984" t="inlineStr">
        <is>
          <t>f</t>
        </is>
      </c>
      <c r="AN984" t="inlineStr"/>
      <c r="AO984" t="inlineStr"/>
      <c r="AP984" t="inlineStr"/>
      <c r="AQ984" t="inlineStr"/>
      <c r="AR984" t="inlineStr"/>
      <c r="AS984" t="inlineStr">
        <is>
          <t>Pa</t>
        </is>
      </c>
      <c r="AT984" t="inlineStr"/>
      <c r="AU984" t="inlineStr"/>
      <c r="AV984" t="inlineStr"/>
      <c r="AW984" t="inlineStr"/>
      <c r="AX984" t="inlineStr"/>
      <c r="AY984" t="inlineStr"/>
      <c r="AZ984" t="inlineStr"/>
      <c r="BA984" t="inlineStr"/>
      <c r="BB984" t="inlineStr"/>
      <c r="BC984" t="inlineStr"/>
      <c r="BD984" t="inlineStr"/>
      <c r="BE984" t="inlineStr"/>
      <c r="BF984" t="inlineStr"/>
      <c r="BG984" t="n">
        <v>110</v>
      </c>
      <c r="BH984" t="inlineStr"/>
      <c r="BI984" t="inlineStr"/>
      <c r="BJ984" t="inlineStr"/>
      <c r="BK984" t="inlineStr">
        <is>
          <t>x</t>
        </is>
      </c>
      <c r="BL984" t="inlineStr"/>
      <c r="BM984" t="inlineStr">
        <is>
          <t>n</t>
        </is>
      </c>
      <c r="BN984" t="n">
        <v>0</v>
      </c>
      <c r="BO984" t="inlineStr"/>
      <c r="BP984" t="inlineStr">
        <is>
          <t>Gewebe mit Papier</t>
        </is>
      </c>
      <c r="BQ984" t="inlineStr"/>
      <c r="BR984" t="inlineStr"/>
      <c r="BS984" t="inlineStr"/>
      <c r="BT984" t="inlineStr"/>
      <c r="BU984" t="inlineStr"/>
      <c r="BV984" t="inlineStr"/>
      <c r="BW984" t="inlineStr"/>
      <c r="BX984" t="inlineStr"/>
      <c r="BY984" t="inlineStr"/>
      <c r="BZ984" t="inlineStr"/>
      <c r="CA984" t="inlineStr"/>
      <c r="CB984" t="inlineStr"/>
      <c r="CC984" t="inlineStr"/>
      <c r="CD984" t="inlineStr"/>
      <c r="CE984" t="inlineStr"/>
      <c r="CF984" t="inlineStr"/>
      <c r="CG984" t="inlineStr"/>
      <c r="CH984" t="inlineStr"/>
      <c r="CI984" t="inlineStr"/>
      <c r="CJ984" t="inlineStr"/>
      <c r="CK984" t="inlineStr"/>
      <c r="CL984" t="inlineStr"/>
      <c r="CM984" t="inlineStr"/>
      <c r="CN984" t="inlineStr"/>
      <c r="CO984" t="inlineStr"/>
      <c r="CP984" t="inlineStr"/>
      <c r="CQ984" t="inlineStr"/>
      <c r="CR984" t="inlineStr"/>
      <c r="CS984" t="inlineStr"/>
      <c r="CT984" t="inlineStr"/>
      <c r="CU984" t="inlineStr"/>
      <c r="CV984" t="inlineStr"/>
      <c r="CW984" t="inlineStr"/>
      <c r="CX984" t="inlineStr"/>
      <c r="CY984" t="inlineStr"/>
      <c r="CZ984" t="inlineStr"/>
      <c r="DA984" t="inlineStr"/>
      <c r="DB984" t="inlineStr"/>
      <c r="DC984" t="inlineStr"/>
      <c r="DD984" t="inlineStr"/>
      <c r="DE984" t="inlineStr"/>
      <c r="DF984" t="inlineStr"/>
      <c r="DG984" t="inlineStr"/>
    </row>
    <row r="985">
      <c r="A985" t="inlineStr">
        <is>
          <t>III</t>
        </is>
      </c>
      <c r="B985" t="b">
        <v>1</v>
      </c>
      <c r="C985" t="inlineStr"/>
      <c r="D985" t="inlineStr"/>
      <c r="E985" t="n">
        <v>1111</v>
      </c>
      <c r="F985">
        <f>HYPERLINK("https://portal.dnb.de/opac.htm?method=simpleSearch&amp;cqlMode=true&amp;query=idn%3D999156268", "Portal")</f>
        <v/>
      </c>
      <c r="G985" t="inlineStr">
        <is>
          <t>Aal</t>
        </is>
      </c>
      <c r="H985" t="inlineStr">
        <is>
          <t>L-1540-167629735</t>
        </is>
      </c>
      <c r="I985" t="inlineStr">
        <is>
          <t>999156268</t>
        </is>
      </c>
      <c r="J985" t="inlineStr">
        <is>
          <t>III 104, 32 b</t>
        </is>
      </c>
      <c r="K985" t="inlineStr">
        <is>
          <t>III 104, 32 b</t>
        </is>
      </c>
      <c r="L985" t="inlineStr">
        <is>
          <t>III 104, 32 b</t>
        </is>
      </c>
      <c r="M985" t="inlineStr"/>
      <c r="N985" t="inlineStr">
        <is>
          <t xml:space="preserve">Von der|| Kirchen, vnd al||ten Kirchen||lerern|| : </t>
        </is>
      </c>
      <c r="O985" t="inlineStr">
        <is>
          <t xml:space="preserve"> : </t>
        </is>
      </c>
      <c r="P985" t="inlineStr"/>
      <c r="Q985" t="inlineStr"/>
      <c r="R985" t="inlineStr"/>
      <c r="S985" t="inlineStr">
        <is>
          <t>bis 25 cm</t>
        </is>
      </c>
      <c r="T985" t="inlineStr"/>
      <c r="U985" t="inlineStr"/>
      <c r="V985" t="inlineStr"/>
      <c r="W985" t="inlineStr"/>
      <c r="X985" t="inlineStr"/>
      <c r="Y985" t="inlineStr"/>
      <c r="Z985" t="inlineStr"/>
      <c r="AA985" t="inlineStr"/>
      <c r="AB985" t="inlineStr"/>
      <c r="AC985" t="inlineStr"/>
      <c r="AD985" t="inlineStr"/>
      <c r="AE985" t="inlineStr"/>
      <c r="AF985" t="inlineStr"/>
      <c r="AG985" t="inlineStr"/>
      <c r="AH985" t="inlineStr"/>
      <c r="AI985" t="inlineStr">
        <is>
          <t>HPg</t>
        </is>
      </c>
      <c r="AJ985" t="inlineStr"/>
      <c r="AK985" t="inlineStr"/>
      <c r="AL985" t="inlineStr"/>
      <c r="AM985" t="inlineStr">
        <is>
          <t>h/E</t>
        </is>
      </c>
      <c r="AN985" t="inlineStr"/>
      <c r="AO985" t="inlineStr"/>
      <c r="AP985" t="inlineStr"/>
      <c r="AQ985" t="inlineStr"/>
      <c r="AR985" t="inlineStr"/>
      <c r="AS985" t="inlineStr">
        <is>
          <t>Pa</t>
        </is>
      </c>
      <c r="AT985" t="inlineStr"/>
      <c r="AU985" t="inlineStr"/>
      <c r="AV985" t="inlineStr"/>
      <c r="AW985" t="inlineStr"/>
      <c r="AX985" t="inlineStr"/>
      <c r="AY985" t="inlineStr"/>
      <c r="AZ985" t="inlineStr"/>
      <c r="BA985" t="inlineStr"/>
      <c r="BB985" t="inlineStr"/>
      <c r="BC985" t="inlineStr"/>
      <c r="BD985" t="inlineStr"/>
      <c r="BE985" t="inlineStr"/>
      <c r="BF985" t="inlineStr"/>
      <c r="BG985" t="n">
        <v>110</v>
      </c>
      <c r="BH985" t="inlineStr"/>
      <c r="BI985" t="inlineStr"/>
      <c r="BJ985" t="inlineStr"/>
      <c r="BK985" t="inlineStr">
        <is>
          <t>x</t>
        </is>
      </c>
      <c r="BL985" t="inlineStr">
        <is>
          <t>x</t>
        </is>
      </c>
      <c r="BM985" t="inlineStr">
        <is>
          <t>n</t>
        </is>
      </c>
      <c r="BN985" t="n">
        <v>0</v>
      </c>
      <c r="BO985" t="inlineStr"/>
      <c r="BP985" t="inlineStr"/>
      <c r="BQ985" t="inlineStr"/>
      <c r="BR985" t="inlineStr"/>
      <c r="BS985" t="inlineStr"/>
      <c r="BT985" t="inlineStr"/>
      <c r="BU985" t="inlineStr"/>
      <c r="BV985" t="inlineStr"/>
      <c r="BW985" t="inlineStr"/>
      <c r="BX985" t="inlineStr"/>
      <c r="BY985" t="inlineStr"/>
      <c r="BZ985" t="inlineStr"/>
      <c r="CA985" t="inlineStr"/>
      <c r="CB985" t="inlineStr"/>
      <c r="CC985" t="inlineStr"/>
      <c r="CD985" t="inlineStr"/>
      <c r="CE985" t="inlineStr"/>
      <c r="CF985" t="inlineStr"/>
      <c r="CG985" t="inlineStr"/>
      <c r="CH985" t="inlineStr"/>
      <c r="CI985" t="inlineStr"/>
      <c r="CJ985" t="inlineStr"/>
      <c r="CK985" t="inlineStr"/>
      <c r="CL985" t="inlineStr"/>
      <c r="CM985" t="inlineStr"/>
      <c r="CN985" t="inlineStr"/>
      <c r="CO985" t="inlineStr"/>
      <c r="CP985" t="inlineStr"/>
      <c r="CQ985" t="inlineStr"/>
      <c r="CR985" t="inlineStr"/>
      <c r="CS985" t="inlineStr"/>
      <c r="CT985" t="inlineStr"/>
      <c r="CU985" t="inlineStr"/>
      <c r="CV985" t="inlineStr"/>
      <c r="CW985" t="inlineStr"/>
      <c r="CX985" t="inlineStr"/>
      <c r="CY985" t="inlineStr"/>
      <c r="CZ985" t="inlineStr"/>
      <c r="DA985" t="inlineStr"/>
      <c r="DB985" t="inlineStr"/>
      <c r="DC985" t="inlineStr"/>
      <c r="DD985" t="inlineStr"/>
      <c r="DE985" t="inlineStr"/>
      <c r="DF985" t="inlineStr"/>
      <c r="DG985" t="inlineStr"/>
    </row>
    <row r="986">
      <c r="A986" t="inlineStr">
        <is>
          <t>III</t>
        </is>
      </c>
      <c r="B986" t="b">
        <v>1</v>
      </c>
      <c r="C986" t="inlineStr"/>
      <c r="D986" t="inlineStr"/>
      <c r="E986" t="n">
        <v>1112</v>
      </c>
      <c r="F986">
        <f>HYPERLINK("https://portal.dnb.de/opac.htm?method=simpleSearch&amp;cqlMode=true&amp;query=idn%3D999166727", "Portal")</f>
        <v/>
      </c>
      <c r="G986" t="inlineStr">
        <is>
          <t>Aal</t>
        </is>
      </c>
      <c r="H986" t="inlineStr">
        <is>
          <t>L-1541-16763996X</t>
        </is>
      </c>
      <c r="I986" t="inlineStr">
        <is>
          <t>999166727</t>
        </is>
      </c>
      <c r="J986" t="inlineStr">
        <is>
          <t>III 104, 32 c</t>
        </is>
      </c>
      <c r="K986" t="inlineStr">
        <is>
          <t>III 104, 32 c</t>
        </is>
      </c>
      <c r="L986" t="inlineStr">
        <is>
          <t>III 104, 32 c</t>
        </is>
      </c>
      <c r="M986" t="inlineStr"/>
      <c r="N986" t="inlineStr">
        <is>
          <t>Eine @Schrifft Philip. Melanth. new||lich latinisch gestellet : wid||der den vnreinen Bapsts|| Celibat, vnd verbot der Priester||ehe</t>
        </is>
      </c>
      <c r="O986" t="inlineStr">
        <is>
          <t xml:space="preserve"> : </t>
        </is>
      </c>
      <c r="P986" t="inlineStr"/>
      <c r="Q986" t="inlineStr"/>
      <c r="R986" t="inlineStr"/>
      <c r="S986" t="inlineStr">
        <is>
          <t>bis 25 cm</t>
        </is>
      </c>
      <c r="T986" t="inlineStr"/>
      <c r="U986" t="inlineStr"/>
      <c r="V986" t="inlineStr"/>
      <c r="W986" t="inlineStr"/>
      <c r="X986" t="inlineStr"/>
      <c r="Y986" t="inlineStr"/>
      <c r="Z986" t="inlineStr"/>
      <c r="AA986" t="inlineStr"/>
      <c r="AB986" t="inlineStr"/>
      <c r="AC986" t="inlineStr"/>
      <c r="AD986" t="inlineStr"/>
      <c r="AE986" t="inlineStr"/>
      <c r="AF986" t="inlineStr"/>
      <c r="AG986" t="inlineStr"/>
      <c r="AH986" t="inlineStr"/>
      <c r="AI986" t="inlineStr">
        <is>
          <t>HPg</t>
        </is>
      </c>
      <c r="AJ986" t="inlineStr"/>
      <c r="AK986" t="inlineStr"/>
      <c r="AL986" t="inlineStr"/>
      <c r="AM986" t="inlineStr">
        <is>
          <t>h/E</t>
        </is>
      </c>
      <c r="AN986" t="inlineStr"/>
      <c r="AO986" t="inlineStr"/>
      <c r="AP986" t="inlineStr"/>
      <c r="AQ986" t="inlineStr"/>
      <c r="AR986" t="inlineStr"/>
      <c r="AS986" t="inlineStr">
        <is>
          <t>Pa</t>
        </is>
      </c>
      <c r="AT986" t="inlineStr"/>
      <c r="AU986" t="inlineStr"/>
      <c r="AV986" t="inlineStr"/>
      <c r="AW986" t="inlineStr"/>
      <c r="AX986" t="inlineStr"/>
      <c r="AY986" t="inlineStr"/>
      <c r="AZ986" t="inlineStr"/>
      <c r="BA986" t="inlineStr"/>
      <c r="BB986" t="inlineStr"/>
      <c r="BC986" t="inlineStr"/>
      <c r="BD986" t="inlineStr"/>
      <c r="BE986" t="inlineStr"/>
      <c r="BF986" t="inlineStr"/>
      <c r="BG986" t="n">
        <v>110</v>
      </c>
      <c r="BH986" t="inlineStr"/>
      <c r="BI986" t="inlineStr"/>
      <c r="BJ986" t="inlineStr"/>
      <c r="BK986" t="inlineStr">
        <is>
          <t>x</t>
        </is>
      </c>
      <c r="BL986" t="inlineStr">
        <is>
          <t>x</t>
        </is>
      </c>
      <c r="BM986" t="inlineStr">
        <is>
          <t>n</t>
        </is>
      </c>
      <c r="BN986" t="n">
        <v>0</v>
      </c>
      <c r="BO986" t="inlineStr"/>
      <c r="BP986" t="inlineStr"/>
      <c r="BQ986" t="inlineStr"/>
      <c r="BR986" t="inlineStr"/>
      <c r="BS986" t="inlineStr"/>
      <c r="BT986" t="inlineStr"/>
      <c r="BU986" t="inlineStr"/>
      <c r="BV986" t="inlineStr"/>
      <c r="BW986" t="inlineStr"/>
      <c r="BX986" t="inlineStr"/>
      <c r="BY986" t="inlineStr"/>
      <c r="BZ986" t="inlineStr"/>
      <c r="CA986" t="inlineStr"/>
      <c r="CB986" t="inlineStr"/>
      <c r="CC986" t="inlineStr"/>
      <c r="CD986" t="inlineStr"/>
      <c r="CE986" t="inlineStr"/>
      <c r="CF986" t="inlineStr"/>
      <c r="CG986" t="inlineStr"/>
      <c r="CH986" t="inlineStr"/>
      <c r="CI986" t="inlineStr"/>
      <c r="CJ986" t="inlineStr"/>
      <c r="CK986" t="inlineStr"/>
      <c r="CL986" t="inlineStr"/>
      <c r="CM986" t="inlineStr"/>
      <c r="CN986" t="inlineStr"/>
      <c r="CO986" t="inlineStr"/>
      <c r="CP986" t="inlineStr"/>
      <c r="CQ986" t="inlineStr"/>
      <c r="CR986" t="inlineStr"/>
      <c r="CS986" t="inlineStr"/>
      <c r="CT986" t="inlineStr"/>
      <c r="CU986" t="inlineStr"/>
      <c r="CV986" t="inlineStr"/>
      <c r="CW986" t="inlineStr"/>
      <c r="CX986" t="inlineStr"/>
      <c r="CY986" t="inlineStr"/>
      <c r="CZ986" t="inlineStr"/>
      <c r="DA986" t="inlineStr"/>
      <c r="DB986" t="inlineStr"/>
      <c r="DC986" t="inlineStr"/>
      <c r="DD986" t="inlineStr"/>
      <c r="DE986" t="inlineStr"/>
      <c r="DF986" t="inlineStr"/>
      <c r="DG986" t="inlineStr"/>
    </row>
    <row r="987">
      <c r="A987" t="inlineStr">
        <is>
          <t>III</t>
        </is>
      </c>
      <c r="B987" t="b">
        <v>1</v>
      </c>
      <c r="C987" t="inlineStr"/>
      <c r="D987" t="inlineStr"/>
      <c r="E987" t="inlineStr"/>
      <c r="F987">
        <f>HYPERLINK("https://portal.dnb.de/opac.htm?method=simpleSearch&amp;cqlMode=true&amp;query=idn%3D1267871814", "Portal")</f>
        <v/>
      </c>
      <c r="G987" t="inlineStr">
        <is>
          <t>Qd</t>
        </is>
      </c>
      <c r="H987" t="inlineStr">
        <is>
          <t>L-1529-812448545</t>
        </is>
      </c>
      <c r="I987" t="inlineStr">
        <is>
          <t>1267871814</t>
        </is>
      </c>
      <c r="J987" t="inlineStr">
        <is>
          <t>III 104, 32 d</t>
        </is>
      </c>
      <c r="K987" t="inlineStr">
        <is>
          <t>III 104, 32 d</t>
        </is>
      </c>
      <c r="L987" t="inlineStr">
        <is>
          <t>III 104, 32 d</t>
        </is>
      </c>
      <c r="M987" t="inlineStr"/>
      <c r="N987" t="inlineStr">
        <is>
          <t xml:space="preserve">Sammelband mit drei Reformationsschriften : </t>
        </is>
      </c>
      <c r="O987" t="inlineStr">
        <is>
          <t xml:space="preserve"> : </t>
        </is>
      </c>
      <c r="P987" t="inlineStr"/>
      <c r="Q987" t="inlineStr"/>
      <c r="R987" t="inlineStr"/>
      <c r="S987" t="inlineStr">
        <is>
          <t>bis 25 cm</t>
        </is>
      </c>
      <c r="T987" t="inlineStr"/>
      <c r="U987" t="inlineStr"/>
      <c r="V987" t="inlineStr"/>
      <c r="W987" t="inlineStr"/>
      <c r="X987" t="inlineStr"/>
      <c r="Y987" t="inlineStr"/>
      <c r="Z987" t="inlineStr"/>
      <c r="AA987" t="inlineStr"/>
      <c r="AB987" t="inlineStr"/>
      <c r="AC987" t="inlineStr"/>
      <c r="AD987" t="inlineStr"/>
      <c r="AE987" t="inlineStr"/>
      <c r="AF987" t="inlineStr"/>
      <c r="AG987" t="inlineStr"/>
      <c r="AH987" t="inlineStr"/>
      <c r="AI987" t="inlineStr">
        <is>
          <t>HD</t>
        </is>
      </c>
      <c r="AJ987" t="inlineStr"/>
      <c r="AK987" t="inlineStr"/>
      <c r="AL987" t="inlineStr"/>
      <c r="AM987" t="inlineStr">
        <is>
          <t>h</t>
        </is>
      </c>
      <c r="AN987" t="inlineStr"/>
      <c r="AO987" t="inlineStr"/>
      <c r="AP987" t="inlineStr"/>
      <c r="AQ987" t="inlineStr"/>
      <c r="AR987" t="inlineStr"/>
      <c r="AS987" t="inlineStr">
        <is>
          <t>Pa</t>
        </is>
      </c>
      <c r="AT987" t="inlineStr"/>
      <c r="AU987" t="inlineStr"/>
      <c r="AV987" t="inlineStr"/>
      <c r="AW987" t="inlineStr"/>
      <c r="AX987" t="inlineStr"/>
      <c r="AY987" t="inlineStr"/>
      <c r="AZ987" t="inlineStr"/>
      <c r="BA987" t="inlineStr"/>
      <c r="BB987" t="inlineStr"/>
      <c r="BC987" t="inlineStr"/>
      <c r="BD987" t="inlineStr"/>
      <c r="BE987" t="inlineStr"/>
      <c r="BF987" t="inlineStr"/>
      <c r="BG987" t="inlineStr">
        <is>
          <t>nur 110</t>
        </is>
      </c>
      <c r="BH987" t="inlineStr"/>
      <c r="BI987" t="inlineStr"/>
      <c r="BJ987" t="inlineStr"/>
      <c r="BK987" t="inlineStr"/>
      <c r="BL987" t="inlineStr"/>
      <c r="BM987" t="inlineStr">
        <is>
          <t>n</t>
        </is>
      </c>
      <c r="BN987" t="n">
        <v>0</v>
      </c>
      <c r="BO987" t="inlineStr"/>
      <c r="BP987" t="inlineStr"/>
      <c r="BQ987" t="inlineStr"/>
      <c r="BR987" t="inlineStr"/>
      <c r="BS987" t="inlineStr"/>
      <c r="BT987" t="inlineStr">
        <is>
          <t>x sauer</t>
        </is>
      </c>
      <c r="BU987" t="inlineStr">
        <is>
          <t>x</t>
        </is>
      </c>
      <c r="BV987" t="inlineStr">
        <is>
          <t>Schaden stabil, fester Rücken inzwischen hohl</t>
        </is>
      </c>
      <c r="BW987" t="inlineStr"/>
      <c r="BX987" t="inlineStr"/>
      <c r="BY987" t="inlineStr"/>
      <c r="BZ987" t="inlineStr"/>
      <c r="CA987" t="inlineStr"/>
      <c r="CB987" t="inlineStr"/>
      <c r="CC987" t="inlineStr"/>
      <c r="CD987" t="inlineStr"/>
      <c r="CE987" t="inlineStr"/>
      <c r="CF987" t="inlineStr"/>
      <c r="CG987" t="inlineStr"/>
      <c r="CH987" t="inlineStr"/>
      <c r="CI987" t="inlineStr"/>
      <c r="CJ987" t="inlineStr"/>
      <c r="CK987" t="inlineStr"/>
      <c r="CL987" t="inlineStr"/>
      <c r="CM987" t="inlineStr"/>
      <c r="CN987" t="inlineStr"/>
      <c r="CO987" t="inlineStr"/>
      <c r="CP987" t="inlineStr"/>
      <c r="CQ987" t="inlineStr"/>
      <c r="CR987" t="inlineStr"/>
      <c r="CS987" t="inlineStr"/>
      <c r="CT987" t="inlineStr"/>
      <c r="CU987" t="inlineStr"/>
      <c r="CV987" t="inlineStr"/>
      <c r="CW987" t="inlineStr"/>
      <c r="CX987" t="inlineStr"/>
      <c r="CY987" t="inlineStr"/>
      <c r="CZ987" t="inlineStr"/>
      <c r="DA987" t="inlineStr"/>
      <c r="DB987" t="inlineStr"/>
      <c r="DC987" t="inlineStr"/>
      <c r="DD987" t="inlineStr"/>
      <c r="DE987" t="inlineStr"/>
      <c r="DF987" t="inlineStr"/>
      <c r="DG987" t="inlineStr"/>
    </row>
    <row r="988">
      <c r="A988" t="inlineStr">
        <is>
          <t>III</t>
        </is>
      </c>
      <c r="B988" t="b">
        <v>1</v>
      </c>
      <c r="C988" t="inlineStr"/>
      <c r="D988" t="inlineStr"/>
      <c r="E988" t="n">
        <v>1116</v>
      </c>
      <c r="F988">
        <f>HYPERLINK("https://portal.dnb.de/opac.htm?method=simpleSearch&amp;cqlMode=true&amp;query=idn%3D998925616", "Portal")</f>
        <v/>
      </c>
      <c r="G988" t="inlineStr">
        <is>
          <t>Aal</t>
        </is>
      </c>
      <c r="H988" t="inlineStr">
        <is>
          <t>L-1530-167209701</t>
        </is>
      </c>
      <c r="I988" t="inlineStr">
        <is>
          <t>998925616</t>
        </is>
      </c>
      <c r="J988" t="inlineStr">
        <is>
          <t>III 104, 32 e</t>
        </is>
      </c>
      <c r="K988" t="inlineStr">
        <is>
          <t>III 104, 32 e</t>
        </is>
      </c>
      <c r="L988" t="inlineStr">
        <is>
          <t>III 104, 32 e</t>
        </is>
      </c>
      <c r="M988" t="inlineStr"/>
      <c r="N988" t="inlineStr">
        <is>
          <t xml:space="preserve">Verma=||nung zum Sacra||ment des leibs vnd|| bluts vnsers|| HERRN.|| : </t>
        </is>
      </c>
      <c r="O988" t="inlineStr">
        <is>
          <t xml:space="preserve"> : </t>
        </is>
      </c>
      <c r="P988" t="inlineStr"/>
      <c r="Q988" t="inlineStr"/>
      <c r="R988" t="inlineStr"/>
      <c r="S988" t="inlineStr">
        <is>
          <t>bis 25 cm</t>
        </is>
      </c>
      <c r="T988" t="inlineStr"/>
      <c r="U988" t="inlineStr"/>
      <c r="V988" t="inlineStr"/>
      <c r="W988" t="inlineStr"/>
      <c r="X988" t="inlineStr"/>
      <c r="Y988" t="inlineStr"/>
      <c r="Z988" t="inlineStr"/>
      <c r="AA988" t="inlineStr"/>
      <c r="AB988" t="inlineStr"/>
      <c r="AC988" t="inlineStr"/>
      <c r="AD988" t="inlineStr"/>
      <c r="AE988" t="inlineStr"/>
      <c r="AF988" t="inlineStr"/>
      <c r="AG988" t="inlineStr"/>
      <c r="AH988" t="inlineStr"/>
      <c r="AI988" t="inlineStr">
        <is>
          <t>HPg</t>
        </is>
      </c>
      <c r="AJ988" t="inlineStr"/>
      <c r="AK988" t="inlineStr"/>
      <c r="AL988" t="inlineStr"/>
      <c r="AM988" t="inlineStr">
        <is>
          <t>h/E</t>
        </is>
      </c>
      <c r="AN988" t="inlineStr"/>
      <c r="AO988" t="inlineStr"/>
      <c r="AP988" t="inlineStr"/>
      <c r="AQ988" t="inlineStr"/>
      <c r="AR988" t="inlineStr"/>
      <c r="AS988" t="inlineStr">
        <is>
          <t>Pa</t>
        </is>
      </c>
      <c r="AT988" t="inlineStr"/>
      <c r="AU988" t="inlineStr"/>
      <c r="AV988" t="inlineStr"/>
      <c r="AW988" t="inlineStr"/>
      <c r="AX988" t="inlineStr"/>
      <c r="AY988" t="inlineStr"/>
      <c r="AZ988" t="inlineStr"/>
      <c r="BA988" t="inlineStr"/>
      <c r="BB988" t="inlineStr"/>
      <c r="BC988" t="inlineStr"/>
      <c r="BD988" t="inlineStr"/>
      <c r="BE988" t="inlineStr"/>
      <c r="BF988" t="inlineStr"/>
      <c r="BG988" t="n">
        <v>110</v>
      </c>
      <c r="BH988" t="inlineStr"/>
      <c r="BI988" t="inlineStr"/>
      <c r="BJ988" t="inlineStr"/>
      <c r="BK988" t="inlineStr">
        <is>
          <t>x</t>
        </is>
      </c>
      <c r="BL988" t="inlineStr">
        <is>
          <t>x</t>
        </is>
      </c>
      <c r="BM988" t="inlineStr">
        <is>
          <t>n</t>
        </is>
      </c>
      <c r="BN988" t="n">
        <v>0</v>
      </c>
      <c r="BO988" t="inlineStr"/>
      <c r="BP988" t="inlineStr"/>
      <c r="BQ988" t="inlineStr"/>
      <c r="BR988" t="inlineStr"/>
      <c r="BS988" t="inlineStr"/>
      <c r="BT988" t="inlineStr"/>
      <c r="BU988" t="inlineStr"/>
      <c r="BV988" t="inlineStr"/>
      <c r="BW988" t="inlineStr">
        <is>
          <t>x 110</t>
        </is>
      </c>
      <c r="BX988" t="inlineStr">
        <is>
          <t xml:space="preserve">
mit eingeklebten Infoblatt vorn</t>
        </is>
      </c>
      <c r="BY988" t="inlineStr"/>
      <c r="BZ988" t="inlineStr"/>
      <c r="CA988" t="inlineStr"/>
      <c r="CB988" t="inlineStr"/>
      <c r="CC988" t="inlineStr"/>
      <c r="CD988" t="inlineStr"/>
      <c r="CE988" t="inlineStr"/>
      <c r="CF988" t="inlineStr"/>
      <c r="CG988" t="inlineStr"/>
      <c r="CH988" t="inlineStr"/>
      <c r="CI988" t="inlineStr"/>
      <c r="CJ988" t="inlineStr"/>
      <c r="CK988" t="inlineStr"/>
      <c r="CL988" t="inlineStr"/>
      <c r="CM988" t="inlineStr"/>
      <c r="CN988" t="inlineStr"/>
      <c r="CO988" t="inlineStr"/>
      <c r="CP988" t="inlineStr"/>
      <c r="CQ988" t="inlineStr"/>
      <c r="CR988" t="inlineStr"/>
      <c r="CS988" t="inlineStr"/>
      <c r="CT988" t="inlineStr"/>
      <c r="CU988" t="inlineStr"/>
      <c r="CV988" t="inlineStr"/>
      <c r="CW988" t="inlineStr"/>
      <c r="CX988" t="inlineStr"/>
      <c r="CY988" t="inlineStr"/>
      <c r="CZ988" t="inlineStr"/>
      <c r="DA988" t="inlineStr"/>
      <c r="DB988" t="inlineStr"/>
      <c r="DC988" t="inlineStr"/>
      <c r="DD988" t="inlineStr"/>
      <c r="DE988" t="inlineStr"/>
      <c r="DF988" t="inlineStr"/>
      <c r="DG988" t="inlineStr"/>
    </row>
    <row r="989">
      <c r="A989" t="inlineStr">
        <is>
          <t>III</t>
        </is>
      </c>
      <c r="B989" t="b">
        <v>1</v>
      </c>
      <c r="C989" t="inlineStr"/>
      <c r="D989" t="inlineStr"/>
      <c r="E989" t="n">
        <v>1117</v>
      </c>
      <c r="F989">
        <f>HYPERLINK("https://portal.dnb.de/opac.htm?method=simpleSearch&amp;cqlMode=true&amp;query=idn%3D998902365", "Portal")</f>
        <v/>
      </c>
      <c r="G989" t="inlineStr">
        <is>
          <t>Aal</t>
        </is>
      </c>
      <c r="H989" t="inlineStr">
        <is>
          <t>L-1536-167186949</t>
        </is>
      </c>
      <c r="I989" t="inlineStr">
        <is>
          <t>998902365</t>
        </is>
      </c>
      <c r="J989" t="inlineStr">
        <is>
          <t>III 104, 32 f</t>
        </is>
      </c>
      <c r="K989" t="inlineStr">
        <is>
          <t>III 104, 32 f</t>
        </is>
      </c>
      <c r="L989" t="inlineStr">
        <is>
          <t>III 104, 32 f</t>
        </is>
      </c>
      <c r="M989" t="inlineStr"/>
      <c r="N989" t="inlineStr">
        <is>
          <t>Ein @trost=||liche predigt von|| der zukunfft Christi,|| vnd den vorgehenden|| zeichen des Jüng=||sten tags /|| D. Mart. Luther.|| Wittemberg|| 1536||</t>
        </is>
      </c>
      <c r="O989" t="inlineStr">
        <is>
          <t xml:space="preserve"> : </t>
        </is>
      </c>
      <c r="P989" t="inlineStr"/>
      <c r="Q989" t="inlineStr"/>
      <c r="R989" t="inlineStr"/>
      <c r="S989" t="inlineStr">
        <is>
          <t>bis 25 cm</t>
        </is>
      </c>
      <c r="T989" t="inlineStr"/>
      <c r="U989" t="inlineStr"/>
      <c r="V989" t="inlineStr"/>
      <c r="W989" t="inlineStr"/>
      <c r="X989" t="inlineStr"/>
      <c r="Y989" t="inlineStr"/>
      <c r="Z989" t="inlineStr"/>
      <c r="AA989" t="inlineStr"/>
      <c r="AB989" t="inlineStr"/>
      <c r="AC989" t="inlineStr"/>
      <c r="AD989" t="inlineStr"/>
      <c r="AE989" t="inlineStr"/>
      <c r="AF989" t="inlineStr"/>
      <c r="AG989" t="inlineStr"/>
      <c r="AH989" t="inlineStr"/>
      <c r="AI989" t="inlineStr">
        <is>
          <t>HPg</t>
        </is>
      </c>
      <c r="AJ989" t="inlineStr"/>
      <c r="AK989" t="inlineStr"/>
      <c r="AL989" t="inlineStr"/>
      <c r="AM989" t="inlineStr">
        <is>
          <t>h/E</t>
        </is>
      </c>
      <c r="AN989" t="inlineStr"/>
      <c r="AO989" t="inlineStr"/>
      <c r="AP989" t="inlineStr"/>
      <c r="AQ989" t="inlineStr"/>
      <c r="AR989" t="inlineStr"/>
      <c r="AS989" t="inlineStr">
        <is>
          <t>Pa</t>
        </is>
      </c>
      <c r="AT989" t="inlineStr"/>
      <c r="AU989" t="inlineStr"/>
      <c r="AV989" t="inlineStr"/>
      <c r="AW989" t="inlineStr"/>
      <c r="AX989" t="inlineStr"/>
      <c r="AY989" t="inlineStr"/>
      <c r="AZ989" t="inlineStr"/>
      <c r="BA989" t="inlineStr"/>
      <c r="BB989" t="inlineStr"/>
      <c r="BC989" t="inlineStr"/>
      <c r="BD989" t="inlineStr"/>
      <c r="BE989" t="inlineStr"/>
      <c r="BF989" t="inlineStr"/>
      <c r="BG989" t="n">
        <v>110</v>
      </c>
      <c r="BH989" t="inlineStr"/>
      <c r="BI989" t="inlineStr"/>
      <c r="BJ989" t="inlineStr"/>
      <c r="BK989" t="inlineStr">
        <is>
          <t>x</t>
        </is>
      </c>
      <c r="BL989" t="inlineStr">
        <is>
          <t>x</t>
        </is>
      </c>
      <c r="BM989" t="inlineStr">
        <is>
          <t>n</t>
        </is>
      </c>
      <c r="BN989" t="n">
        <v>0</v>
      </c>
      <c r="BO989" t="inlineStr"/>
      <c r="BP989" t="inlineStr"/>
      <c r="BQ989" t="inlineStr"/>
      <c r="BR989" t="inlineStr"/>
      <c r="BS989" t="inlineStr"/>
      <c r="BT989" t="inlineStr"/>
      <c r="BU989" t="inlineStr"/>
      <c r="BV989" t="inlineStr"/>
      <c r="BW989" t="inlineStr"/>
      <c r="BX989" t="inlineStr"/>
      <c r="BY989" t="inlineStr"/>
      <c r="BZ989" t="inlineStr"/>
      <c r="CA989" t="inlineStr"/>
      <c r="CB989" t="inlineStr"/>
      <c r="CC989" t="inlineStr"/>
      <c r="CD989" t="inlineStr"/>
      <c r="CE989" t="inlineStr"/>
      <c r="CF989" t="inlineStr"/>
      <c r="CG989" t="inlineStr"/>
      <c r="CH989" t="inlineStr"/>
      <c r="CI989" t="inlineStr"/>
      <c r="CJ989" t="inlineStr"/>
      <c r="CK989" t="inlineStr"/>
      <c r="CL989" t="inlineStr"/>
      <c r="CM989" t="inlineStr"/>
      <c r="CN989" t="inlineStr"/>
      <c r="CO989" t="inlineStr"/>
      <c r="CP989" t="inlineStr"/>
      <c r="CQ989" t="inlineStr"/>
      <c r="CR989" t="inlineStr"/>
      <c r="CS989" t="inlineStr"/>
      <c r="CT989" t="inlineStr"/>
      <c r="CU989" t="inlineStr"/>
      <c r="CV989" t="inlineStr"/>
      <c r="CW989" t="inlineStr"/>
      <c r="CX989" t="inlineStr"/>
      <c r="CY989" t="inlineStr"/>
      <c r="CZ989" t="inlineStr"/>
      <c r="DA989" t="inlineStr"/>
      <c r="DB989" t="inlineStr"/>
      <c r="DC989" t="inlineStr"/>
      <c r="DD989" t="inlineStr"/>
      <c r="DE989" t="inlineStr"/>
      <c r="DF989" t="inlineStr"/>
      <c r="DG989" t="inlineStr"/>
    </row>
    <row r="990">
      <c r="A990" t="inlineStr">
        <is>
          <t>III</t>
        </is>
      </c>
      <c r="B990" t="b">
        <v>1</v>
      </c>
      <c r="C990" t="inlineStr"/>
      <c r="D990" t="inlineStr"/>
      <c r="E990" t="n">
        <v>1118</v>
      </c>
      <c r="F990">
        <f>HYPERLINK("https://portal.dnb.de/opac.htm?method=simpleSearch&amp;cqlMode=true&amp;query=idn%3D998903302", "Portal")</f>
        <v/>
      </c>
      <c r="G990" t="inlineStr">
        <is>
          <t>Aal</t>
        </is>
      </c>
      <c r="H990" t="inlineStr">
        <is>
          <t>L-1536-167187783</t>
        </is>
      </c>
      <c r="I990" t="inlineStr">
        <is>
          <t>998903302</t>
        </is>
      </c>
      <c r="J990" t="inlineStr">
        <is>
          <t>III 104, 32 g</t>
        </is>
      </c>
      <c r="K990" t="inlineStr">
        <is>
          <t>III 104, 32 g</t>
        </is>
      </c>
      <c r="L990" t="inlineStr">
        <is>
          <t>III 104, 32 g</t>
        </is>
      </c>
      <c r="M990" t="inlineStr"/>
      <c r="N990" t="inlineStr">
        <is>
          <t xml:space="preserve">Zwo pre=||digt vom zorn,|| : </t>
        </is>
      </c>
      <c r="O990" t="inlineStr">
        <is>
          <t xml:space="preserve"> : </t>
        </is>
      </c>
      <c r="P990" t="inlineStr"/>
      <c r="Q990" t="inlineStr"/>
      <c r="R990" t="inlineStr"/>
      <c r="S990" t="inlineStr">
        <is>
          <t>bis 25 cm</t>
        </is>
      </c>
      <c r="T990" t="inlineStr"/>
      <c r="U990" t="inlineStr"/>
      <c r="V990" t="inlineStr"/>
      <c r="W990" t="inlineStr"/>
      <c r="X990" t="inlineStr"/>
      <c r="Y990" t="inlineStr"/>
      <c r="Z990" t="inlineStr"/>
      <c r="AA990" t="inlineStr"/>
      <c r="AB990" t="inlineStr"/>
      <c r="AC990" t="inlineStr"/>
      <c r="AD990" t="inlineStr"/>
      <c r="AE990" t="inlineStr"/>
      <c r="AF990" t="inlineStr"/>
      <c r="AG990" t="inlineStr"/>
      <c r="AH990" t="inlineStr"/>
      <c r="AI990" t="inlineStr">
        <is>
          <t>HPg</t>
        </is>
      </c>
      <c r="AJ990" t="inlineStr"/>
      <c r="AK990" t="inlineStr"/>
      <c r="AL990" t="inlineStr"/>
      <c r="AM990" t="inlineStr">
        <is>
          <t>h/E</t>
        </is>
      </c>
      <c r="AN990" t="inlineStr"/>
      <c r="AO990" t="inlineStr"/>
      <c r="AP990" t="inlineStr"/>
      <c r="AQ990" t="inlineStr"/>
      <c r="AR990" t="inlineStr"/>
      <c r="AS990" t="inlineStr">
        <is>
          <t>Pa</t>
        </is>
      </c>
      <c r="AT990" t="inlineStr"/>
      <c r="AU990" t="inlineStr"/>
      <c r="AV990" t="inlineStr"/>
      <c r="AW990" t="inlineStr"/>
      <c r="AX990" t="inlineStr"/>
      <c r="AY990" t="inlineStr"/>
      <c r="AZ990" t="inlineStr"/>
      <c r="BA990" t="inlineStr"/>
      <c r="BB990" t="inlineStr"/>
      <c r="BC990" t="inlineStr"/>
      <c r="BD990" t="inlineStr"/>
      <c r="BE990" t="inlineStr"/>
      <c r="BF990" t="inlineStr"/>
      <c r="BG990" t="n">
        <v>110</v>
      </c>
      <c r="BH990" t="inlineStr"/>
      <c r="BI990" t="inlineStr"/>
      <c r="BJ990" t="inlineStr"/>
      <c r="BK990" t="inlineStr">
        <is>
          <t>x</t>
        </is>
      </c>
      <c r="BL990" t="inlineStr">
        <is>
          <t>x</t>
        </is>
      </c>
      <c r="BM990" t="inlineStr">
        <is>
          <t>n</t>
        </is>
      </c>
      <c r="BN990" t="n">
        <v>0</v>
      </c>
      <c r="BO990" t="inlineStr"/>
      <c r="BP990" t="inlineStr"/>
      <c r="BQ990" t="inlineStr"/>
      <c r="BR990" t="inlineStr"/>
      <c r="BS990" t="inlineStr"/>
      <c r="BT990" t="inlineStr"/>
      <c r="BU990" t="inlineStr"/>
      <c r="BV990" t="inlineStr"/>
      <c r="BW990" t="inlineStr"/>
      <c r="BX990" t="inlineStr"/>
      <c r="BY990" t="inlineStr"/>
      <c r="BZ990" t="inlineStr"/>
      <c r="CA990" t="inlineStr"/>
      <c r="CB990" t="inlineStr"/>
      <c r="CC990" t="inlineStr"/>
      <c r="CD990" t="inlineStr"/>
      <c r="CE990" t="inlineStr"/>
      <c r="CF990" t="inlineStr"/>
      <c r="CG990" t="inlineStr"/>
      <c r="CH990" t="inlineStr"/>
      <c r="CI990" t="inlineStr"/>
      <c r="CJ990" t="inlineStr"/>
      <c r="CK990" t="inlineStr"/>
      <c r="CL990" t="inlineStr"/>
      <c r="CM990" t="inlineStr"/>
      <c r="CN990" t="inlineStr"/>
      <c r="CO990" t="inlineStr"/>
      <c r="CP990" t="inlineStr"/>
      <c r="CQ990" t="inlineStr"/>
      <c r="CR990" t="inlineStr"/>
      <c r="CS990" t="inlineStr"/>
      <c r="CT990" t="inlineStr"/>
      <c r="CU990" t="inlineStr"/>
      <c r="CV990" t="inlineStr"/>
      <c r="CW990" t="inlineStr"/>
      <c r="CX990" t="inlineStr"/>
      <c r="CY990" t="inlineStr"/>
      <c r="CZ990" t="inlineStr"/>
      <c r="DA990" t="inlineStr"/>
      <c r="DB990" t="inlineStr"/>
      <c r="DC990" t="inlineStr"/>
      <c r="DD990" t="inlineStr"/>
      <c r="DE990" t="inlineStr"/>
      <c r="DF990" t="inlineStr"/>
      <c r="DG990" t="inlineStr"/>
    </row>
    <row r="991">
      <c r="A991" t="inlineStr">
        <is>
          <t>III</t>
        </is>
      </c>
      <c r="B991" t="b">
        <v>1</v>
      </c>
      <c r="C991" t="inlineStr"/>
      <c r="D991" t="inlineStr"/>
      <c r="E991" t="n">
        <v>1119</v>
      </c>
      <c r="F991">
        <f>HYPERLINK("https://portal.dnb.de/opac.htm?method=simpleSearch&amp;cqlMode=true&amp;query=idn%3D994848145", "Portal")</f>
        <v/>
      </c>
      <c r="G991" t="inlineStr">
        <is>
          <t>Aal</t>
        </is>
      </c>
      <c r="H991" t="inlineStr">
        <is>
          <t>L-1536-158186060</t>
        </is>
      </c>
      <c r="I991" t="inlineStr">
        <is>
          <t>994848145</t>
        </is>
      </c>
      <c r="J991" t="inlineStr">
        <is>
          <t>III 104, 32 h</t>
        </is>
      </c>
      <c r="K991" t="inlineStr">
        <is>
          <t>III 104, 32 h</t>
        </is>
      </c>
      <c r="L991" t="inlineStr">
        <is>
          <t>III 104, 32 h</t>
        </is>
      </c>
      <c r="M991" t="inlineStr"/>
      <c r="N991" t="inlineStr">
        <is>
          <t>Warhafftige historie,|| wie das Euangelium zu Münster angefangen, vnd dar||nach durch die Widderteuf||fer verstöret, widder|| aufgehört hat||: Darzu d</t>
        </is>
      </c>
      <c r="O991" t="inlineStr">
        <is>
          <t xml:space="preserve"> : </t>
        </is>
      </c>
      <c r="P991" t="inlineStr"/>
      <c r="Q991" t="inlineStr"/>
      <c r="R991" t="inlineStr"/>
      <c r="S991" t="inlineStr">
        <is>
          <t>bis 25 cm</t>
        </is>
      </c>
      <c r="T991" t="inlineStr"/>
      <c r="U991" t="inlineStr"/>
      <c r="V991" t="inlineStr"/>
      <c r="W991" t="inlineStr"/>
      <c r="X991" t="inlineStr"/>
      <c r="Y991" t="inlineStr"/>
      <c r="Z991" t="inlineStr"/>
      <c r="AA991" t="inlineStr"/>
      <c r="AB991" t="inlineStr"/>
      <c r="AC991" t="inlineStr"/>
      <c r="AD991" t="inlineStr"/>
      <c r="AE991" t="inlineStr"/>
      <c r="AF991" t="inlineStr"/>
      <c r="AG991" t="inlineStr"/>
      <c r="AH991" t="inlineStr"/>
      <c r="AI991" t="inlineStr">
        <is>
          <t>HPg</t>
        </is>
      </c>
      <c r="AJ991" t="inlineStr"/>
      <c r="AK991" t="inlineStr"/>
      <c r="AL991" t="inlineStr"/>
      <c r="AM991" t="inlineStr">
        <is>
          <t>h/E</t>
        </is>
      </c>
      <c r="AN991" t="inlineStr"/>
      <c r="AO991" t="inlineStr"/>
      <c r="AP991" t="inlineStr"/>
      <c r="AQ991" t="inlineStr"/>
      <c r="AR991" t="inlineStr"/>
      <c r="AS991" t="inlineStr">
        <is>
          <t>Pa</t>
        </is>
      </c>
      <c r="AT991" t="inlineStr"/>
      <c r="AU991" t="inlineStr"/>
      <c r="AV991" t="inlineStr"/>
      <c r="AW991" t="inlineStr"/>
      <c r="AX991" t="inlineStr"/>
      <c r="AY991" t="inlineStr"/>
      <c r="AZ991" t="inlineStr"/>
      <c r="BA991" t="inlineStr"/>
      <c r="BB991" t="inlineStr"/>
      <c r="BC991" t="inlineStr"/>
      <c r="BD991" t="inlineStr"/>
      <c r="BE991" t="inlineStr"/>
      <c r="BF991" t="inlineStr"/>
      <c r="BG991" t="n">
        <v>110</v>
      </c>
      <c r="BH991" t="inlineStr"/>
      <c r="BI991" t="inlineStr"/>
      <c r="BJ991" t="inlineStr"/>
      <c r="BK991" t="inlineStr">
        <is>
          <t>x</t>
        </is>
      </c>
      <c r="BL991" t="inlineStr">
        <is>
          <t>x</t>
        </is>
      </c>
      <c r="BM991" t="inlineStr">
        <is>
          <t>n</t>
        </is>
      </c>
      <c r="BN991" t="n">
        <v>0</v>
      </c>
      <c r="BO991" t="inlineStr"/>
      <c r="BP991" t="inlineStr"/>
      <c r="BQ991" t="inlineStr"/>
      <c r="BR991" t="inlineStr"/>
      <c r="BS991" t="inlineStr"/>
      <c r="BT991" t="inlineStr"/>
      <c r="BU991" t="inlineStr"/>
      <c r="BV991" t="inlineStr"/>
      <c r="BW991" t="inlineStr"/>
      <c r="BX991" t="inlineStr"/>
      <c r="BY991" t="inlineStr"/>
      <c r="BZ991" t="inlineStr"/>
      <c r="CA991" t="inlineStr"/>
      <c r="CB991" t="inlineStr"/>
      <c r="CC991" t="inlineStr"/>
      <c r="CD991" t="inlineStr"/>
      <c r="CE991" t="inlineStr"/>
      <c r="CF991" t="inlineStr"/>
      <c r="CG991" t="inlineStr"/>
      <c r="CH991" t="inlineStr"/>
      <c r="CI991" t="inlineStr"/>
      <c r="CJ991" t="inlineStr"/>
      <c r="CK991" t="inlineStr"/>
      <c r="CL991" t="inlineStr"/>
      <c r="CM991" t="inlineStr"/>
      <c r="CN991" t="inlineStr"/>
      <c r="CO991" t="inlineStr"/>
      <c r="CP991" t="inlineStr"/>
      <c r="CQ991" t="inlineStr"/>
      <c r="CR991" t="inlineStr"/>
      <c r="CS991" t="inlineStr"/>
      <c r="CT991" t="inlineStr"/>
      <c r="CU991" t="inlineStr"/>
      <c r="CV991" t="inlineStr"/>
      <c r="CW991" t="inlineStr"/>
      <c r="CX991" t="inlineStr"/>
      <c r="CY991" t="inlineStr"/>
      <c r="CZ991" t="inlineStr"/>
      <c r="DA991" t="inlineStr"/>
      <c r="DB991" t="inlineStr"/>
      <c r="DC991" t="inlineStr"/>
      <c r="DD991" t="inlineStr"/>
      <c r="DE991" t="inlineStr"/>
      <c r="DF991" t="inlineStr"/>
      <c r="DG991" t="inlineStr"/>
    </row>
    <row r="992">
      <c r="A992" t="inlineStr">
        <is>
          <t>III</t>
        </is>
      </c>
      <c r="B992" t="b">
        <v>1</v>
      </c>
      <c r="C992" t="inlineStr"/>
      <c r="D992" t="inlineStr"/>
      <c r="E992" t="n">
        <v>1120</v>
      </c>
      <c r="F992">
        <f>HYPERLINK("https://portal.dnb.de/opac.htm?method=simpleSearch&amp;cqlMode=true&amp;query=idn%3D999174746", "Portal")</f>
        <v/>
      </c>
      <c r="G992" t="inlineStr">
        <is>
          <t>Aal</t>
        </is>
      </c>
      <c r="H992" t="inlineStr">
        <is>
          <t>L-1536-167648225</t>
        </is>
      </c>
      <c r="I992" t="inlineStr">
        <is>
          <t>999174746</t>
        </is>
      </c>
      <c r="J992" t="inlineStr">
        <is>
          <t>III 104, 32 i</t>
        </is>
      </c>
      <c r="K992" t="inlineStr">
        <is>
          <t>III 104, 32 i</t>
        </is>
      </c>
      <c r="L992" t="inlineStr">
        <is>
          <t>III 104, 32 i</t>
        </is>
      </c>
      <c r="M992" t="inlineStr"/>
      <c r="N992" t="inlineStr">
        <is>
          <t>Das @welt-||liche Oberkeit|| den Widerteuffern mit|| leiblicher straffe zu|| wehren schuldig|| sey : Etlicher be-||dencken zu Witeberg</t>
        </is>
      </c>
      <c r="O992" t="inlineStr">
        <is>
          <t xml:space="preserve"> : </t>
        </is>
      </c>
      <c r="P992" t="inlineStr"/>
      <c r="Q992" t="inlineStr"/>
      <c r="R992" t="inlineStr"/>
      <c r="S992" t="inlineStr">
        <is>
          <t>bis 25 cm</t>
        </is>
      </c>
      <c r="T992" t="inlineStr"/>
      <c r="U992" t="inlineStr"/>
      <c r="V992" t="inlineStr"/>
      <c r="W992" t="inlineStr"/>
      <c r="X992" t="inlineStr"/>
      <c r="Y992" t="inlineStr"/>
      <c r="Z992" t="inlineStr"/>
      <c r="AA992" t="inlineStr"/>
      <c r="AB992" t="inlineStr"/>
      <c r="AC992" t="inlineStr"/>
      <c r="AD992" t="inlineStr"/>
      <c r="AE992" t="inlineStr"/>
      <c r="AF992" t="inlineStr"/>
      <c r="AG992" t="inlineStr"/>
      <c r="AH992" t="inlineStr"/>
      <c r="AI992" t="inlineStr">
        <is>
          <t>HPg</t>
        </is>
      </c>
      <c r="AJ992" t="inlineStr"/>
      <c r="AK992" t="inlineStr"/>
      <c r="AL992" t="inlineStr"/>
      <c r="AM992" t="inlineStr">
        <is>
          <t>h/E</t>
        </is>
      </c>
      <c r="AN992" t="inlineStr"/>
      <c r="AO992" t="inlineStr"/>
      <c r="AP992" t="inlineStr"/>
      <c r="AQ992" t="inlineStr"/>
      <c r="AR992" t="inlineStr"/>
      <c r="AS992" t="inlineStr">
        <is>
          <t>Pa</t>
        </is>
      </c>
      <c r="AT992" t="inlineStr"/>
      <c r="AU992" t="inlineStr"/>
      <c r="AV992" t="inlineStr"/>
      <c r="AW992" t="inlineStr"/>
      <c r="AX992" t="inlineStr"/>
      <c r="AY992" t="inlineStr"/>
      <c r="AZ992" t="inlineStr"/>
      <c r="BA992" t="inlineStr"/>
      <c r="BB992" t="inlineStr"/>
      <c r="BC992" t="inlineStr"/>
      <c r="BD992" t="inlineStr"/>
      <c r="BE992" t="inlineStr"/>
      <c r="BF992" t="inlineStr"/>
      <c r="BG992" t="n">
        <v>110</v>
      </c>
      <c r="BH992" t="inlineStr"/>
      <c r="BI992" t="inlineStr"/>
      <c r="BJ992" t="inlineStr"/>
      <c r="BK992" t="inlineStr">
        <is>
          <t>x</t>
        </is>
      </c>
      <c r="BL992" t="inlineStr">
        <is>
          <t>x</t>
        </is>
      </c>
      <c r="BM992" t="inlineStr">
        <is>
          <t>n</t>
        </is>
      </c>
      <c r="BN992" t="n">
        <v>0</v>
      </c>
      <c r="BO992" t="inlineStr"/>
      <c r="BP992" t="inlineStr"/>
      <c r="BQ992" t="inlineStr"/>
      <c r="BR992" t="inlineStr"/>
      <c r="BS992" t="inlineStr"/>
      <c r="BT992" t="inlineStr"/>
      <c r="BU992" t="inlineStr"/>
      <c r="BV992" t="inlineStr"/>
      <c r="BW992" t="inlineStr"/>
      <c r="BX992" t="inlineStr"/>
      <c r="BY992" t="inlineStr"/>
      <c r="BZ992" t="inlineStr"/>
      <c r="CA992" t="inlineStr"/>
      <c r="CB992" t="inlineStr"/>
      <c r="CC992" t="inlineStr"/>
      <c r="CD992" t="inlineStr"/>
      <c r="CE992" t="inlineStr"/>
      <c r="CF992" t="inlineStr"/>
      <c r="CG992" t="inlineStr"/>
      <c r="CH992" t="inlineStr"/>
      <c r="CI992" t="inlineStr"/>
      <c r="CJ992" t="inlineStr"/>
      <c r="CK992" t="inlineStr"/>
      <c r="CL992" t="inlineStr"/>
      <c r="CM992" t="inlineStr"/>
      <c r="CN992" t="inlineStr"/>
      <c r="CO992" t="inlineStr"/>
      <c r="CP992" t="inlineStr"/>
      <c r="CQ992" t="inlineStr"/>
      <c r="CR992" t="inlineStr"/>
      <c r="CS992" t="inlineStr"/>
      <c r="CT992" t="inlineStr"/>
      <c r="CU992" t="inlineStr"/>
      <c r="CV992" t="inlineStr"/>
      <c r="CW992" t="inlineStr"/>
      <c r="CX992" t="inlineStr"/>
      <c r="CY992" t="inlineStr"/>
      <c r="CZ992" t="inlineStr"/>
      <c r="DA992" t="inlineStr"/>
      <c r="DB992" t="inlineStr"/>
      <c r="DC992" t="inlineStr"/>
      <c r="DD992" t="inlineStr"/>
      <c r="DE992" t="inlineStr"/>
      <c r="DF992" t="inlineStr"/>
      <c r="DG992" t="inlineStr"/>
    </row>
    <row r="993">
      <c r="A993" t="inlineStr">
        <is>
          <t>III</t>
        </is>
      </c>
      <c r="B993" t="b">
        <v>1</v>
      </c>
      <c r="C993" t="inlineStr"/>
      <c r="D993" t="inlineStr"/>
      <c r="E993" t="n">
        <v>1121</v>
      </c>
      <c r="F993">
        <f>HYPERLINK("https://portal.dnb.de/opac.htm?method=simpleSearch&amp;cqlMode=true&amp;query=idn%3D997502614", "Portal")</f>
        <v/>
      </c>
      <c r="G993" t="inlineStr">
        <is>
          <t>Aal</t>
        </is>
      </c>
      <c r="H993" t="inlineStr">
        <is>
          <t>L-1537-164064397</t>
        </is>
      </c>
      <c r="I993" t="inlineStr">
        <is>
          <t>997502614</t>
        </is>
      </c>
      <c r="J993" t="inlineStr">
        <is>
          <t>III 104, 32 k</t>
        </is>
      </c>
      <c r="K993" t="inlineStr">
        <is>
          <t>III 104, 32 k</t>
        </is>
      </c>
      <c r="L993" t="inlineStr">
        <is>
          <t>III 104, 32 k</t>
        </is>
      </c>
      <c r="M993" t="inlineStr"/>
      <c r="N993" t="inlineStr">
        <is>
          <t xml:space="preserve">Etliche|| Brieue Johan=||nes Huss des Heiligen|| Merterers, aus dem ge=||fengnis zu Costentz,|| An die Behemen|| geschrieben|| : </t>
        </is>
      </c>
      <c r="O993" t="inlineStr">
        <is>
          <t xml:space="preserve"> : </t>
        </is>
      </c>
      <c r="P993" t="inlineStr"/>
      <c r="Q993" t="inlineStr"/>
      <c r="R993" t="inlineStr"/>
      <c r="S993" t="inlineStr">
        <is>
          <t>bis 25 cm</t>
        </is>
      </c>
      <c r="T993" t="inlineStr"/>
      <c r="U993" t="inlineStr"/>
      <c r="V993" t="inlineStr"/>
      <c r="W993" t="inlineStr"/>
      <c r="X993" t="inlineStr"/>
      <c r="Y993" t="inlineStr"/>
      <c r="Z993" t="inlineStr"/>
      <c r="AA993" t="inlineStr"/>
      <c r="AB993" t="inlineStr"/>
      <c r="AC993" t="inlineStr"/>
      <c r="AD993" t="inlineStr"/>
      <c r="AE993" t="inlineStr"/>
      <c r="AF993" t="inlineStr"/>
      <c r="AG993" t="inlineStr"/>
      <c r="AH993" t="inlineStr"/>
      <c r="AI993" t="inlineStr">
        <is>
          <t>HPg</t>
        </is>
      </c>
      <c r="AJ993" t="inlineStr"/>
      <c r="AK993" t="inlineStr"/>
      <c r="AL993" t="inlineStr"/>
      <c r="AM993" t="inlineStr">
        <is>
          <t>h/E</t>
        </is>
      </c>
      <c r="AN993" t="inlineStr"/>
      <c r="AO993" t="inlineStr"/>
      <c r="AP993" t="inlineStr"/>
      <c r="AQ993" t="inlineStr"/>
      <c r="AR993" t="inlineStr"/>
      <c r="AS993" t="inlineStr">
        <is>
          <t>Pa</t>
        </is>
      </c>
      <c r="AT993" t="inlineStr"/>
      <c r="AU993" t="inlineStr"/>
      <c r="AV993" t="inlineStr"/>
      <c r="AW993" t="inlineStr"/>
      <c r="AX993" t="inlineStr"/>
      <c r="AY993" t="inlineStr"/>
      <c r="AZ993" t="inlineStr"/>
      <c r="BA993" t="inlineStr"/>
      <c r="BB993" t="inlineStr"/>
      <c r="BC993" t="inlineStr"/>
      <c r="BD993" t="inlineStr"/>
      <c r="BE993" t="inlineStr"/>
      <c r="BF993" t="inlineStr"/>
      <c r="BG993" t="n">
        <v>110</v>
      </c>
      <c r="BH993" t="inlineStr"/>
      <c r="BI993" t="inlineStr"/>
      <c r="BJ993" t="inlineStr"/>
      <c r="BK993" t="inlineStr">
        <is>
          <t>x</t>
        </is>
      </c>
      <c r="BL993" t="inlineStr">
        <is>
          <t>x</t>
        </is>
      </c>
      <c r="BM993" t="inlineStr">
        <is>
          <t>n</t>
        </is>
      </c>
      <c r="BN993" t="n">
        <v>0</v>
      </c>
      <c r="BO993" t="inlineStr"/>
      <c r="BP993" t="inlineStr"/>
      <c r="BQ993" t="inlineStr"/>
      <c r="BR993" t="inlineStr"/>
      <c r="BS993" t="inlineStr"/>
      <c r="BT993" t="inlineStr"/>
      <c r="BU993" t="inlineStr"/>
      <c r="BV993" t="inlineStr"/>
      <c r="BW993" t="inlineStr"/>
      <c r="BX993" t="inlineStr"/>
      <c r="BY993" t="inlineStr"/>
      <c r="BZ993" t="inlineStr"/>
      <c r="CA993" t="inlineStr"/>
      <c r="CB993" t="inlineStr"/>
      <c r="CC993" t="inlineStr"/>
      <c r="CD993" t="inlineStr"/>
      <c r="CE993" t="inlineStr"/>
      <c r="CF993" t="inlineStr"/>
      <c r="CG993" t="inlineStr"/>
      <c r="CH993" t="inlineStr"/>
      <c r="CI993" t="inlineStr"/>
      <c r="CJ993" t="inlineStr"/>
      <c r="CK993" t="inlineStr"/>
      <c r="CL993" t="inlineStr"/>
      <c r="CM993" t="inlineStr"/>
      <c r="CN993" t="inlineStr"/>
      <c r="CO993" t="inlineStr"/>
      <c r="CP993" t="inlineStr"/>
      <c r="CQ993" t="inlineStr"/>
      <c r="CR993" t="inlineStr"/>
      <c r="CS993" t="inlineStr"/>
      <c r="CT993" t="inlineStr"/>
      <c r="CU993" t="inlineStr"/>
      <c r="CV993" t="inlineStr"/>
      <c r="CW993" t="inlineStr"/>
      <c r="CX993" t="inlineStr"/>
      <c r="CY993" t="inlineStr"/>
      <c r="CZ993" t="inlineStr"/>
      <c r="DA993" t="inlineStr"/>
      <c r="DB993" t="inlineStr"/>
      <c r="DC993" t="inlineStr"/>
      <c r="DD993" t="inlineStr"/>
      <c r="DE993" t="inlineStr"/>
      <c r="DF993" t="inlineStr"/>
      <c r="DG993" t="inlineStr"/>
    </row>
    <row r="994">
      <c r="A994" t="inlineStr">
        <is>
          <t>III</t>
        </is>
      </c>
      <c r="B994" t="b">
        <v>1</v>
      </c>
      <c r="C994" t="inlineStr"/>
      <c r="D994" t="inlineStr"/>
      <c r="E994" t="n">
        <v>1122</v>
      </c>
      <c r="F994">
        <f>HYPERLINK("https://portal.dnb.de/opac.htm?method=simpleSearch&amp;cqlMode=true&amp;query=idn%3D998886769", "Portal")</f>
        <v/>
      </c>
      <c r="G994" t="inlineStr">
        <is>
          <t>Aal</t>
        </is>
      </c>
      <c r="H994" t="inlineStr">
        <is>
          <t>L-1530-167110020</t>
        </is>
      </c>
      <c r="I994" t="inlineStr">
        <is>
          <t>998886769</t>
        </is>
      </c>
      <c r="J994" t="inlineStr">
        <is>
          <t>III 104, 32 m</t>
        </is>
      </c>
      <c r="K994" t="inlineStr">
        <is>
          <t>III 104, 32 m</t>
        </is>
      </c>
      <c r="L994" t="inlineStr">
        <is>
          <t>III 104, 32 m</t>
        </is>
      </c>
      <c r="M994" t="inlineStr"/>
      <c r="N994" t="inlineStr">
        <is>
          <t xml:space="preserve">Eine @bekend||nis Christlicher le||re vnd glaubens|| : </t>
        </is>
      </c>
      <c r="O994" t="inlineStr">
        <is>
          <t xml:space="preserve"> : </t>
        </is>
      </c>
      <c r="P994" t="inlineStr"/>
      <c r="Q994" t="inlineStr"/>
      <c r="R994" t="inlineStr"/>
      <c r="S994" t="inlineStr">
        <is>
          <t>bis 25 cm</t>
        </is>
      </c>
      <c r="T994" t="inlineStr"/>
      <c r="U994" t="inlineStr"/>
      <c r="V994" t="inlineStr"/>
      <c r="W994" t="inlineStr"/>
      <c r="X994" t="inlineStr"/>
      <c r="Y994" t="inlineStr"/>
      <c r="Z994" t="inlineStr"/>
      <c r="AA994" t="inlineStr"/>
      <c r="AB994" t="inlineStr"/>
      <c r="AC994" t="inlineStr"/>
      <c r="AD994" t="inlineStr"/>
      <c r="AE994" t="inlineStr"/>
      <c r="AF994" t="inlineStr"/>
      <c r="AG994" t="inlineStr"/>
      <c r="AH994" t="inlineStr"/>
      <c r="AI994" t="inlineStr">
        <is>
          <t>HPg</t>
        </is>
      </c>
      <c r="AJ994" t="inlineStr"/>
      <c r="AK994" t="inlineStr"/>
      <c r="AL994" t="inlineStr">
        <is>
          <t>x</t>
        </is>
      </c>
      <c r="AM994" t="inlineStr">
        <is>
          <t>h/E</t>
        </is>
      </c>
      <c r="AN994" t="inlineStr"/>
      <c r="AO994" t="inlineStr"/>
      <c r="AP994" t="inlineStr"/>
      <c r="AQ994" t="inlineStr"/>
      <c r="AR994" t="inlineStr"/>
      <c r="AS994" t="inlineStr">
        <is>
          <t>Pa</t>
        </is>
      </c>
      <c r="AT994" t="inlineStr"/>
      <c r="AU994" t="inlineStr"/>
      <c r="AV994" t="inlineStr"/>
      <c r="AW994" t="inlineStr"/>
      <c r="AX994" t="inlineStr"/>
      <c r="AY994" t="inlineStr"/>
      <c r="AZ994" t="inlineStr"/>
      <c r="BA994" t="inlineStr"/>
      <c r="BB994" t="inlineStr"/>
      <c r="BC994" t="inlineStr"/>
      <c r="BD994" t="inlineStr"/>
      <c r="BE994" t="inlineStr"/>
      <c r="BF994" t="inlineStr"/>
      <c r="BG994" t="n">
        <v>110</v>
      </c>
      <c r="BH994" t="inlineStr"/>
      <c r="BI994" t="inlineStr"/>
      <c r="BJ994" t="inlineStr"/>
      <c r="BK994" t="inlineStr"/>
      <c r="BL994" t="inlineStr"/>
      <c r="BM994" t="inlineStr">
        <is>
          <t>n</t>
        </is>
      </c>
      <c r="BN994" t="n">
        <v>0</v>
      </c>
      <c r="BO994" t="inlineStr"/>
      <c r="BP994" t="inlineStr"/>
      <c r="BQ994" t="inlineStr"/>
      <c r="BR994" t="inlineStr"/>
      <c r="BS994" t="inlineStr"/>
      <c r="BT994" t="inlineStr"/>
      <c r="BU994" t="inlineStr"/>
      <c r="BV994" t="inlineStr">
        <is>
          <t>mit 6 weiteren HPg in einer Kassette, Makulatur der Deckel des Originaleinbandes beiliegend</t>
        </is>
      </c>
      <c r="BW994" t="inlineStr"/>
      <c r="BX994" t="inlineStr"/>
      <c r="BY994" t="inlineStr"/>
      <c r="BZ994" t="inlineStr"/>
      <c r="CA994" t="inlineStr"/>
      <c r="CB994" t="inlineStr"/>
      <c r="CC994" t="inlineStr"/>
      <c r="CD994" t="inlineStr"/>
      <c r="CE994" t="inlineStr"/>
      <c r="CF994" t="inlineStr"/>
      <c r="CG994" t="inlineStr"/>
      <c r="CH994" t="inlineStr"/>
      <c r="CI994" t="inlineStr"/>
      <c r="CJ994" t="inlineStr"/>
      <c r="CK994" t="inlineStr"/>
      <c r="CL994" t="inlineStr"/>
      <c r="CM994" t="inlineStr"/>
      <c r="CN994" t="inlineStr"/>
      <c r="CO994" t="inlineStr"/>
      <c r="CP994" t="inlineStr"/>
      <c r="CQ994" t="inlineStr"/>
      <c r="CR994" t="inlineStr"/>
      <c r="CS994" t="inlineStr"/>
      <c r="CT994" t="inlineStr"/>
      <c r="CU994" t="inlineStr"/>
      <c r="CV994" t="inlineStr"/>
      <c r="CW994" t="inlineStr"/>
      <c r="CX994" t="inlineStr"/>
      <c r="CY994" t="inlineStr"/>
      <c r="CZ994" t="inlineStr"/>
      <c r="DA994" t="inlineStr"/>
      <c r="DB994" t="inlineStr"/>
      <c r="DC994" t="inlineStr"/>
      <c r="DD994" t="inlineStr"/>
      <c r="DE994" t="inlineStr"/>
      <c r="DF994" t="inlineStr"/>
      <c r="DG994" t="inlineStr"/>
    </row>
    <row r="995">
      <c r="A995" t="inlineStr">
        <is>
          <t>III</t>
        </is>
      </c>
      <c r="B995" t="b">
        <v>0</v>
      </c>
      <c r="C995" t="inlineStr"/>
      <c r="D995" t="inlineStr"/>
      <c r="E995" t="n">
        <v>1123</v>
      </c>
      <c r="F995">
        <f>HYPERLINK("https://portal.dnb.de/opac.htm?method=simpleSearch&amp;cqlMode=true&amp;query=idn%3D994516029", "Portal")</f>
        <v/>
      </c>
      <c r="G995" t="inlineStr"/>
      <c r="H995" t="inlineStr">
        <is>
          <t>L-1532-156356422</t>
        </is>
      </c>
      <c r="I995" t="inlineStr">
        <is>
          <t>994516029</t>
        </is>
      </c>
      <c r="J995" t="inlineStr"/>
      <c r="K995" t="inlineStr"/>
      <c r="L995" t="inlineStr">
        <is>
          <t>III 104, 32/a</t>
        </is>
      </c>
      <c r="M995" t="inlineStr">
        <is>
          <t>ws. GF, steht nicht bei NF</t>
        </is>
      </c>
      <c r="N995" t="inlineStr"/>
      <c r="O995" t="inlineStr"/>
      <c r="P995" t="inlineStr"/>
      <c r="Q995" t="inlineStr"/>
      <c r="R995" t="inlineStr"/>
      <c r="S995" t="inlineStr"/>
      <c r="T995" t="inlineStr"/>
      <c r="U995" t="inlineStr"/>
      <c r="V995" t="inlineStr"/>
      <c r="W995" t="inlineStr"/>
      <c r="X995" t="inlineStr"/>
      <c r="Y995" t="inlineStr"/>
      <c r="Z995" t="inlineStr"/>
      <c r="AA995" t="inlineStr"/>
      <c r="AB995" t="inlineStr"/>
      <c r="AC995" t="inlineStr"/>
      <c r="AD995" t="inlineStr"/>
      <c r="AE995" t="inlineStr"/>
      <c r="AF995" t="inlineStr"/>
      <c r="AG995" t="inlineStr"/>
      <c r="AH995" t="inlineStr"/>
      <c r="AI995" t="inlineStr"/>
      <c r="AJ995" t="inlineStr"/>
      <c r="AK995" t="inlineStr"/>
      <c r="AL995" t="inlineStr"/>
      <c r="AM995" t="inlineStr"/>
      <c r="AN995" t="inlineStr"/>
      <c r="AO995" t="inlineStr"/>
      <c r="AP995" t="inlineStr"/>
      <c r="AQ995" t="inlineStr"/>
      <c r="AR995" t="inlineStr"/>
      <c r="AS995" t="inlineStr"/>
      <c r="AT995" t="inlineStr"/>
      <c r="AU995" t="inlineStr"/>
      <c r="AV995" t="inlineStr"/>
      <c r="AW995" t="inlineStr"/>
      <c r="AX995" t="inlineStr"/>
      <c r="AY995" t="inlineStr"/>
      <c r="AZ995" t="inlineStr"/>
      <c r="BA995" t="inlineStr"/>
      <c r="BB995" t="inlineStr"/>
      <c r="BC995" t="inlineStr"/>
      <c r="BD995" t="inlineStr"/>
      <c r="BE995" t="inlineStr"/>
      <c r="BF995" t="inlineStr"/>
      <c r="BG995" t="inlineStr"/>
      <c r="BH995" t="inlineStr"/>
      <c r="BI995" t="inlineStr"/>
      <c r="BJ995" t="inlineStr"/>
      <c r="BK995" t="inlineStr"/>
      <c r="BL995" t="inlineStr"/>
      <c r="BM995" t="inlineStr"/>
      <c r="BN995" t="n">
        <v>0</v>
      </c>
      <c r="BO995" t="inlineStr"/>
      <c r="BP995" t="inlineStr"/>
      <c r="BQ995" t="inlineStr"/>
      <c r="BR995" t="inlineStr"/>
      <c r="BS995" t="inlineStr"/>
      <c r="BT995" t="inlineStr"/>
      <c r="BU995" t="inlineStr"/>
      <c r="BV995" t="inlineStr"/>
      <c r="BW995" t="inlineStr"/>
      <c r="BX995" t="inlineStr"/>
      <c r="BY995" t="inlineStr"/>
      <c r="BZ995" t="inlineStr"/>
      <c r="CA995" t="inlineStr"/>
      <c r="CB995" t="inlineStr"/>
      <c r="CC995" t="inlineStr"/>
      <c r="CD995" t="inlineStr"/>
      <c r="CE995" t="inlineStr"/>
      <c r="CF995" t="inlineStr"/>
      <c r="CG995" t="inlineStr"/>
      <c r="CH995" t="inlineStr"/>
      <c r="CI995" t="inlineStr"/>
      <c r="CJ995" t="inlineStr"/>
      <c r="CK995" t="inlineStr"/>
      <c r="CL995" t="inlineStr"/>
      <c r="CM995" t="inlineStr"/>
      <c r="CN995" t="inlineStr"/>
      <c r="CO995" t="inlineStr"/>
      <c r="CP995" t="inlineStr"/>
      <c r="CQ995" t="inlineStr"/>
      <c r="CR995" t="inlineStr"/>
      <c r="CS995" t="inlineStr"/>
      <c r="CT995" t="inlineStr"/>
      <c r="CU995" t="inlineStr"/>
      <c r="CV995" t="inlineStr"/>
      <c r="CW995" t="inlineStr"/>
      <c r="CX995" t="inlineStr"/>
      <c r="CY995" t="inlineStr"/>
      <c r="CZ995" t="inlineStr"/>
      <c r="DA995" t="inlineStr"/>
      <c r="DB995" t="inlineStr"/>
      <c r="DC995" t="inlineStr"/>
      <c r="DD995" t="inlineStr"/>
      <c r="DE995" t="inlineStr"/>
      <c r="DF995" t="inlineStr"/>
      <c r="DG995" t="inlineStr"/>
    </row>
    <row r="996">
      <c r="A996" t="inlineStr">
        <is>
          <t>III</t>
        </is>
      </c>
      <c r="B996" t="b">
        <v>1</v>
      </c>
      <c r="C996" t="inlineStr"/>
      <c r="D996" t="inlineStr"/>
      <c r="E996" t="n">
        <v>1058</v>
      </c>
      <c r="F996">
        <f>HYPERLINK("https://portal.dnb.de/opac.htm?method=simpleSearch&amp;cqlMode=true&amp;query=idn%3D1066957576", "Portal")</f>
        <v/>
      </c>
      <c r="G996" t="inlineStr">
        <is>
          <t>Aaf</t>
        </is>
      </c>
      <c r="H996" t="inlineStr">
        <is>
          <t>L-1543-315488204</t>
        </is>
      </c>
      <c r="I996" t="inlineStr">
        <is>
          <t>1066957576</t>
        </is>
      </c>
      <c r="J996" t="inlineStr">
        <is>
          <t>III 104, 33</t>
        </is>
      </c>
      <c r="K996" t="inlineStr">
        <is>
          <t>III 104, 33</t>
        </is>
      </c>
      <c r="L996" t="inlineStr">
        <is>
          <t>III 104, 33</t>
        </is>
      </c>
      <c r="M996" t="inlineStr"/>
      <c r="N996" t="inlineStr">
        <is>
          <t xml:space="preserve">Christliche|| Geseng Lateinisch vnd|| Deudsch, zum Begrebnis.|| D. Martinus|| Luther.|| : </t>
        </is>
      </c>
      <c r="O996" t="inlineStr">
        <is>
          <t xml:space="preserve"> : </t>
        </is>
      </c>
      <c r="P996" t="inlineStr"/>
      <c r="Q996" t="inlineStr"/>
      <c r="R996" t="inlineStr"/>
      <c r="S996" t="inlineStr">
        <is>
          <t>bis 25 cm</t>
        </is>
      </c>
      <c r="T996" t="inlineStr"/>
      <c r="U996" t="inlineStr"/>
      <c r="V996" t="inlineStr"/>
      <c r="W996" t="inlineStr"/>
      <c r="X996" t="inlineStr"/>
      <c r="Y996" t="inlineStr"/>
      <c r="Z996" t="inlineStr"/>
      <c r="AA996" t="inlineStr"/>
      <c r="AB996" t="inlineStr"/>
      <c r="AC996" t="inlineStr"/>
      <c r="AD996" t="inlineStr"/>
      <c r="AE996" t="inlineStr"/>
      <c r="AF996" t="inlineStr"/>
      <c r="AG996" t="inlineStr"/>
      <c r="AH996" t="inlineStr">
        <is>
          <t>x</t>
        </is>
      </c>
      <c r="AI996" t="inlineStr">
        <is>
          <t>L</t>
        </is>
      </c>
      <c r="AJ996" t="inlineStr"/>
      <c r="AK996" t="inlineStr">
        <is>
          <t>x</t>
        </is>
      </c>
      <c r="AL996" t="inlineStr"/>
      <c r="AM996" t="inlineStr">
        <is>
          <t>h/E</t>
        </is>
      </c>
      <c r="AN996" t="inlineStr"/>
      <c r="AO996" t="inlineStr"/>
      <c r="AP996" t="inlineStr"/>
      <c r="AQ996" t="inlineStr"/>
      <c r="AR996" t="inlineStr"/>
      <c r="AS996" t="inlineStr">
        <is>
          <t>Pa</t>
        </is>
      </c>
      <c r="AT996" t="inlineStr">
        <is>
          <t>x</t>
        </is>
      </c>
      <c r="AU996" t="inlineStr"/>
      <c r="AV996" t="inlineStr"/>
      <c r="AW996" t="inlineStr"/>
      <c r="AX996" t="inlineStr"/>
      <c r="AY996" t="inlineStr"/>
      <c r="AZ996" t="inlineStr"/>
      <c r="BA996" t="inlineStr"/>
      <c r="BB996" t="inlineStr"/>
      <c r="BC996" t="inlineStr"/>
      <c r="BD996" t="inlineStr"/>
      <c r="BE996" t="inlineStr"/>
      <c r="BF996" t="inlineStr"/>
      <c r="BG996" t="n">
        <v>80</v>
      </c>
      <c r="BH996" t="inlineStr"/>
      <c r="BI996" t="inlineStr"/>
      <c r="BJ996" t="inlineStr"/>
      <c r="BK996" t="inlineStr"/>
      <c r="BL996" t="inlineStr"/>
      <c r="BM996" t="inlineStr">
        <is>
          <t>n</t>
        </is>
      </c>
      <c r="BN996" t="n">
        <v>0</v>
      </c>
      <c r="BO996" t="inlineStr"/>
      <c r="BP996" t="inlineStr"/>
      <c r="BQ996" t="inlineStr"/>
      <c r="BR996" t="inlineStr"/>
      <c r="BS996" t="inlineStr"/>
      <c r="BT996" t="inlineStr"/>
      <c r="BU996" t="inlineStr"/>
      <c r="BV996" t="inlineStr"/>
      <c r="BW996" t="inlineStr"/>
      <c r="BX996" t="inlineStr"/>
      <c r="BY996" t="inlineStr">
        <is>
          <t>Buchschuh (hat Schließen)</t>
        </is>
      </c>
      <c r="BZ996" t="inlineStr"/>
      <c r="CA996" t="inlineStr"/>
      <c r="CB996" t="inlineStr"/>
      <c r="CC996" t="inlineStr"/>
      <c r="CD996" t="inlineStr"/>
      <c r="CE996" t="inlineStr"/>
      <c r="CF996" t="inlineStr"/>
      <c r="CG996" t="inlineStr"/>
      <c r="CH996" t="inlineStr"/>
      <c r="CI996" t="inlineStr"/>
      <c r="CJ996" t="inlineStr"/>
      <c r="CK996" t="inlineStr"/>
      <c r="CL996" t="inlineStr"/>
      <c r="CM996" t="inlineStr"/>
      <c r="CN996" t="inlineStr"/>
      <c r="CO996" t="inlineStr"/>
      <c r="CP996" t="inlineStr"/>
      <c r="CQ996" t="inlineStr"/>
      <c r="CR996" t="inlineStr"/>
      <c r="CS996" t="inlineStr"/>
      <c r="CT996" t="inlineStr"/>
      <c r="CU996" t="inlineStr"/>
      <c r="CV996" t="inlineStr"/>
      <c r="CW996" t="inlineStr"/>
      <c r="CX996" t="inlineStr"/>
      <c r="CY996" t="inlineStr"/>
      <c r="CZ996" t="inlineStr"/>
      <c r="DA996" t="inlineStr"/>
      <c r="DB996" t="inlineStr"/>
      <c r="DC996" t="inlineStr"/>
      <c r="DD996" t="inlineStr"/>
      <c r="DE996" t="inlineStr"/>
      <c r="DF996" t="inlineStr"/>
      <c r="DG996" t="inlineStr"/>
    </row>
    <row r="997">
      <c r="A997" t="inlineStr">
        <is>
          <t>III</t>
        </is>
      </c>
      <c r="B997" t="b">
        <v>1</v>
      </c>
      <c r="C997" t="inlineStr"/>
      <c r="D997" t="inlineStr"/>
      <c r="E997" t="n">
        <v>1059</v>
      </c>
      <c r="F997">
        <f>HYPERLINK("https://portal.dnb.de/opac.htm?method=simpleSearch&amp;cqlMode=true&amp;query=idn%3D1066874271", "Portal")</f>
        <v/>
      </c>
      <c r="G997" t="inlineStr">
        <is>
          <t>Aaf</t>
        </is>
      </c>
      <c r="H997" t="inlineStr">
        <is>
          <t>L-1545-315332085</t>
        </is>
      </c>
      <c r="I997" t="inlineStr">
        <is>
          <t>1066874271</t>
        </is>
      </c>
      <c r="J997" t="inlineStr">
        <is>
          <t>III 104, 34</t>
        </is>
      </c>
      <c r="K997" t="inlineStr">
        <is>
          <t>III 104, 34</t>
        </is>
      </c>
      <c r="L997" t="inlineStr">
        <is>
          <t>III 104, 34</t>
        </is>
      </c>
      <c r="M997" t="inlineStr"/>
      <c r="N997" t="inlineStr">
        <is>
          <t xml:space="preserve">Bapst trew Hadriani iiij.// vnd Alexanders III. gegen Keyser : </t>
        </is>
      </c>
      <c r="O997" t="inlineStr">
        <is>
          <t xml:space="preserve"> : </t>
        </is>
      </c>
      <c r="P997" t="inlineStr"/>
      <c r="Q997" t="inlineStr"/>
      <c r="R997" t="inlineStr"/>
      <c r="S997" t="inlineStr">
        <is>
          <t>bis 25 cm</t>
        </is>
      </c>
      <c r="T997" t="inlineStr"/>
      <c r="U997" t="inlineStr"/>
      <c r="V997" t="inlineStr"/>
      <c r="W997" t="inlineStr"/>
      <c r="X997" t="inlineStr"/>
      <c r="Y997" t="inlineStr"/>
      <c r="Z997" t="inlineStr"/>
      <c r="AA997" t="inlineStr"/>
      <c r="AB997" t="inlineStr"/>
      <c r="AC997" t="inlineStr"/>
      <c r="AD997" t="inlineStr"/>
      <c r="AE997" t="inlineStr"/>
      <c r="AF997" t="inlineStr"/>
      <c r="AG997" t="inlineStr"/>
      <c r="AH997" t="inlineStr"/>
      <c r="AI997" t="inlineStr">
        <is>
          <t>Pg</t>
        </is>
      </c>
      <c r="AJ997" t="inlineStr"/>
      <c r="AK997" t="inlineStr"/>
      <c r="AL997" t="inlineStr"/>
      <c r="AM997" t="inlineStr">
        <is>
          <t>h</t>
        </is>
      </c>
      <c r="AN997" t="inlineStr"/>
      <c r="AO997" t="inlineStr"/>
      <c r="AP997" t="inlineStr"/>
      <c r="AQ997" t="inlineStr"/>
      <c r="AR997" t="inlineStr"/>
      <c r="AS997" t="inlineStr">
        <is>
          <t>Pa</t>
        </is>
      </c>
      <c r="AT997" t="inlineStr"/>
      <c r="AU997" t="inlineStr"/>
      <c r="AV997" t="inlineStr"/>
      <c r="AW997" t="inlineStr"/>
      <c r="AX997" t="inlineStr"/>
      <c r="AY997" t="inlineStr"/>
      <c r="AZ997" t="inlineStr"/>
      <c r="BA997" t="inlineStr"/>
      <c r="BB997" t="inlineStr"/>
      <c r="BC997" t="inlineStr"/>
      <c r="BD997" t="inlineStr"/>
      <c r="BE997" t="inlineStr"/>
      <c r="BF997" t="inlineStr"/>
      <c r="BG997" t="n">
        <v>110</v>
      </c>
      <c r="BH997" t="inlineStr"/>
      <c r="BI997" t="inlineStr"/>
      <c r="BJ997" t="inlineStr"/>
      <c r="BK997" t="inlineStr"/>
      <c r="BL997" t="inlineStr"/>
      <c r="BM997" t="inlineStr">
        <is>
          <t>n</t>
        </is>
      </c>
      <c r="BN997" t="n">
        <v>0</v>
      </c>
      <c r="BO997" t="inlineStr"/>
      <c r="BP997" t="inlineStr"/>
      <c r="BQ997" t="inlineStr"/>
      <c r="BR997" t="inlineStr"/>
      <c r="BS997" t="inlineStr"/>
      <c r="BT997" t="inlineStr"/>
      <c r="BU997" t="inlineStr"/>
      <c r="BV997" t="inlineStr"/>
      <c r="BW997" t="inlineStr"/>
      <c r="BX997" t="inlineStr"/>
      <c r="BY997" t="inlineStr">
        <is>
          <t>Box (sperrt)</t>
        </is>
      </c>
      <c r="BZ997" t="inlineStr"/>
      <c r="CA997" t="inlineStr"/>
      <c r="CB997" t="inlineStr"/>
      <c r="CC997" t="inlineStr"/>
      <c r="CD997" t="inlineStr"/>
      <c r="CE997" t="inlineStr"/>
      <c r="CF997" t="inlineStr"/>
      <c r="CG997" t="inlineStr"/>
      <c r="CH997" t="inlineStr"/>
      <c r="CI997" t="inlineStr"/>
      <c r="CJ997" t="inlineStr"/>
      <c r="CK997" t="inlineStr"/>
      <c r="CL997" t="inlineStr"/>
      <c r="CM997" t="inlineStr"/>
      <c r="CN997" t="inlineStr"/>
      <c r="CO997" t="inlineStr"/>
      <c r="CP997" t="inlineStr"/>
      <c r="CQ997" t="inlineStr"/>
      <c r="CR997" t="inlineStr"/>
      <c r="CS997" t="inlineStr"/>
      <c r="CT997" t="inlineStr"/>
      <c r="CU997" t="inlineStr"/>
      <c r="CV997" t="inlineStr"/>
      <c r="CW997" t="inlineStr"/>
      <c r="CX997" t="inlineStr"/>
      <c r="CY997" t="inlineStr"/>
      <c r="CZ997" t="inlineStr"/>
      <c r="DA997" t="inlineStr"/>
      <c r="DB997" t="inlineStr"/>
      <c r="DC997" t="inlineStr"/>
      <c r="DD997" t="inlineStr"/>
      <c r="DE997" t="inlineStr"/>
      <c r="DF997" t="inlineStr"/>
      <c r="DG997" t="inlineStr"/>
    </row>
    <row r="998">
      <c r="A998" t="inlineStr">
        <is>
          <t>III</t>
        </is>
      </c>
      <c r="B998" t="b">
        <v>1</v>
      </c>
      <c r="C998" t="inlineStr"/>
      <c r="D998" t="inlineStr"/>
      <c r="E998" t="n">
        <v>1124</v>
      </c>
      <c r="F998">
        <f>HYPERLINK("https://portal.dnb.de/opac.htm?method=simpleSearch&amp;cqlMode=true&amp;query=idn%3D999165380", "Portal")</f>
        <v/>
      </c>
      <c r="G998" t="inlineStr">
        <is>
          <t>Aal</t>
        </is>
      </c>
      <c r="H998" t="inlineStr">
        <is>
          <t>L-1546-167638696</t>
        </is>
      </c>
      <c r="I998" t="inlineStr">
        <is>
          <t>999165380</t>
        </is>
      </c>
      <c r="J998" t="inlineStr">
        <is>
          <t>III 104, 34a</t>
        </is>
      </c>
      <c r="K998" t="inlineStr">
        <is>
          <t>III 104, 34a</t>
        </is>
      </c>
      <c r="L998" t="inlineStr">
        <is>
          <t>III 104, 34 a</t>
        </is>
      </c>
      <c r="M998" t="inlineStr"/>
      <c r="N998" t="inlineStr">
        <is>
          <t>Vrsachen, wa=||rumb die Kirchen,|| welche reine, Christliche|| lehr bekennen, die selbige|| lehr angenomen, vnd dabey ewiglich|| zu bleiben sich schul</t>
        </is>
      </c>
      <c r="O998" t="inlineStr">
        <is>
          <t xml:space="preserve"> : </t>
        </is>
      </c>
      <c r="P998" t="inlineStr"/>
      <c r="Q998" t="inlineStr"/>
      <c r="R998" t="inlineStr"/>
      <c r="S998" t="inlineStr">
        <is>
          <t>bis 25 cm</t>
        </is>
      </c>
      <c r="T998" t="inlineStr"/>
      <c r="U998" t="inlineStr"/>
      <c r="V998" t="inlineStr"/>
      <c r="W998" t="inlineStr"/>
      <c r="X998" t="inlineStr"/>
      <c r="Y998" t="inlineStr"/>
      <c r="Z998" t="inlineStr"/>
      <c r="AA998" t="inlineStr"/>
      <c r="AB998" t="inlineStr"/>
      <c r="AC998" t="inlineStr"/>
      <c r="AD998" t="inlineStr"/>
      <c r="AE998" t="inlineStr"/>
      <c r="AF998" t="inlineStr"/>
      <c r="AG998" t="inlineStr"/>
      <c r="AH998" t="inlineStr"/>
      <c r="AI998" t="inlineStr">
        <is>
          <t>HPg</t>
        </is>
      </c>
      <c r="AJ998" t="inlineStr"/>
      <c r="AK998" t="inlineStr"/>
      <c r="AL998" t="inlineStr"/>
      <c r="AM998" t="inlineStr">
        <is>
          <t>h/E</t>
        </is>
      </c>
      <c r="AN998" t="inlineStr"/>
      <c r="AO998" t="inlineStr"/>
      <c r="AP998" t="inlineStr"/>
      <c r="AQ998" t="inlineStr"/>
      <c r="AR998" t="inlineStr"/>
      <c r="AS998" t="inlineStr">
        <is>
          <t>Pa</t>
        </is>
      </c>
      <c r="AT998" t="inlineStr"/>
      <c r="AU998" t="inlineStr"/>
      <c r="AV998" t="inlineStr"/>
      <c r="AW998" t="inlineStr"/>
      <c r="AX998" t="inlineStr"/>
      <c r="AY998" t="inlineStr"/>
      <c r="AZ998" t="inlineStr"/>
      <c r="BA998" t="inlineStr"/>
      <c r="BB998" t="inlineStr"/>
      <c r="BC998" t="inlineStr"/>
      <c r="BD998" t="inlineStr"/>
      <c r="BE998" t="inlineStr"/>
      <c r="BF998" t="inlineStr"/>
      <c r="BG998" t="n">
        <v>110</v>
      </c>
      <c r="BH998" t="inlineStr"/>
      <c r="BI998" t="inlineStr"/>
      <c r="BJ998" t="inlineStr"/>
      <c r="BK998" t="inlineStr"/>
      <c r="BL998" t="inlineStr"/>
      <c r="BM998" t="inlineStr">
        <is>
          <t>n</t>
        </is>
      </c>
      <c r="BN998" t="n">
        <v>0</v>
      </c>
      <c r="BO998" t="inlineStr"/>
      <c r="BP998" t="inlineStr"/>
      <c r="BQ998" t="inlineStr"/>
      <c r="BR998" t="inlineStr"/>
      <c r="BS998" t="inlineStr"/>
      <c r="BT998" t="inlineStr"/>
      <c r="BU998" t="inlineStr"/>
      <c r="BV998" t="inlineStr"/>
      <c r="BW998" t="inlineStr"/>
      <c r="BX998" t="inlineStr"/>
      <c r="BY998" t="inlineStr"/>
      <c r="BZ998" t="inlineStr"/>
      <c r="CA998" t="inlineStr"/>
      <c r="CB998" t="inlineStr"/>
      <c r="CC998" t="inlineStr"/>
      <c r="CD998" t="inlineStr"/>
      <c r="CE998" t="inlineStr"/>
      <c r="CF998" t="inlineStr"/>
      <c r="CG998" t="inlineStr"/>
      <c r="CH998" t="inlineStr"/>
      <c r="CI998" t="inlineStr"/>
      <c r="CJ998" t="inlineStr"/>
      <c r="CK998" t="inlineStr"/>
      <c r="CL998" t="inlineStr"/>
      <c r="CM998" t="inlineStr"/>
      <c r="CN998" t="inlineStr"/>
      <c r="CO998" t="inlineStr"/>
      <c r="CP998" t="inlineStr"/>
      <c r="CQ998" t="inlineStr"/>
      <c r="CR998" t="inlineStr"/>
      <c r="CS998" t="inlineStr"/>
      <c r="CT998" t="inlineStr"/>
      <c r="CU998" t="inlineStr"/>
      <c r="CV998" t="inlineStr"/>
      <c r="CW998" t="inlineStr"/>
      <c r="CX998" t="inlineStr"/>
      <c r="CY998" t="inlineStr"/>
      <c r="CZ998" t="inlineStr"/>
      <c r="DA998" t="inlineStr"/>
      <c r="DB998" t="inlineStr"/>
      <c r="DC998" t="inlineStr"/>
      <c r="DD998" t="inlineStr"/>
      <c r="DE998" t="inlineStr"/>
      <c r="DF998" t="inlineStr"/>
      <c r="DG998" t="inlineStr"/>
    </row>
    <row r="999">
      <c r="A999" t="inlineStr">
        <is>
          <t>III</t>
        </is>
      </c>
      <c r="B999" t="b">
        <v>1</v>
      </c>
      <c r="C999" t="inlineStr"/>
      <c r="D999" t="inlineStr"/>
      <c r="E999" t="n">
        <v>1125</v>
      </c>
      <c r="F999">
        <f>HYPERLINK("https://portal.dnb.de/opac.htm?method=simpleSearch&amp;cqlMode=true&amp;query=idn%3D999156691", "Portal")</f>
        <v/>
      </c>
      <c r="G999" t="inlineStr">
        <is>
          <t>Aal</t>
        </is>
      </c>
      <c r="H999" t="inlineStr">
        <is>
          <t>L-1546-16763013X</t>
        </is>
      </c>
      <c r="I999" t="inlineStr">
        <is>
          <t>999156691</t>
        </is>
      </c>
      <c r="J999" t="inlineStr">
        <is>
          <t>III 104, 34b</t>
        </is>
      </c>
      <c r="K999" t="inlineStr">
        <is>
          <t>III 104, 34b</t>
        </is>
      </c>
      <c r="L999" t="inlineStr">
        <is>
          <t>III 104, 34 b</t>
        </is>
      </c>
      <c r="M999" t="inlineStr"/>
      <c r="N999" t="inlineStr">
        <is>
          <t>Cavsae Quare|| Et Amplexae Sint,|| Et Retinendam Dv||cant doctrinam, quam profitentur,|| Ecclesiae, quae confessionem Aug||gustae exhibitam Imperato||</t>
        </is>
      </c>
      <c r="O999" t="inlineStr">
        <is>
          <t xml:space="preserve"> : </t>
        </is>
      </c>
      <c r="P999" t="inlineStr"/>
      <c r="Q999" t="inlineStr"/>
      <c r="R999" t="inlineStr"/>
      <c r="S999" t="inlineStr">
        <is>
          <t>bis 25 cm</t>
        </is>
      </c>
      <c r="T999" t="inlineStr"/>
      <c r="U999" t="inlineStr"/>
      <c r="V999" t="inlineStr"/>
      <c r="W999" t="inlineStr"/>
      <c r="X999" t="inlineStr"/>
      <c r="Y999" t="inlineStr"/>
      <c r="Z999" t="inlineStr"/>
      <c r="AA999" t="inlineStr"/>
      <c r="AB999" t="inlineStr"/>
      <c r="AC999" t="inlineStr"/>
      <c r="AD999" t="inlineStr"/>
      <c r="AE999" t="inlineStr"/>
      <c r="AF999" t="inlineStr"/>
      <c r="AG999" t="inlineStr"/>
      <c r="AH999" t="inlineStr"/>
      <c r="AI999" t="inlineStr">
        <is>
          <t>HPg</t>
        </is>
      </c>
      <c r="AJ999" t="inlineStr"/>
      <c r="AK999" t="inlineStr"/>
      <c r="AL999" t="inlineStr"/>
      <c r="AM999" t="inlineStr">
        <is>
          <t>h/E</t>
        </is>
      </c>
      <c r="AN999" t="inlineStr"/>
      <c r="AO999" t="inlineStr"/>
      <c r="AP999" t="inlineStr"/>
      <c r="AQ999" t="inlineStr"/>
      <c r="AR999" t="inlineStr"/>
      <c r="AS999" t="inlineStr">
        <is>
          <t>Pa</t>
        </is>
      </c>
      <c r="AT999" t="inlineStr"/>
      <c r="AU999" t="inlineStr"/>
      <c r="AV999" t="inlineStr"/>
      <c r="AW999" t="inlineStr"/>
      <c r="AX999" t="inlineStr"/>
      <c r="AY999" t="inlineStr"/>
      <c r="AZ999" t="inlineStr"/>
      <c r="BA999" t="inlineStr"/>
      <c r="BB999" t="inlineStr"/>
      <c r="BC999" t="inlineStr"/>
      <c r="BD999" t="inlineStr"/>
      <c r="BE999" t="inlineStr"/>
      <c r="BF999" t="inlineStr"/>
      <c r="BG999" t="n">
        <v>110</v>
      </c>
      <c r="BH999" t="inlineStr"/>
      <c r="BI999" t="inlineStr"/>
      <c r="BJ999" t="inlineStr"/>
      <c r="BK999" t="inlineStr">
        <is>
          <t>x</t>
        </is>
      </c>
      <c r="BL999" t="inlineStr">
        <is>
          <t>x</t>
        </is>
      </c>
      <c r="BM999" t="inlineStr">
        <is>
          <t>n</t>
        </is>
      </c>
      <c r="BN999" t="n">
        <v>0</v>
      </c>
      <c r="BO999" t="inlineStr"/>
      <c r="BP999" t="inlineStr"/>
      <c r="BQ999" t="inlineStr"/>
      <c r="BR999" t="inlineStr"/>
      <c r="BS999" t="inlineStr"/>
      <c r="BT999" t="inlineStr"/>
      <c r="BU999" t="inlineStr"/>
      <c r="BV999" t="inlineStr"/>
      <c r="BW999" t="inlineStr"/>
      <c r="BX999" t="inlineStr"/>
      <c r="BY999" t="inlineStr"/>
      <c r="BZ999" t="inlineStr"/>
      <c r="CA999" t="inlineStr"/>
      <c r="CB999" t="inlineStr"/>
      <c r="CC999" t="inlineStr"/>
      <c r="CD999" t="inlineStr"/>
      <c r="CE999" t="inlineStr"/>
      <c r="CF999" t="inlineStr"/>
      <c r="CG999" t="inlineStr"/>
      <c r="CH999" t="inlineStr"/>
      <c r="CI999" t="inlineStr"/>
      <c r="CJ999" t="inlineStr"/>
      <c r="CK999" t="inlineStr"/>
      <c r="CL999" t="inlineStr"/>
      <c r="CM999" t="inlineStr"/>
      <c r="CN999" t="inlineStr"/>
      <c r="CO999" t="inlineStr"/>
      <c r="CP999" t="inlineStr"/>
      <c r="CQ999" t="inlineStr"/>
      <c r="CR999" t="inlineStr"/>
      <c r="CS999" t="inlineStr"/>
      <c r="CT999" t="inlineStr"/>
      <c r="CU999" t="inlineStr"/>
      <c r="CV999" t="inlineStr"/>
      <c r="CW999" t="inlineStr"/>
      <c r="CX999" t="inlineStr"/>
      <c r="CY999" t="inlineStr"/>
      <c r="CZ999" t="inlineStr"/>
      <c r="DA999" t="inlineStr"/>
      <c r="DB999" t="inlineStr"/>
      <c r="DC999" t="inlineStr"/>
      <c r="DD999" t="inlineStr"/>
      <c r="DE999" t="inlineStr"/>
      <c r="DF999" t="inlineStr"/>
      <c r="DG999" t="inlineStr"/>
    </row>
    <row r="1000">
      <c r="A1000" t="inlineStr">
        <is>
          <t>III</t>
        </is>
      </c>
      <c r="B1000" t="b">
        <v>1</v>
      </c>
      <c r="C1000" t="inlineStr"/>
      <c r="D1000" t="inlineStr"/>
      <c r="E1000" t="n">
        <v>1060</v>
      </c>
      <c r="F1000">
        <f>HYPERLINK("https://portal.dnb.de/opac.htm?method=simpleSearch&amp;cqlMode=true&amp;query=idn%3D1066961751", "Portal")</f>
        <v/>
      </c>
      <c r="G1000" t="inlineStr">
        <is>
          <t>Aaf</t>
        </is>
      </c>
      <c r="H1000" t="inlineStr">
        <is>
          <t>L-1535-315492155</t>
        </is>
      </c>
      <c r="I1000" t="inlineStr">
        <is>
          <t>1066961751</t>
        </is>
      </c>
      <c r="J1000" t="inlineStr">
        <is>
          <t>III 104, 35</t>
        </is>
      </c>
      <c r="K1000" t="inlineStr">
        <is>
          <t>III 104, 35</t>
        </is>
      </c>
      <c r="L1000" t="inlineStr">
        <is>
          <t>III 104, 35</t>
        </is>
      </c>
      <c r="M1000" t="inlineStr"/>
      <c r="N1000" t="inlineStr">
        <is>
          <t>Enchiridion|| odder handtb#[ue]chlin|| eines Christlichen F#[ue]r=||stens/ darinnen leer vnd|| trost aller Oberkeit seer|| n#[ue]tzlich/ allein aus Go</t>
        </is>
      </c>
      <c r="O1000" t="inlineStr">
        <is>
          <t xml:space="preserve"> : </t>
        </is>
      </c>
      <c r="P1000" t="inlineStr"/>
      <c r="Q1000" t="inlineStr"/>
      <c r="R1000" t="inlineStr"/>
      <c r="S1000" t="inlineStr">
        <is>
          <t>bis 25 cm</t>
        </is>
      </c>
      <c r="T1000" t="inlineStr"/>
      <c r="U1000" t="inlineStr"/>
      <c r="V1000" t="inlineStr"/>
      <c r="W1000" t="inlineStr"/>
      <c r="X1000" t="inlineStr"/>
      <c r="Y1000" t="inlineStr"/>
      <c r="Z1000" t="inlineStr"/>
      <c r="AA1000" t="inlineStr"/>
      <c r="AB1000" t="inlineStr"/>
      <c r="AC1000" t="inlineStr"/>
      <c r="AD1000" t="inlineStr"/>
      <c r="AE1000" t="inlineStr"/>
      <c r="AF1000" t="inlineStr"/>
      <c r="AG1000" t="inlineStr"/>
      <c r="AH1000" t="inlineStr">
        <is>
          <t>x</t>
        </is>
      </c>
      <c r="AI1000" t="inlineStr">
        <is>
          <t>HPg</t>
        </is>
      </c>
      <c r="AJ1000" t="inlineStr"/>
      <c r="AK1000" t="inlineStr"/>
      <c r="AL1000" t="inlineStr"/>
      <c r="AM1000" t="inlineStr">
        <is>
          <t>h/E</t>
        </is>
      </c>
      <c r="AN1000" t="inlineStr"/>
      <c r="AO1000" t="inlineStr"/>
      <c r="AP1000" t="inlineStr"/>
      <c r="AQ1000" t="inlineStr"/>
      <c r="AR1000" t="inlineStr"/>
      <c r="AS1000" t="inlineStr">
        <is>
          <t>Pa</t>
        </is>
      </c>
      <c r="AT1000" t="inlineStr"/>
      <c r="AU1000" t="inlineStr"/>
      <c r="AV1000" t="inlineStr"/>
      <c r="AW1000" t="inlineStr"/>
      <c r="AX1000" t="inlineStr"/>
      <c r="AY1000" t="inlineStr"/>
      <c r="AZ1000" t="inlineStr"/>
      <c r="BA1000" t="inlineStr"/>
      <c r="BB1000" t="inlineStr"/>
      <c r="BC1000" t="inlineStr"/>
      <c r="BD1000" t="inlineStr"/>
      <c r="BE1000" t="inlineStr"/>
      <c r="BF1000" t="inlineStr"/>
      <c r="BG1000" t="n">
        <v>110</v>
      </c>
      <c r="BH1000" t="inlineStr"/>
      <c r="BI1000" t="inlineStr"/>
      <c r="BJ1000" t="inlineStr"/>
      <c r="BK1000" t="inlineStr"/>
      <c r="BL1000" t="inlineStr"/>
      <c r="BM1000" t="inlineStr">
        <is>
          <t>n</t>
        </is>
      </c>
      <c r="BN1000" t="n">
        <v>0</v>
      </c>
      <c r="BO1000" t="inlineStr"/>
      <c r="BP1000" t="inlineStr"/>
      <c r="BQ1000" t="inlineStr"/>
      <c r="BR1000" t="inlineStr"/>
      <c r="BS1000" t="inlineStr"/>
      <c r="BT1000" t="inlineStr"/>
      <c r="BU1000" t="inlineStr"/>
      <c r="BV1000" t="inlineStr"/>
      <c r="BW1000" t="inlineStr"/>
      <c r="BX1000" t="inlineStr"/>
      <c r="BY1000" t="inlineStr"/>
      <c r="BZ1000" t="inlineStr"/>
      <c r="CA1000" t="inlineStr"/>
      <c r="CB1000" t="inlineStr"/>
      <c r="CC1000" t="inlineStr"/>
      <c r="CD1000" t="inlineStr"/>
      <c r="CE1000" t="inlineStr"/>
      <c r="CF1000" t="inlineStr"/>
      <c r="CG1000" t="inlineStr"/>
      <c r="CH1000" t="inlineStr"/>
      <c r="CI1000" t="inlineStr"/>
      <c r="CJ1000" t="inlineStr"/>
      <c r="CK1000" t="inlineStr"/>
      <c r="CL1000" t="inlineStr"/>
      <c r="CM1000" t="inlineStr"/>
      <c r="CN1000" t="inlineStr"/>
      <c r="CO1000" t="inlineStr"/>
      <c r="CP1000" t="inlineStr"/>
      <c r="CQ1000" t="inlineStr"/>
      <c r="CR1000" t="inlineStr"/>
      <c r="CS1000" t="inlineStr"/>
      <c r="CT1000" t="inlineStr"/>
      <c r="CU1000" t="inlineStr"/>
      <c r="CV1000" t="inlineStr"/>
      <c r="CW1000" t="inlineStr"/>
      <c r="CX1000" t="inlineStr"/>
      <c r="CY1000" t="inlineStr"/>
      <c r="CZ1000" t="inlineStr"/>
      <c r="DA1000" t="inlineStr"/>
      <c r="DB1000" t="inlineStr"/>
      <c r="DC1000" t="inlineStr"/>
      <c r="DD1000" t="inlineStr"/>
      <c r="DE1000" t="inlineStr"/>
      <c r="DF1000" t="inlineStr"/>
      <c r="DG1000" t="inlineStr"/>
    </row>
    <row r="1001">
      <c r="A1001" t="inlineStr">
        <is>
          <t>III</t>
        </is>
      </c>
      <c r="B1001" t="b">
        <v>1</v>
      </c>
      <c r="C1001" t="inlineStr"/>
      <c r="D1001" t="inlineStr"/>
      <c r="E1001" t="n">
        <v>1126</v>
      </c>
      <c r="F1001">
        <f>HYPERLINK("https://portal.dnb.de/opac.htm?method=simpleSearch&amp;cqlMode=true&amp;query=idn%3D998922110", "Portal")</f>
        <v/>
      </c>
      <c r="G1001" t="inlineStr">
        <is>
          <t>Aal</t>
        </is>
      </c>
      <c r="H1001" t="inlineStr">
        <is>
          <t>L-1530-167206249</t>
        </is>
      </c>
      <c r="I1001" t="inlineStr">
        <is>
          <t>998922110</t>
        </is>
      </c>
      <c r="J1001" t="inlineStr">
        <is>
          <t>III 104, 35a</t>
        </is>
      </c>
      <c r="K1001" t="inlineStr">
        <is>
          <t>III 104, 35a</t>
        </is>
      </c>
      <c r="L1001" t="inlineStr">
        <is>
          <t>III 104, 35 a</t>
        </is>
      </c>
      <c r="M1001" t="inlineStr"/>
      <c r="N1001" t="inlineStr">
        <is>
          <t xml:space="preserve">Der Hun=||dert vnd eilffte|| Psalm ausge=||legt durch : </t>
        </is>
      </c>
      <c r="O1001" t="inlineStr">
        <is>
          <t xml:space="preserve"> : </t>
        </is>
      </c>
      <c r="P1001" t="inlineStr"/>
      <c r="Q1001" t="inlineStr"/>
      <c r="R1001" t="inlineStr"/>
      <c r="S1001" t="inlineStr">
        <is>
          <t>bis 25 cm</t>
        </is>
      </c>
      <c r="T1001" t="inlineStr"/>
      <c r="U1001" t="inlineStr"/>
      <c r="V1001" t="inlineStr"/>
      <c r="W1001" t="inlineStr"/>
      <c r="X1001" t="inlineStr"/>
      <c r="Y1001" t="inlineStr"/>
      <c r="Z1001" t="inlineStr"/>
      <c r="AA1001" t="inlineStr"/>
      <c r="AB1001" t="inlineStr"/>
      <c r="AC1001" t="inlineStr"/>
      <c r="AD1001" t="inlineStr"/>
      <c r="AE1001" t="inlineStr"/>
      <c r="AF1001" t="inlineStr"/>
      <c r="AG1001" t="inlineStr"/>
      <c r="AH1001" t="inlineStr"/>
      <c r="AI1001" t="inlineStr">
        <is>
          <t>HPg</t>
        </is>
      </c>
      <c r="AJ1001" t="inlineStr"/>
      <c r="AK1001" t="inlineStr"/>
      <c r="AL1001" t="inlineStr">
        <is>
          <t>x</t>
        </is>
      </c>
      <c r="AM1001" t="inlineStr">
        <is>
          <t>h/E</t>
        </is>
      </c>
      <c r="AN1001" t="inlineStr"/>
      <c r="AO1001" t="inlineStr"/>
      <c r="AP1001" t="inlineStr"/>
      <c r="AQ1001" t="inlineStr"/>
      <c r="AR1001" t="inlineStr"/>
      <c r="AS1001" t="inlineStr">
        <is>
          <t>Pa</t>
        </is>
      </c>
      <c r="AT1001" t="inlineStr"/>
      <c r="AU1001" t="inlineStr"/>
      <c r="AV1001" t="inlineStr"/>
      <c r="AW1001" t="inlineStr"/>
      <c r="AX1001" t="inlineStr"/>
      <c r="AY1001" t="inlineStr"/>
      <c r="AZ1001" t="inlineStr"/>
      <c r="BA1001" t="inlineStr"/>
      <c r="BB1001" t="inlineStr"/>
      <c r="BC1001" t="inlineStr"/>
      <c r="BD1001" t="inlineStr"/>
      <c r="BE1001" t="inlineStr"/>
      <c r="BF1001" t="inlineStr"/>
      <c r="BG1001" t="n">
        <v>110</v>
      </c>
      <c r="BH1001" t="inlineStr"/>
      <c r="BI1001" t="inlineStr"/>
      <c r="BJ1001" t="inlineStr"/>
      <c r="BK1001" t="inlineStr"/>
      <c r="BL1001" t="inlineStr"/>
      <c r="BM1001" t="inlineStr">
        <is>
          <t>n</t>
        </is>
      </c>
      <c r="BN1001" t="n">
        <v>0</v>
      </c>
      <c r="BO1001" t="inlineStr"/>
      <c r="BP1001" t="inlineStr"/>
      <c r="BQ1001" t="inlineStr"/>
      <c r="BR1001" t="inlineStr"/>
      <c r="BS1001" t="inlineStr"/>
      <c r="BT1001" t="inlineStr"/>
      <c r="BU1001" t="inlineStr"/>
      <c r="BV1001" t="inlineStr"/>
      <c r="BW1001" t="inlineStr"/>
      <c r="BX1001" t="inlineStr"/>
      <c r="BY1001" t="inlineStr"/>
      <c r="BZ1001" t="inlineStr"/>
      <c r="CA1001" t="inlineStr"/>
      <c r="CB1001" t="inlineStr"/>
      <c r="CC1001" t="inlineStr"/>
      <c r="CD1001" t="inlineStr"/>
      <c r="CE1001" t="inlineStr"/>
      <c r="CF1001" t="inlineStr"/>
      <c r="CG1001" t="inlineStr"/>
      <c r="CH1001" t="inlineStr"/>
      <c r="CI1001" t="inlineStr"/>
      <c r="CJ1001" t="inlineStr"/>
      <c r="CK1001" t="inlineStr"/>
      <c r="CL1001" t="inlineStr"/>
      <c r="CM1001" t="inlineStr"/>
      <c r="CN1001" t="inlineStr"/>
      <c r="CO1001" t="inlineStr"/>
      <c r="CP1001" t="inlineStr"/>
      <c r="CQ1001" t="inlineStr"/>
      <c r="CR1001" t="inlineStr"/>
      <c r="CS1001" t="inlineStr"/>
      <c r="CT1001" t="inlineStr"/>
      <c r="CU1001" t="inlineStr"/>
      <c r="CV1001" t="inlineStr"/>
      <c r="CW1001" t="inlineStr"/>
      <c r="CX1001" t="inlineStr"/>
      <c r="CY1001" t="inlineStr"/>
      <c r="CZ1001" t="inlineStr"/>
      <c r="DA1001" t="inlineStr"/>
      <c r="DB1001" t="inlineStr"/>
      <c r="DC1001" t="inlineStr"/>
      <c r="DD1001" t="inlineStr"/>
      <c r="DE1001" t="inlineStr"/>
      <c r="DF1001" t="inlineStr"/>
      <c r="DG1001" t="inlineStr"/>
    </row>
    <row r="1002">
      <c r="A1002" t="inlineStr">
        <is>
          <t>III</t>
        </is>
      </c>
      <c r="B1002" t="b">
        <v>1</v>
      </c>
      <c r="C1002" t="inlineStr"/>
      <c r="D1002" t="inlineStr"/>
      <c r="E1002" t="n">
        <v>1061</v>
      </c>
      <c r="F1002">
        <f>HYPERLINK("https://portal.dnb.de/opac.htm?method=simpleSearch&amp;cqlMode=true&amp;query=idn%3D1066957223", "Portal")</f>
        <v/>
      </c>
      <c r="G1002" t="inlineStr">
        <is>
          <t>Aaf</t>
        </is>
      </c>
      <c r="H1002" t="inlineStr">
        <is>
          <t>L-1548-315487852</t>
        </is>
      </c>
      <c r="I1002" t="inlineStr">
        <is>
          <t>1066957223</t>
        </is>
      </c>
      <c r="J1002" t="inlineStr">
        <is>
          <t>III 104, 36</t>
        </is>
      </c>
      <c r="K1002" t="inlineStr">
        <is>
          <t>III 104, 36</t>
        </is>
      </c>
      <c r="L1002" t="inlineStr">
        <is>
          <t>III 104, 36</t>
        </is>
      </c>
      <c r="M1002" t="inlineStr"/>
      <c r="N1002" t="inlineStr">
        <is>
          <t>Die @Heubt=||artikel des Christ=||lichen glaubens/ Wider|| den Bapst/ vnd der Hellen|| pforten zu erhalten.|| Sampt dem Bekentnis|| des glaubens/ D. M</t>
        </is>
      </c>
      <c r="O1002" t="inlineStr">
        <is>
          <t xml:space="preserve"> : </t>
        </is>
      </c>
      <c r="P1002" t="inlineStr"/>
      <c r="Q1002" t="inlineStr"/>
      <c r="R1002" t="inlineStr"/>
      <c r="S1002" t="inlineStr">
        <is>
          <t>bis 25 cm</t>
        </is>
      </c>
      <c r="T1002" t="inlineStr"/>
      <c r="U1002" t="inlineStr"/>
      <c r="V1002" t="inlineStr"/>
      <c r="W1002" t="inlineStr"/>
      <c r="X1002" t="inlineStr"/>
      <c r="Y1002" t="inlineStr"/>
      <c r="Z1002" t="inlineStr"/>
      <c r="AA1002" t="inlineStr"/>
      <c r="AB1002" t="inlineStr"/>
      <c r="AC1002" t="inlineStr"/>
      <c r="AD1002" t="inlineStr"/>
      <c r="AE1002" t="inlineStr"/>
      <c r="AF1002" t="inlineStr"/>
      <c r="AG1002" t="inlineStr"/>
      <c r="AH1002" t="inlineStr">
        <is>
          <t>x</t>
        </is>
      </c>
      <c r="AI1002" t="inlineStr">
        <is>
          <t>G</t>
        </is>
      </c>
      <c r="AJ1002" t="inlineStr"/>
      <c r="AK1002" t="inlineStr">
        <is>
          <t>x</t>
        </is>
      </c>
      <c r="AL1002" t="inlineStr"/>
      <c r="AM1002" t="inlineStr">
        <is>
          <t>h/E</t>
        </is>
      </c>
      <c r="AN1002" t="inlineStr"/>
      <c r="AO1002" t="inlineStr"/>
      <c r="AP1002" t="inlineStr"/>
      <c r="AQ1002" t="inlineStr"/>
      <c r="AR1002" t="inlineStr"/>
      <c r="AS1002" t="inlineStr">
        <is>
          <t>Pa</t>
        </is>
      </c>
      <c r="AT1002" t="inlineStr"/>
      <c r="AU1002" t="inlineStr"/>
      <c r="AV1002" t="inlineStr"/>
      <c r="AW1002" t="inlineStr"/>
      <c r="AX1002" t="inlineStr"/>
      <c r="AY1002" t="inlineStr"/>
      <c r="AZ1002" t="inlineStr"/>
      <c r="BA1002" t="inlineStr"/>
      <c r="BB1002" t="inlineStr"/>
      <c r="BC1002" t="inlineStr"/>
      <c r="BD1002" t="inlineStr"/>
      <c r="BE1002" t="n">
        <v>2</v>
      </c>
      <c r="BF1002" t="inlineStr"/>
      <c r="BG1002" t="n">
        <v>110</v>
      </c>
      <c r="BH1002" t="inlineStr"/>
      <c r="BI1002" t="inlineStr"/>
      <c r="BJ1002" t="inlineStr"/>
      <c r="BK1002" t="inlineStr"/>
      <c r="BL1002" t="inlineStr"/>
      <c r="BM1002" t="inlineStr">
        <is>
          <t>n</t>
        </is>
      </c>
      <c r="BN1002" t="n">
        <v>0</v>
      </c>
      <c r="BO1002" t="inlineStr"/>
      <c r="BP1002" t="inlineStr"/>
      <c r="BQ1002" t="inlineStr"/>
      <c r="BR1002" t="inlineStr"/>
      <c r="BS1002" t="inlineStr"/>
      <c r="BT1002" t="inlineStr"/>
      <c r="BU1002" t="inlineStr"/>
      <c r="BV1002" t="inlineStr"/>
      <c r="BW1002" t="inlineStr">
        <is>
          <t>x 110</t>
        </is>
      </c>
      <c r="BX1002" t="inlineStr">
        <is>
          <t xml:space="preserve">
12°</t>
        </is>
      </c>
      <c r="BY1002" t="inlineStr"/>
      <c r="BZ1002" t="inlineStr"/>
      <c r="CA1002" t="inlineStr"/>
      <c r="CB1002" t="inlineStr"/>
      <c r="CC1002" t="inlineStr"/>
      <c r="CD1002" t="inlineStr"/>
      <c r="CE1002" t="inlineStr"/>
      <c r="CF1002" t="inlineStr"/>
      <c r="CG1002" t="inlineStr"/>
      <c r="CH1002" t="inlineStr"/>
      <c r="CI1002" t="inlineStr"/>
      <c r="CJ1002" t="inlineStr"/>
      <c r="CK1002" t="inlineStr"/>
      <c r="CL1002" t="inlineStr"/>
      <c r="CM1002" t="inlineStr"/>
      <c r="CN1002" t="inlineStr"/>
      <c r="CO1002" t="inlineStr"/>
      <c r="CP1002" t="inlineStr"/>
      <c r="CQ1002" t="inlineStr"/>
      <c r="CR1002" t="inlineStr"/>
      <c r="CS1002" t="inlineStr"/>
      <c r="CT1002" t="inlineStr"/>
      <c r="CU1002" t="inlineStr"/>
      <c r="CV1002" t="inlineStr"/>
      <c r="CW1002" t="inlineStr"/>
      <c r="CX1002" t="inlineStr"/>
      <c r="CY1002" t="inlineStr"/>
      <c r="CZ1002" t="inlineStr"/>
      <c r="DA1002" t="inlineStr"/>
      <c r="DB1002" t="inlineStr"/>
      <c r="DC1002" t="inlineStr"/>
      <c r="DD1002" t="inlineStr"/>
      <c r="DE1002" t="inlineStr"/>
      <c r="DF1002" t="inlineStr"/>
      <c r="DG1002" t="inlineStr"/>
    </row>
    <row r="1003">
      <c r="A1003" t="inlineStr">
        <is>
          <t>III</t>
        </is>
      </c>
      <c r="B1003" t="b">
        <v>1</v>
      </c>
      <c r="C1003" t="inlineStr"/>
      <c r="D1003" t="inlineStr"/>
      <c r="E1003" t="n">
        <v>1062</v>
      </c>
      <c r="F1003">
        <f>HYPERLINK("https://portal.dnb.de/opac.htm?method=simpleSearch&amp;cqlMode=true&amp;query=idn%3D1066958459", "Portal")</f>
        <v/>
      </c>
      <c r="G1003" t="inlineStr">
        <is>
          <t>Aaf</t>
        </is>
      </c>
      <c r="H1003" t="inlineStr">
        <is>
          <t>L-1522-315489073</t>
        </is>
      </c>
      <c r="I1003" t="inlineStr">
        <is>
          <t>1066958459</t>
        </is>
      </c>
      <c r="J1003" t="inlineStr">
        <is>
          <t>III 104, 37</t>
        </is>
      </c>
      <c r="K1003" t="inlineStr">
        <is>
          <t>III 104, 37</t>
        </is>
      </c>
      <c r="L1003" t="inlineStr">
        <is>
          <t>III 104, 37</t>
        </is>
      </c>
      <c r="M1003" t="inlineStr"/>
      <c r="N1003" t="inlineStr">
        <is>
          <t xml:space="preserve">Uon denn|| geystlichen|| vnd kloster||gelubden|| Martini|| Luthers|| vrteyll.|| (verdeutscht durch ... Just|| Jona ...||) : </t>
        </is>
      </c>
      <c r="O1003" t="inlineStr">
        <is>
          <t xml:space="preserve"> : </t>
        </is>
      </c>
      <c r="P1003" t="inlineStr"/>
      <c r="Q1003" t="inlineStr"/>
      <c r="R1003" t="inlineStr"/>
      <c r="S1003" t="inlineStr">
        <is>
          <t>bis 25 cm</t>
        </is>
      </c>
      <c r="T1003" t="inlineStr"/>
      <c r="U1003" t="inlineStr"/>
      <c r="V1003" t="inlineStr"/>
      <c r="W1003" t="inlineStr"/>
      <c r="X1003" t="inlineStr"/>
      <c r="Y1003" t="inlineStr"/>
      <c r="Z1003" t="inlineStr"/>
      <c r="AA1003" t="inlineStr"/>
      <c r="AB1003" t="inlineStr"/>
      <c r="AC1003" t="inlineStr"/>
      <c r="AD1003" t="inlineStr"/>
      <c r="AE1003" t="inlineStr"/>
      <c r="AF1003" t="inlineStr"/>
      <c r="AG1003" t="inlineStr"/>
      <c r="AH1003" t="inlineStr"/>
      <c r="AI1003" t="inlineStr">
        <is>
          <t>Pa</t>
        </is>
      </c>
      <c r="AJ1003" t="inlineStr"/>
      <c r="AK1003" t="inlineStr"/>
      <c r="AL1003" t="inlineStr"/>
      <c r="AM1003" t="inlineStr">
        <is>
          <t>h/E</t>
        </is>
      </c>
      <c r="AN1003" t="inlineStr"/>
      <c r="AO1003" t="inlineStr"/>
      <c r="AP1003" t="inlineStr"/>
      <c r="AQ1003" t="inlineStr"/>
      <c r="AR1003" t="inlineStr"/>
      <c r="AS1003" t="inlineStr">
        <is>
          <t>Pa</t>
        </is>
      </c>
      <c r="AT1003" t="inlineStr"/>
      <c r="AU1003" t="inlineStr"/>
      <c r="AV1003" t="inlineStr"/>
      <c r="AW1003" t="inlineStr"/>
      <c r="AX1003" t="inlineStr"/>
      <c r="AY1003" t="inlineStr"/>
      <c r="AZ1003" t="inlineStr"/>
      <c r="BA1003" t="inlineStr"/>
      <c r="BB1003" t="inlineStr"/>
      <c r="BC1003" t="inlineStr"/>
      <c r="BD1003" t="inlineStr"/>
      <c r="BE1003" t="inlineStr"/>
      <c r="BF1003" t="inlineStr"/>
      <c r="BG1003" t="n">
        <v>110</v>
      </c>
      <c r="BH1003" t="inlineStr"/>
      <c r="BI1003" t="inlineStr"/>
      <c r="BJ1003" t="inlineStr"/>
      <c r="BK1003" t="inlineStr"/>
      <c r="BL1003" t="inlineStr"/>
      <c r="BM1003" t="inlineStr">
        <is>
          <t>n</t>
        </is>
      </c>
      <c r="BN1003" t="n">
        <v>0</v>
      </c>
      <c r="BO1003" t="inlineStr"/>
      <c r="BP1003" t="inlineStr"/>
      <c r="BQ1003" t="inlineStr"/>
      <c r="BR1003" t="inlineStr"/>
      <c r="BS1003" t="inlineStr"/>
      <c r="BT1003" t="inlineStr"/>
      <c r="BU1003" t="inlineStr"/>
      <c r="BV1003" t="inlineStr"/>
      <c r="BW1003" t="inlineStr"/>
      <c r="BX1003" t="inlineStr"/>
      <c r="BY1003" t="inlineStr"/>
      <c r="BZ1003" t="inlineStr"/>
      <c r="CA1003" t="inlineStr"/>
      <c r="CB1003" t="inlineStr"/>
      <c r="CC1003" t="inlineStr"/>
      <c r="CD1003" t="inlineStr"/>
      <c r="CE1003" t="inlineStr"/>
      <c r="CF1003" t="inlineStr"/>
      <c r="CG1003" t="inlineStr"/>
      <c r="CH1003" t="inlineStr"/>
      <c r="CI1003" t="inlineStr"/>
      <c r="CJ1003" t="inlineStr"/>
      <c r="CK1003" t="inlineStr"/>
      <c r="CL1003" t="inlineStr"/>
      <c r="CM1003" t="inlineStr"/>
      <c r="CN1003" t="inlineStr"/>
      <c r="CO1003" t="inlineStr"/>
      <c r="CP1003" t="inlineStr"/>
      <c r="CQ1003" t="inlineStr"/>
      <c r="CR1003" t="inlineStr"/>
      <c r="CS1003" t="inlineStr"/>
      <c r="CT1003" t="inlineStr"/>
      <c r="CU1003" t="inlineStr"/>
      <c r="CV1003" t="inlineStr"/>
      <c r="CW1003" t="inlineStr"/>
      <c r="CX1003" t="inlineStr"/>
      <c r="CY1003" t="inlineStr"/>
      <c r="CZ1003" t="inlineStr"/>
      <c r="DA1003" t="inlineStr"/>
      <c r="DB1003" t="inlineStr"/>
      <c r="DC1003" t="inlineStr"/>
      <c r="DD1003" t="inlineStr"/>
      <c r="DE1003" t="inlineStr"/>
      <c r="DF1003" t="inlineStr"/>
      <c r="DG1003" t="inlineStr"/>
    </row>
    <row r="1004">
      <c r="A1004" t="inlineStr">
        <is>
          <t>III</t>
        </is>
      </c>
      <c r="B1004" t="b">
        <v>1</v>
      </c>
      <c r="C1004" t="inlineStr"/>
      <c r="D1004" t="inlineStr"/>
      <c r="E1004" t="n">
        <v>1127</v>
      </c>
      <c r="F1004">
        <f>HYPERLINK("https://portal.dnb.de/opac.htm?method=simpleSearch&amp;cqlMode=true&amp;query=idn%3D1001771508", "Portal")</f>
        <v/>
      </c>
      <c r="G1004" t="inlineStr">
        <is>
          <t>Aal</t>
        </is>
      </c>
      <c r="H1004" t="inlineStr">
        <is>
          <t>L-1522-175547769</t>
        </is>
      </c>
      <c r="I1004" t="inlineStr">
        <is>
          <t>1001771508</t>
        </is>
      </c>
      <c r="J1004" t="inlineStr">
        <is>
          <t>III 104, 37 a</t>
        </is>
      </c>
      <c r="K1004" t="inlineStr">
        <is>
          <t>III 104, 37 a</t>
        </is>
      </c>
      <c r="L1004" t="inlineStr">
        <is>
          <t>III 104, 37 a</t>
        </is>
      </c>
      <c r="M1004" t="inlineStr"/>
      <c r="N1004" t="inlineStr">
        <is>
          <t>Die @haubt||artickel durch|| welche gemeyne Chri||stenheyt byßhere|| verfuret wor=||den ist|| : Daneben auch grund vnnd|| anzeygen eyns gantzen|| rech</t>
        </is>
      </c>
      <c r="O1004" t="inlineStr">
        <is>
          <t xml:space="preserve"> : </t>
        </is>
      </c>
      <c r="P1004" t="inlineStr"/>
      <c r="Q1004" t="inlineStr"/>
      <c r="R1004" t="inlineStr"/>
      <c r="S1004" t="inlineStr">
        <is>
          <t>bis 25 cm</t>
        </is>
      </c>
      <c r="T1004" t="inlineStr"/>
      <c r="U1004" t="inlineStr"/>
      <c r="V1004" t="inlineStr"/>
      <c r="W1004" t="inlineStr"/>
      <c r="X1004" t="inlineStr"/>
      <c r="Y1004" t="inlineStr"/>
      <c r="Z1004" t="inlineStr"/>
      <c r="AA1004" t="inlineStr"/>
      <c r="AB1004" t="inlineStr"/>
      <c r="AC1004" t="inlineStr"/>
      <c r="AD1004" t="inlineStr"/>
      <c r="AE1004" t="inlineStr"/>
      <c r="AF1004" t="inlineStr"/>
      <c r="AG1004" t="inlineStr"/>
      <c r="AH1004" t="inlineStr"/>
      <c r="AI1004" t="inlineStr">
        <is>
          <t>HPg</t>
        </is>
      </c>
      <c r="AJ1004" t="inlineStr"/>
      <c r="AK1004" t="inlineStr"/>
      <c r="AL1004" t="inlineStr"/>
      <c r="AM1004" t="inlineStr">
        <is>
          <t>h/E</t>
        </is>
      </c>
      <c r="AN1004" t="inlineStr"/>
      <c r="AO1004" t="inlineStr"/>
      <c r="AP1004" t="inlineStr"/>
      <c r="AQ1004" t="inlineStr"/>
      <c r="AR1004" t="inlineStr"/>
      <c r="AS1004" t="inlineStr">
        <is>
          <t>Pa</t>
        </is>
      </c>
      <c r="AT1004" t="inlineStr"/>
      <c r="AU1004" t="inlineStr"/>
      <c r="AV1004" t="inlineStr"/>
      <c r="AW1004" t="inlineStr"/>
      <c r="AX1004" t="inlineStr"/>
      <c r="AY1004" t="inlineStr"/>
      <c r="AZ1004" t="inlineStr"/>
      <c r="BA1004" t="inlineStr"/>
      <c r="BB1004" t="inlineStr"/>
      <c r="BC1004" t="inlineStr"/>
      <c r="BD1004" t="inlineStr"/>
      <c r="BE1004" t="inlineStr"/>
      <c r="BF1004" t="inlineStr"/>
      <c r="BG1004" t="n">
        <v>110</v>
      </c>
      <c r="BH1004" t="inlineStr"/>
      <c r="BI1004" t="inlineStr"/>
      <c r="BJ1004" t="inlineStr"/>
      <c r="BK1004" t="inlineStr">
        <is>
          <t>x</t>
        </is>
      </c>
      <c r="BL1004" t="inlineStr">
        <is>
          <t>x</t>
        </is>
      </c>
      <c r="BM1004" t="inlineStr">
        <is>
          <t>n</t>
        </is>
      </c>
      <c r="BN1004" t="n">
        <v>0</v>
      </c>
      <c r="BO1004" t="inlineStr"/>
      <c r="BP1004" t="inlineStr"/>
      <c r="BQ1004" t="inlineStr"/>
      <c r="BR1004" t="inlineStr"/>
      <c r="BS1004" t="inlineStr"/>
      <c r="BT1004" t="inlineStr"/>
      <c r="BU1004" t="inlineStr"/>
      <c r="BV1004" t="inlineStr"/>
      <c r="BW1004" t="inlineStr"/>
      <c r="BX1004" t="inlineStr"/>
      <c r="BY1004" t="inlineStr"/>
      <c r="BZ1004" t="inlineStr"/>
      <c r="CA1004" t="inlineStr"/>
      <c r="CB1004" t="inlineStr"/>
      <c r="CC1004" t="inlineStr"/>
      <c r="CD1004" t="inlineStr"/>
      <c r="CE1004" t="inlineStr"/>
      <c r="CF1004" t="inlineStr"/>
      <c r="CG1004" t="inlineStr"/>
      <c r="CH1004" t="inlineStr"/>
      <c r="CI1004" t="inlineStr"/>
      <c r="CJ1004" t="inlineStr"/>
      <c r="CK1004" t="inlineStr"/>
      <c r="CL1004" t="inlineStr"/>
      <c r="CM1004" t="inlineStr"/>
      <c r="CN1004" t="inlineStr"/>
      <c r="CO1004" t="inlineStr"/>
      <c r="CP1004" t="inlineStr"/>
      <c r="CQ1004" t="inlineStr"/>
      <c r="CR1004" t="inlineStr"/>
      <c r="CS1004" t="inlineStr"/>
      <c r="CT1004" t="inlineStr"/>
      <c r="CU1004" t="inlineStr"/>
      <c r="CV1004" t="inlineStr"/>
      <c r="CW1004" t="inlineStr"/>
      <c r="CX1004" t="inlineStr"/>
      <c r="CY1004" t="inlineStr"/>
      <c r="CZ1004" t="inlineStr"/>
      <c r="DA1004" t="inlineStr"/>
      <c r="DB1004" t="inlineStr"/>
      <c r="DC1004" t="inlineStr"/>
      <c r="DD1004" t="inlineStr"/>
      <c r="DE1004" t="inlineStr"/>
      <c r="DF1004" t="inlineStr"/>
      <c r="DG1004" t="inlineStr"/>
    </row>
    <row r="1005">
      <c r="A1005" t="inlineStr">
        <is>
          <t>III</t>
        </is>
      </c>
      <c r="B1005" t="b">
        <v>1</v>
      </c>
      <c r="C1005" t="inlineStr"/>
      <c r="D1005" t="inlineStr"/>
      <c r="E1005" t="n">
        <v>1128</v>
      </c>
      <c r="F1005">
        <f>HYPERLINK("https://portal.dnb.de/opac.htm?method=simpleSearch&amp;cqlMode=true&amp;query=idn%3D993862357", "Portal")</f>
        <v/>
      </c>
      <c r="G1005" t="inlineStr">
        <is>
          <t>Aal</t>
        </is>
      </c>
      <c r="H1005" t="inlineStr">
        <is>
          <t>L-1533-153916281</t>
        </is>
      </c>
      <c r="I1005" t="inlineStr">
        <is>
          <t>993862357</t>
        </is>
      </c>
      <c r="J1005" t="inlineStr">
        <is>
          <t>III 104, 37 b</t>
        </is>
      </c>
      <c r="K1005" t="inlineStr">
        <is>
          <t>III 104, 37 b</t>
        </is>
      </c>
      <c r="L1005" t="inlineStr">
        <is>
          <t>III 104, 37 b</t>
        </is>
      </c>
      <c r="M1005" t="inlineStr"/>
      <c r="N1005" t="inlineStr">
        <is>
          <t xml:space="preserve">Von Almosen|| geben, Ein Sermon : </t>
        </is>
      </c>
      <c r="O1005" t="inlineStr">
        <is>
          <t xml:space="preserve"> : </t>
        </is>
      </c>
      <c r="P1005" t="inlineStr"/>
      <c r="Q1005" t="inlineStr"/>
      <c r="R1005" t="inlineStr"/>
      <c r="S1005" t="inlineStr">
        <is>
          <t>bis 25 cm</t>
        </is>
      </c>
      <c r="T1005" t="inlineStr"/>
      <c r="U1005" t="inlineStr"/>
      <c r="V1005" t="inlineStr"/>
      <c r="W1005" t="inlineStr"/>
      <c r="X1005" t="inlineStr"/>
      <c r="Y1005" t="inlineStr"/>
      <c r="Z1005" t="inlineStr"/>
      <c r="AA1005" t="inlineStr"/>
      <c r="AB1005" t="inlineStr"/>
      <c r="AC1005" t="inlineStr"/>
      <c r="AD1005" t="inlineStr"/>
      <c r="AE1005" t="inlineStr"/>
      <c r="AF1005" t="inlineStr"/>
      <c r="AG1005" t="inlineStr"/>
      <c r="AH1005" t="inlineStr"/>
      <c r="AI1005" t="inlineStr">
        <is>
          <t>HPg</t>
        </is>
      </c>
      <c r="AJ1005" t="inlineStr"/>
      <c r="AK1005" t="inlineStr"/>
      <c r="AL1005" t="inlineStr"/>
      <c r="AM1005" t="inlineStr">
        <is>
          <t>h/E</t>
        </is>
      </c>
      <c r="AN1005" t="inlineStr"/>
      <c r="AO1005" t="inlineStr"/>
      <c r="AP1005" t="inlineStr"/>
      <c r="AQ1005" t="inlineStr"/>
      <c r="AR1005" t="inlineStr"/>
      <c r="AS1005" t="inlineStr">
        <is>
          <t>Pa</t>
        </is>
      </c>
      <c r="AT1005" t="inlineStr"/>
      <c r="AU1005" t="inlineStr"/>
      <c r="AV1005" t="inlineStr"/>
      <c r="AW1005" t="inlineStr"/>
      <c r="AX1005" t="inlineStr"/>
      <c r="AY1005" t="inlineStr"/>
      <c r="AZ1005" t="inlineStr"/>
      <c r="BA1005" t="inlineStr"/>
      <c r="BB1005" t="inlineStr"/>
      <c r="BC1005" t="inlineStr"/>
      <c r="BD1005" t="inlineStr"/>
      <c r="BE1005" t="inlineStr"/>
      <c r="BF1005" t="inlineStr"/>
      <c r="BG1005" t="n">
        <v>110</v>
      </c>
      <c r="BH1005" t="inlineStr"/>
      <c r="BI1005" t="inlineStr"/>
      <c r="BJ1005" t="inlineStr"/>
      <c r="BK1005" t="inlineStr">
        <is>
          <t>x</t>
        </is>
      </c>
      <c r="BL1005" t="inlineStr">
        <is>
          <t>x</t>
        </is>
      </c>
      <c r="BM1005" t="inlineStr">
        <is>
          <t>n</t>
        </is>
      </c>
      <c r="BN1005" t="n">
        <v>0</v>
      </c>
      <c r="BO1005" t="inlineStr"/>
      <c r="BP1005" t="inlineStr"/>
      <c r="BQ1005" t="inlineStr"/>
      <c r="BR1005" t="inlineStr"/>
      <c r="BS1005" t="inlineStr"/>
      <c r="BT1005" t="inlineStr"/>
      <c r="BU1005" t="inlineStr"/>
      <c r="BV1005" t="inlineStr"/>
      <c r="BW1005" t="inlineStr"/>
      <c r="BX1005" t="inlineStr"/>
      <c r="BY1005" t="inlineStr"/>
      <c r="BZ1005" t="inlineStr"/>
      <c r="CA1005" t="inlineStr"/>
      <c r="CB1005" t="inlineStr"/>
      <c r="CC1005" t="inlineStr"/>
      <c r="CD1005" t="inlineStr"/>
      <c r="CE1005" t="inlineStr"/>
      <c r="CF1005" t="inlineStr"/>
      <c r="CG1005" t="inlineStr"/>
      <c r="CH1005" t="inlineStr"/>
      <c r="CI1005" t="inlineStr"/>
      <c r="CJ1005" t="inlineStr"/>
      <c r="CK1005" t="inlineStr"/>
      <c r="CL1005" t="inlineStr"/>
      <c r="CM1005" t="inlineStr"/>
      <c r="CN1005" t="inlineStr"/>
      <c r="CO1005" t="inlineStr"/>
      <c r="CP1005" t="inlineStr"/>
      <c r="CQ1005" t="inlineStr"/>
      <c r="CR1005" t="inlineStr"/>
      <c r="CS1005" t="inlineStr"/>
      <c r="CT1005" t="inlineStr"/>
      <c r="CU1005" t="inlineStr"/>
      <c r="CV1005" t="inlineStr"/>
      <c r="CW1005" t="inlineStr"/>
      <c r="CX1005" t="inlineStr"/>
      <c r="CY1005" t="inlineStr"/>
      <c r="CZ1005" t="inlineStr"/>
      <c r="DA1005" t="inlineStr"/>
      <c r="DB1005" t="inlineStr"/>
      <c r="DC1005" t="inlineStr"/>
      <c r="DD1005" t="inlineStr"/>
      <c r="DE1005" t="inlineStr"/>
      <c r="DF1005" t="inlineStr"/>
      <c r="DG1005" t="inlineStr"/>
    </row>
    <row r="1006">
      <c r="A1006" t="inlineStr">
        <is>
          <t>III</t>
        </is>
      </c>
      <c r="B1006" t="b">
        <v>1</v>
      </c>
      <c r="C1006" t="inlineStr"/>
      <c r="D1006" t="inlineStr"/>
      <c r="E1006" t="n">
        <v>1129</v>
      </c>
      <c r="F1006">
        <f>HYPERLINK("https://portal.dnb.de/opac.htm?method=simpleSearch&amp;cqlMode=true&amp;query=idn%3D998886203", "Portal")</f>
        <v/>
      </c>
      <c r="G1006" t="inlineStr">
        <is>
          <t>Aal</t>
        </is>
      </c>
      <c r="H1006" t="inlineStr">
        <is>
          <t>L-1535-16710943X</t>
        </is>
      </c>
      <c r="I1006" t="inlineStr">
        <is>
          <t>998886203</t>
        </is>
      </c>
      <c r="J1006" t="inlineStr">
        <is>
          <t>III 104, 37 c</t>
        </is>
      </c>
      <c r="K1006" t="inlineStr">
        <is>
          <t>III 104, 37 c</t>
        </is>
      </c>
      <c r="L1006" t="inlineStr">
        <is>
          <t>III 104, 37 c</t>
        </is>
      </c>
      <c r="M1006" t="inlineStr"/>
      <c r="N1006" t="inlineStr">
        <is>
          <t xml:space="preserve">Ausschrei||bunge eines hei||ligen freyen Christ||lichen Concilij|| Anno|| 1535 : </t>
        </is>
      </c>
      <c r="O1006" t="inlineStr">
        <is>
          <t xml:space="preserve"> : </t>
        </is>
      </c>
      <c r="P1006" t="inlineStr"/>
      <c r="Q1006" t="inlineStr"/>
      <c r="R1006" t="inlineStr"/>
      <c r="S1006" t="inlineStr">
        <is>
          <t>bis 25 cm</t>
        </is>
      </c>
      <c r="T1006" t="inlineStr"/>
      <c r="U1006" t="inlineStr"/>
      <c r="V1006" t="inlineStr"/>
      <c r="W1006" t="inlineStr"/>
      <c r="X1006" t="inlineStr"/>
      <c r="Y1006" t="inlineStr"/>
      <c r="Z1006" t="inlineStr"/>
      <c r="AA1006" t="inlineStr"/>
      <c r="AB1006" t="inlineStr"/>
      <c r="AC1006" t="inlineStr"/>
      <c r="AD1006" t="inlineStr"/>
      <c r="AE1006" t="inlineStr"/>
      <c r="AF1006" t="inlineStr"/>
      <c r="AG1006" t="inlineStr"/>
      <c r="AH1006" t="inlineStr"/>
      <c r="AI1006" t="inlineStr">
        <is>
          <t>HPg</t>
        </is>
      </c>
      <c r="AJ1006" t="inlineStr"/>
      <c r="AK1006" t="inlineStr"/>
      <c r="AL1006" t="inlineStr">
        <is>
          <t>x</t>
        </is>
      </c>
      <c r="AM1006" t="inlineStr">
        <is>
          <t>h/E</t>
        </is>
      </c>
      <c r="AN1006" t="inlineStr"/>
      <c r="AO1006" t="inlineStr"/>
      <c r="AP1006" t="inlineStr"/>
      <c r="AQ1006" t="inlineStr"/>
      <c r="AR1006" t="inlineStr"/>
      <c r="AS1006" t="inlineStr">
        <is>
          <t>Pa</t>
        </is>
      </c>
      <c r="AT1006" t="inlineStr"/>
      <c r="AU1006" t="inlineStr"/>
      <c r="AV1006" t="inlineStr"/>
      <c r="AW1006" t="inlineStr"/>
      <c r="AX1006" t="inlineStr"/>
      <c r="AY1006" t="inlineStr"/>
      <c r="AZ1006" t="inlineStr"/>
      <c r="BA1006" t="inlineStr"/>
      <c r="BB1006" t="inlineStr"/>
      <c r="BC1006" t="inlineStr"/>
      <c r="BD1006" t="inlineStr"/>
      <c r="BE1006" t="inlineStr"/>
      <c r="BF1006" t="inlineStr"/>
      <c r="BG1006" t="n">
        <v>110</v>
      </c>
      <c r="BH1006" t="inlineStr"/>
      <c r="BI1006" t="inlineStr"/>
      <c r="BJ1006" t="inlineStr"/>
      <c r="BK1006" t="inlineStr">
        <is>
          <t>x</t>
        </is>
      </c>
      <c r="BL1006" t="inlineStr">
        <is>
          <t>x</t>
        </is>
      </c>
      <c r="BM1006" t="inlineStr">
        <is>
          <t>n</t>
        </is>
      </c>
      <c r="BN1006" t="n">
        <v>0</v>
      </c>
      <c r="BO1006" t="inlineStr"/>
      <c r="BP1006" t="inlineStr"/>
      <c r="BQ1006" t="inlineStr"/>
      <c r="BR1006" t="inlineStr"/>
      <c r="BS1006" t="inlineStr"/>
      <c r="BT1006" t="inlineStr"/>
      <c r="BU1006" t="inlineStr"/>
      <c r="BV1006" t="inlineStr"/>
      <c r="BW1006" t="inlineStr"/>
      <c r="BX1006" t="inlineStr"/>
      <c r="BY1006" t="inlineStr"/>
      <c r="BZ1006" t="inlineStr"/>
      <c r="CA1006" t="inlineStr"/>
      <c r="CB1006" t="inlineStr"/>
      <c r="CC1006" t="inlineStr"/>
      <c r="CD1006" t="inlineStr"/>
      <c r="CE1006" t="inlineStr"/>
      <c r="CF1006" t="inlineStr"/>
      <c r="CG1006" t="inlineStr"/>
      <c r="CH1006" t="inlineStr"/>
      <c r="CI1006" t="inlineStr"/>
      <c r="CJ1006" t="inlineStr"/>
      <c r="CK1006" t="inlineStr"/>
      <c r="CL1006" t="inlineStr"/>
      <c r="CM1006" t="inlineStr"/>
      <c r="CN1006" t="inlineStr"/>
      <c r="CO1006" t="inlineStr"/>
      <c r="CP1006" t="inlineStr"/>
      <c r="CQ1006" t="inlineStr"/>
      <c r="CR1006" t="inlineStr"/>
      <c r="CS1006" t="inlineStr"/>
      <c r="CT1006" t="inlineStr"/>
      <c r="CU1006" t="inlineStr"/>
      <c r="CV1006" t="inlineStr"/>
      <c r="CW1006" t="inlineStr"/>
      <c r="CX1006" t="inlineStr"/>
      <c r="CY1006" t="inlineStr"/>
      <c r="CZ1006" t="inlineStr"/>
      <c r="DA1006" t="inlineStr"/>
      <c r="DB1006" t="inlineStr"/>
      <c r="DC1006" t="inlineStr"/>
      <c r="DD1006" t="inlineStr"/>
      <c r="DE1006" t="inlineStr"/>
      <c r="DF1006" t="inlineStr"/>
      <c r="DG1006" t="inlineStr"/>
    </row>
    <row r="1007">
      <c r="A1007" t="inlineStr">
        <is>
          <t>III</t>
        </is>
      </c>
      <c r="B1007" t="b">
        <v>1</v>
      </c>
      <c r="C1007" t="inlineStr"/>
      <c r="D1007" t="inlineStr"/>
      <c r="E1007" t="n">
        <v>1130</v>
      </c>
      <c r="F1007">
        <f>HYPERLINK("https://portal.dnb.de/opac.htm?method=simpleSearch&amp;cqlMode=true&amp;query=idn%3D999178695", "Portal")</f>
        <v/>
      </c>
      <c r="G1007" t="inlineStr">
        <is>
          <t>Aal</t>
        </is>
      </c>
      <c r="H1007" t="inlineStr">
        <is>
          <t>L-1538-167685309</t>
        </is>
      </c>
      <c r="I1007" t="inlineStr">
        <is>
          <t>999178695</t>
        </is>
      </c>
      <c r="J1007" t="inlineStr">
        <is>
          <t>III 104, 37 d</t>
        </is>
      </c>
      <c r="K1007" t="inlineStr">
        <is>
          <t>III 104, 37 d</t>
        </is>
      </c>
      <c r="L1007" t="inlineStr">
        <is>
          <t>III 104, 37 d</t>
        </is>
      </c>
      <c r="M1007" t="inlineStr"/>
      <c r="N1007" t="inlineStr">
        <is>
          <t xml:space="preserve">Wie ein iglicher|| Christ gegen allerley le=||re, gut vnd böse, nach|| Gottes befelh, sich gebür=||lich halten sol|| : </t>
        </is>
      </c>
      <c r="O1007" t="inlineStr">
        <is>
          <t xml:space="preserve"> : </t>
        </is>
      </c>
      <c r="P1007" t="inlineStr"/>
      <c r="Q1007" t="inlineStr"/>
      <c r="R1007" t="inlineStr"/>
      <c r="S1007" t="inlineStr">
        <is>
          <t>bis 25 cm</t>
        </is>
      </c>
      <c r="T1007" t="inlineStr"/>
      <c r="U1007" t="inlineStr"/>
      <c r="V1007" t="inlineStr"/>
      <c r="W1007" t="inlineStr"/>
      <c r="X1007" t="inlineStr"/>
      <c r="Y1007" t="inlineStr"/>
      <c r="Z1007" t="inlineStr"/>
      <c r="AA1007" t="inlineStr"/>
      <c r="AB1007" t="inlineStr"/>
      <c r="AC1007" t="inlineStr"/>
      <c r="AD1007" t="inlineStr"/>
      <c r="AE1007" t="inlineStr"/>
      <c r="AF1007" t="inlineStr"/>
      <c r="AG1007" t="inlineStr"/>
      <c r="AH1007" t="inlineStr"/>
      <c r="AI1007" t="inlineStr">
        <is>
          <t>HPg</t>
        </is>
      </c>
      <c r="AJ1007" t="inlineStr"/>
      <c r="AK1007" t="inlineStr"/>
      <c r="AL1007" t="inlineStr">
        <is>
          <t>x</t>
        </is>
      </c>
      <c r="AM1007" t="inlineStr">
        <is>
          <t>h/E</t>
        </is>
      </c>
      <c r="AN1007" t="inlineStr"/>
      <c r="AO1007" t="inlineStr"/>
      <c r="AP1007" t="inlineStr"/>
      <c r="AQ1007" t="inlineStr"/>
      <c r="AR1007" t="inlineStr"/>
      <c r="AS1007" t="inlineStr">
        <is>
          <t>Pa</t>
        </is>
      </c>
      <c r="AT1007" t="inlineStr"/>
      <c r="AU1007" t="inlineStr"/>
      <c r="AV1007" t="inlineStr"/>
      <c r="AW1007" t="inlineStr"/>
      <c r="AX1007" t="inlineStr"/>
      <c r="AY1007" t="inlineStr"/>
      <c r="AZ1007" t="inlineStr"/>
      <c r="BA1007" t="inlineStr"/>
      <c r="BB1007" t="inlineStr"/>
      <c r="BC1007" t="inlineStr"/>
      <c r="BD1007" t="inlineStr"/>
      <c r="BE1007" t="inlineStr"/>
      <c r="BF1007" t="inlineStr"/>
      <c r="BG1007" t="n">
        <v>110</v>
      </c>
      <c r="BH1007" t="inlineStr"/>
      <c r="BI1007" t="inlineStr"/>
      <c r="BJ1007" t="inlineStr"/>
      <c r="BK1007" t="inlineStr">
        <is>
          <t>x</t>
        </is>
      </c>
      <c r="BL1007" t="inlineStr">
        <is>
          <t>x</t>
        </is>
      </c>
      <c r="BM1007" t="inlineStr">
        <is>
          <t>n</t>
        </is>
      </c>
      <c r="BN1007" t="n">
        <v>0</v>
      </c>
      <c r="BO1007" t="inlineStr"/>
      <c r="BP1007" t="inlineStr"/>
      <c r="BQ1007" t="inlineStr"/>
      <c r="BR1007" t="inlineStr"/>
      <c r="BS1007" t="inlineStr"/>
      <c r="BT1007" t="inlineStr"/>
      <c r="BU1007" t="inlineStr"/>
      <c r="BV1007" t="inlineStr"/>
      <c r="BW1007" t="inlineStr"/>
      <c r="BX1007" t="inlineStr"/>
      <c r="BY1007" t="inlineStr"/>
      <c r="BZ1007" t="inlineStr"/>
      <c r="CA1007" t="inlineStr"/>
      <c r="CB1007" t="inlineStr"/>
      <c r="CC1007" t="inlineStr"/>
      <c r="CD1007" t="inlineStr"/>
      <c r="CE1007" t="inlineStr"/>
      <c r="CF1007" t="inlineStr"/>
      <c r="CG1007" t="inlineStr"/>
      <c r="CH1007" t="inlineStr"/>
      <c r="CI1007" t="inlineStr"/>
      <c r="CJ1007" t="inlineStr"/>
      <c r="CK1007" t="inlineStr"/>
      <c r="CL1007" t="inlineStr"/>
      <c r="CM1007" t="inlineStr"/>
      <c r="CN1007" t="inlineStr"/>
      <c r="CO1007" t="inlineStr"/>
      <c r="CP1007" t="inlineStr"/>
      <c r="CQ1007" t="inlineStr"/>
      <c r="CR1007" t="inlineStr"/>
      <c r="CS1007" t="inlineStr"/>
      <c r="CT1007" t="inlineStr"/>
      <c r="CU1007" t="inlineStr"/>
      <c r="CV1007" t="inlineStr"/>
      <c r="CW1007" t="inlineStr"/>
      <c r="CX1007" t="inlineStr"/>
      <c r="CY1007" t="inlineStr"/>
      <c r="CZ1007" t="inlineStr"/>
      <c r="DA1007" t="inlineStr"/>
      <c r="DB1007" t="inlineStr"/>
      <c r="DC1007" t="inlineStr"/>
      <c r="DD1007" t="inlineStr"/>
      <c r="DE1007" t="inlineStr"/>
      <c r="DF1007" t="inlineStr"/>
      <c r="DG1007" t="inlineStr"/>
    </row>
    <row r="1008">
      <c r="A1008" t="inlineStr">
        <is>
          <t>III</t>
        </is>
      </c>
      <c r="B1008" t="b">
        <v>1</v>
      </c>
      <c r="C1008" t="inlineStr"/>
      <c r="D1008" t="inlineStr"/>
      <c r="E1008" t="n">
        <v>1131</v>
      </c>
      <c r="F1008">
        <f>HYPERLINK("https://portal.dnb.de/opac.htm?method=simpleSearch&amp;cqlMode=true&amp;query=idn%3D99405288X", "Portal")</f>
        <v/>
      </c>
      <c r="G1008" t="inlineStr">
        <is>
          <t>Aal</t>
        </is>
      </c>
      <c r="H1008" t="inlineStr">
        <is>
          <t>L-1540-154381578</t>
        </is>
      </c>
      <c r="I1008" t="inlineStr">
        <is>
          <t>99405288X</t>
        </is>
      </c>
      <c r="J1008" t="inlineStr">
        <is>
          <t>III 104, 37 e</t>
        </is>
      </c>
      <c r="K1008" t="inlineStr">
        <is>
          <t>III 104, 37 e</t>
        </is>
      </c>
      <c r="L1008" t="inlineStr">
        <is>
          <t>III 104, 37 e</t>
        </is>
      </c>
      <c r="M1008" t="inlineStr"/>
      <c r="N1008" t="inlineStr">
        <is>
          <t>Bekantnus des|| Glaubens:|| Die Robertus Barns, Der|| Heiligen Schrifft Doctor [jnn|| Deudschem Lande D. Antoni=||us genent] zu Lunden jnn Eng=||ellan</t>
        </is>
      </c>
      <c r="O1008" t="inlineStr">
        <is>
          <t xml:space="preserve"> : </t>
        </is>
      </c>
      <c r="P1008" t="inlineStr"/>
      <c r="Q1008" t="inlineStr"/>
      <c r="R1008" t="inlineStr"/>
      <c r="S1008" t="inlineStr">
        <is>
          <t>bis 25 cm</t>
        </is>
      </c>
      <c r="T1008" t="inlineStr"/>
      <c r="U1008" t="inlineStr"/>
      <c r="V1008" t="inlineStr"/>
      <c r="W1008" t="inlineStr"/>
      <c r="X1008" t="inlineStr"/>
      <c r="Y1008" t="inlineStr"/>
      <c r="Z1008" t="inlineStr"/>
      <c r="AA1008" t="inlineStr"/>
      <c r="AB1008" t="inlineStr"/>
      <c r="AC1008" t="inlineStr"/>
      <c r="AD1008" t="inlineStr"/>
      <c r="AE1008" t="inlineStr"/>
      <c r="AF1008" t="inlineStr"/>
      <c r="AG1008" t="inlineStr"/>
      <c r="AH1008" t="inlineStr"/>
      <c r="AI1008" t="inlineStr">
        <is>
          <t>HPg</t>
        </is>
      </c>
      <c r="AJ1008" t="inlineStr"/>
      <c r="AK1008" t="inlineStr"/>
      <c r="AL1008" t="inlineStr">
        <is>
          <t>x</t>
        </is>
      </c>
      <c r="AM1008" t="inlineStr">
        <is>
          <t>h/E</t>
        </is>
      </c>
      <c r="AN1008" t="inlineStr"/>
      <c r="AO1008" t="inlineStr"/>
      <c r="AP1008" t="inlineStr"/>
      <c r="AQ1008" t="inlineStr"/>
      <c r="AR1008" t="inlineStr"/>
      <c r="AS1008" t="inlineStr">
        <is>
          <t>Pa</t>
        </is>
      </c>
      <c r="AT1008" t="inlineStr"/>
      <c r="AU1008" t="inlineStr"/>
      <c r="AV1008" t="inlineStr"/>
      <c r="AW1008" t="inlineStr"/>
      <c r="AX1008" t="inlineStr"/>
      <c r="AY1008" t="inlineStr"/>
      <c r="AZ1008" t="inlineStr"/>
      <c r="BA1008" t="inlineStr"/>
      <c r="BB1008" t="inlineStr"/>
      <c r="BC1008" t="inlineStr"/>
      <c r="BD1008" t="inlineStr"/>
      <c r="BE1008" t="inlineStr"/>
      <c r="BF1008" t="inlineStr"/>
      <c r="BG1008" t="n">
        <v>110</v>
      </c>
      <c r="BH1008" t="inlineStr"/>
      <c r="BI1008" t="inlineStr"/>
      <c r="BJ1008" t="inlineStr"/>
      <c r="BK1008" t="inlineStr">
        <is>
          <t>x</t>
        </is>
      </c>
      <c r="BL1008" t="inlineStr">
        <is>
          <t>x</t>
        </is>
      </c>
      <c r="BM1008" t="inlineStr">
        <is>
          <t>n</t>
        </is>
      </c>
      <c r="BN1008" t="n">
        <v>0</v>
      </c>
      <c r="BO1008" t="inlineStr"/>
      <c r="BP1008" t="inlineStr"/>
      <c r="BQ1008" t="inlineStr"/>
      <c r="BR1008" t="inlineStr"/>
      <c r="BS1008" t="inlineStr"/>
      <c r="BT1008" t="inlineStr"/>
      <c r="BU1008" t="inlineStr"/>
      <c r="BV1008" t="inlineStr"/>
      <c r="BW1008" t="inlineStr"/>
      <c r="BX1008" t="inlineStr"/>
      <c r="BY1008" t="inlineStr"/>
      <c r="BZ1008" t="inlineStr"/>
      <c r="CA1008" t="inlineStr"/>
      <c r="CB1008" t="inlineStr"/>
      <c r="CC1008" t="inlineStr"/>
      <c r="CD1008" t="inlineStr"/>
      <c r="CE1008" t="inlineStr"/>
      <c r="CF1008" t="inlineStr"/>
      <c r="CG1008" t="inlineStr"/>
      <c r="CH1008" t="inlineStr"/>
      <c r="CI1008" t="inlineStr"/>
      <c r="CJ1008" t="inlineStr"/>
      <c r="CK1008" t="inlineStr"/>
      <c r="CL1008" t="inlineStr"/>
      <c r="CM1008" t="inlineStr"/>
      <c r="CN1008" t="inlineStr"/>
      <c r="CO1008" t="inlineStr"/>
      <c r="CP1008" t="inlineStr"/>
      <c r="CQ1008" t="inlineStr"/>
      <c r="CR1008" t="inlineStr"/>
      <c r="CS1008" t="inlineStr"/>
      <c r="CT1008" t="inlineStr"/>
      <c r="CU1008" t="inlineStr"/>
      <c r="CV1008" t="inlineStr"/>
      <c r="CW1008" t="inlineStr"/>
      <c r="CX1008" t="inlineStr"/>
      <c r="CY1008" t="inlineStr"/>
      <c r="CZ1008" t="inlineStr"/>
      <c r="DA1008" t="inlineStr"/>
      <c r="DB1008" t="inlineStr"/>
      <c r="DC1008" t="inlineStr"/>
      <c r="DD1008" t="inlineStr"/>
      <c r="DE1008" t="inlineStr"/>
      <c r="DF1008" t="inlineStr"/>
      <c r="DG1008" t="inlineStr"/>
    </row>
    <row r="1009">
      <c r="A1009" t="inlineStr">
        <is>
          <t>III</t>
        </is>
      </c>
      <c r="B1009" t="b">
        <v>1</v>
      </c>
      <c r="C1009" t="inlineStr"/>
      <c r="D1009" t="inlineStr"/>
      <c r="E1009" t="n">
        <v>1132</v>
      </c>
      <c r="F1009">
        <f>HYPERLINK("https://portal.dnb.de/opac.htm?method=simpleSearch&amp;cqlMode=true&amp;query=idn%3D997002131", "Portal")</f>
        <v/>
      </c>
      <c r="G1009" t="inlineStr">
        <is>
          <t>Aal</t>
        </is>
      </c>
      <c r="H1009" t="inlineStr">
        <is>
          <t>L-1536-163195579</t>
        </is>
      </c>
      <c r="I1009" t="inlineStr">
        <is>
          <t>997002131</t>
        </is>
      </c>
      <c r="J1009" t="inlineStr">
        <is>
          <t>III 104, 37 f</t>
        </is>
      </c>
      <c r="K1009" t="inlineStr">
        <is>
          <t>III 104, 37 f</t>
        </is>
      </c>
      <c r="L1009" t="inlineStr">
        <is>
          <t>III 104, 37 f</t>
        </is>
      </c>
      <c r="M1009" t="inlineStr"/>
      <c r="N1009" t="inlineStr">
        <is>
          <t xml:space="preserve">Woher Thumherrn Canonici|| heissen, Vnd was jr vnd etlich=||er anderer jrer Thumpfahfen|| vrsprüngliche Empter,|| gewesen sind|| Dialogus : </t>
        </is>
      </c>
      <c r="O1009" t="inlineStr">
        <is>
          <t xml:space="preserve"> : </t>
        </is>
      </c>
      <c r="P1009" t="inlineStr"/>
      <c r="Q1009" t="inlineStr"/>
      <c r="R1009" t="inlineStr"/>
      <c r="S1009" t="inlineStr">
        <is>
          <t>bis 25 cm</t>
        </is>
      </c>
      <c r="T1009" t="inlineStr"/>
      <c r="U1009" t="inlineStr"/>
      <c r="V1009" t="inlineStr"/>
      <c r="W1009" t="inlineStr"/>
      <c r="X1009" t="inlineStr"/>
      <c r="Y1009" t="inlineStr"/>
      <c r="Z1009" t="inlineStr"/>
      <c r="AA1009" t="inlineStr"/>
      <c r="AB1009" t="inlineStr"/>
      <c r="AC1009" t="inlineStr"/>
      <c r="AD1009" t="inlineStr"/>
      <c r="AE1009" t="inlineStr"/>
      <c r="AF1009" t="inlineStr"/>
      <c r="AG1009" t="inlineStr"/>
      <c r="AH1009" t="inlineStr"/>
      <c r="AI1009" t="inlineStr">
        <is>
          <t>HPg</t>
        </is>
      </c>
      <c r="AJ1009" t="inlineStr"/>
      <c r="AK1009" t="inlineStr"/>
      <c r="AL1009" t="inlineStr">
        <is>
          <t>x</t>
        </is>
      </c>
      <c r="AM1009" t="inlineStr">
        <is>
          <t>h/E</t>
        </is>
      </c>
      <c r="AN1009" t="inlineStr"/>
      <c r="AO1009" t="inlineStr"/>
      <c r="AP1009" t="inlineStr"/>
      <c r="AQ1009" t="inlineStr"/>
      <c r="AR1009" t="inlineStr"/>
      <c r="AS1009" t="inlineStr">
        <is>
          <t>Pa</t>
        </is>
      </c>
      <c r="AT1009" t="inlineStr"/>
      <c r="AU1009" t="inlineStr"/>
      <c r="AV1009" t="inlineStr"/>
      <c r="AW1009" t="inlineStr"/>
      <c r="AX1009" t="inlineStr"/>
      <c r="AY1009" t="inlineStr"/>
      <c r="AZ1009" t="inlineStr"/>
      <c r="BA1009" t="inlineStr"/>
      <c r="BB1009" t="inlineStr"/>
      <c r="BC1009" t="inlineStr"/>
      <c r="BD1009" t="inlineStr"/>
      <c r="BE1009" t="inlineStr"/>
      <c r="BF1009" t="inlineStr"/>
      <c r="BG1009" t="n">
        <v>110</v>
      </c>
      <c r="BH1009" t="inlineStr"/>
      <c r="BI1009" t="inlineStr"/>
      <c r="BJ1009" t="inlineStr"/>
      <c r="BK1009" t="inlineStr">
        <is>
          <t>x</t>
        </is>
      </c>
      <c r="BL1009" t="inlineStr">
        <is>
          <t>x</t>
        </is>
      </c>
      <c r="BM1009" t="inlineStr">
        <is>
          <t>n</t>
        </is>
      </c>
      <c r="BN1009" t="n">
        <v>0</v>
      </c>
      <c r="BO1009" t="inlineStr"/>
      <c r="BP1009" t="inlineStr"/>
      <c r="BQ1009" t="inlineStr"/>
      <c r="BR1009" t="inlineStr"/>
      <c r="BS1009" t="inlineStr"/>
      <c r="BT1009" t="inlineStr"/>
      <c r="BU1009" t="inlineStr"/>
      <c r="BV1009" t="inlineStr"/>
      <c r="BW1009" t="inlineStr"/>
      <c r="BX1009" t="inlineStr"/>
      <c r="BY1009" t="inlineStr"/>
      <c r="BZ1009" t="inlineStr"/>
      <c r="CA1009" t="inlineStr"/>
      <c r="CB1009" t="inlineStr"/>
      <c r="CC1009" t="inlineStr"/>
      <c r="CD1009" t="inlineStr"/>
      <c r="CE1009" t="inlineStr"/>
      <c r="CF1009" t="inlineStr"/>
      <c r="CG1009" t="inlineStr"/>
      <c r="CH1009" t="inlineStr"/>
      <c r="CI1009" t="inlineStr"/>
      <c r="CJ1009" t="inlineStr"/>
      <c r="CK1009" t="inlineStr"/>
      <c r="CL1009" t="inlineStr"/>
      <c r="CM1009" t="inlineStr"/>
      <c r="CN1009" t="inlineStr"/>
      <c r="CO1009" t="inlineStr"/>
      <c r="CP1009" t="inlineStr"/>
      <c r="CQ1009" t="inlineStr"/>
      <c r="CR1009" t="inlineStr"/>
      <c r="CS1009" t="inlineStr"/>
      <c r="CT1009" t="inlineStr"/>
      <c r="CU1009" t="inlineStr"/>
      <c r="CV1009" t="inlineStr"/>
      <c r="CW1009" t="inlineStr"/>
      <c r="CX1009" t="inlineStr"/>
      <c r="CY1009" t="inlineStr"/>
      <c r="CZ1009" t="inlineStr"/>
      <c r="DA1009" t="inlineStr"/>
      <c r="DB1009" t="inlineStr"/>
      <c r="DC1009" t="inlineStr"/>
      <c r="DD1009" t="inlineStr"/>
      <c r="DE1009" t="inlineStr"/>
      <c r="DF1009" t="inlineStr"/>
      <c r="DG1009" t="inlineStr"/>
    </row>
    <row r="1010">
      <c r="A1010" t="inlineStr">
        <is>
          <t>III</t>
        </is>
      </c>
      <c r="B1010" t="b">
        <v>1</v>
      </c>
      <c r="C1010" t="inlineStr"/>
      <c r="D1010" t="inlineStr"/>
      <c r="E1010" t="n">
        <v>1133</v>
      </c>
      <c r="F1010">
        <f>HYPERLINK("https://portal.dnb.de/opac.htm?method=simpleSearch&amp;cqlMode=true&amp;query=idn%3D998887307", "Portal")</f>
        <v/>
      </c>
      <c r="G1010" t="inlineStr">
        <is>
          <t>Aal</t>
        </is>
      </c>
      <c r="H1010" t="inlineStr">
        <is>
          <t>L-1542-167110535</t>
        </is>
      </c>
      <c r="I1010" t="inlineStr">
        <is>
          <t>998887307</t>
        </is>
      </c>
      <c r="J1010" t="inlineStr">
        <is>
          <t>III 104, 37 g</t>
        </is>
      </c>
      <c r="K1010" t="inlineStr">
        <is>
          <t>III 104, 37 g</t>
        </is>
      </c>
      <c r="L1010" t="inlineStr">
        <is>
          <t>III 104, 37 g</t>
        </is>
      </c>
      <c r="M1010" t="inlineStr"/>
      <c r="N1010" t="inlineStr">
        <is>
          <t>Exempel, Ei=||nen Rechten Christ=||lichen Bischoff zu|| Weihen|| : Geschehen zur Neumburg,|| Anno 1542</t>
        </is>
      </c>
      <c r="O1010" t="inlineStr">
        <is>
          <t xml:space="preserve"> : </t>
        </is>
      </c>
      <c r="P1010" t="inlineStr"/>
      <c r="Q1010" t="inlineStr"/>
      <c r="R1010" t="inlineStr"/>
      <c r="S1010" t="inlineStr">
        <is>
          <t>bis 25 cm</t>
        </is>
      </c>
      <c r="T1010" t="inlineStr"/>
      <c r="U1010" t="inlineStr"/>
      <c r="V1010" t="inlineStr"/>
      <c r="W1010" t="inlineStr"/>
      <c r="X1010" t="inlineStr"/>
      <c r="Y1010" t="inlineStr"/>
      <c r="Z1010" t="inlineStr"/>
      <c r="AA1010" t="inlineStr"/>
      <c r="AB1010" t="inlineStr"/>
      <c r="AC1010" t="inlineStr"/>
      <c r="AD1010" t="inlineStr"/>
      <c r="AE1010" t="inlineStr"/>
      <c r="AF1010" t="inlineStr"/>
      <c r="AG1010" t="inlineStr"/>
      <c r="AH1010" t="inlineStr"/>
      <c r="AI1010" t="inlineStr">
        <is>
          <t>HPg</t>
        </is>
      </c>
      <c r="AJ1010" t="inlineStr"/>
      <c r="AK1010" t="inlineStr"/>
      <c r="AL1010" t="inlineStr"/>
      <c r="AM1010" t="inlineStr">
        <is>
          <t>h/E</t>
        </is>
      </c>
      <c r="AN1010" t="inlineStr"/>
      <c r="AO1010" t="inlineStr"/>
      <c r="AP1010" t="inlineStr"/>
      <c r="AQ1010" t="inlineStr"/>
      <c r="AR1010" t="inlineStr"/>
      <c r="AS1010" t="inlineStr">
        <is>
          <t>Pa</t>
        </is>
      </c>
      <c r="AT1010" t="inlineStr"/>
      <c r="AU1010" t="inlineStr"/>
      <c r="AV1010" t="inlineStr"/>
      <c r="AW1010" t="inlineStr"/>
      <c r="AX1010" t="inlineStr"/>
      <c r="AY1010" t="inlineStr"/>
      <c r="AZ1010" t="inlineStr"/>
      <c r="BA1010" t="inlineStr"/>
      <c r="BB1010" t="inlineStr"/>
      <c r="BC1010" t="inlineStr"/>
      <c r="BD1010" t="inlineStr"/>
      <c r="BE1010" t="inlineStr"/>
      <c r="BF1010" t="inlineStr"/>
      <c r="BG1010" t="n">
        <v>110</v>
      </c>
      <c r="BH1010" t="inlineStr"/>
      <c r="BI1010" t="inlineStr"/>
      <c r="BJ1010" t="inlineStr"/>
      <c r="BK1010" t="inlineStr"/>
      <c r="BL1010" t="inlineStr"/>
      <c r="BM1010" t="inlineStr">
        <is>
          <t>n</t>
        </is>
      </c>
      <c r="BN1010" t="n">
        <v>0</v>
      </c>
      <c r="BO1010" t="inlineStr"/>
      <c r="BP1010" t="inlineStr"/>
      <c r="BQ1010" t="inlineStr"/>
      <c r="BR1010" t="inlineStr"/>
      <c r="BS1010" t="inlineStr"/>
      <c r="BT1010" t="inlineStr"/>
      <c r="BU1010" t="inlineStr"/>
      <c r="BV1010" t="inlineStr"/>
      <c r="BW1010" t="inlineStr"/>
      <c r="BX1010" t="inlineStr"/>
      <c r="BY1010" t="inlineStr"/>
      <c r="BZ1010" t="inlineStr"/>
      <c r="CA1010" t="inlineStr"/>
      <c r="CB1010" t="inlineStr"/>
      <c r="CC1010" t="inlineStr"/>
      <c r="CD1010" t="inlineStr"/>
      <c r="CE1010" t="inlineStr"/>
      <c r="CF1010" t="inlineStr"/>
      <c r="CG1010" t="inlineStr"/>
      <c r="CH1010" t="inlineStr"/>
      <c r="CI1010" t="inlineStr"/>
      <c r="CJ1010" t="inlineStr"/>
      <c r="CK1010" t="inlineStr"/>
      <c r="CL1010" t="inlineStr"/>
      <c r="CM1010" t="inlineStr"/>
      <c r="CN1010" t="inlineStr"/>
      <c r="CO1010" t="inlineStr"/>
      <c r="CP1010" t="inlineStr"/>
      <c r="CQ1010" t="inlineStr"/>
      <c r="CR1010" t="inlineStr"/>
      <c r="CS1010" t="inlineStr"/>
      <c r="CT1010" t="inlineStr"/>
      <c r="CU1010" t="inlineStr"/>
      <c r="CV1010" t="inlineStr"/>
      <c r="CW1010" t="inlineStr"/>
      <c r="CX1010" t="inlineStr"/>
      <c r="CY1010" t="inlineStr"/>
      <c r="CZ1010" t="inlineStr"/>
      <c r="DA1010" t="inlineStr"/>
      <c r="DB1010" t="inlineStr"/>
      <c r="DC1010" t="inlineStr"/>
      <c r="DD1010" t="inlineStr"/>
      <c r="DE1010" t="inlineStr"/>
      <c r="DF1010" t="inlineStr"/>
      <c r="DG1010" t="inlineStr"/>
    </row>
    <row r="1011">
      <c r="A1011" t="inlineStr">
        <is>
          <t>III</t>
        </is>
      </c>
      <c r="B1011" t="b">
        <v>1</v>
      </c>
      <c r="C1011" t="inlineStr"/>
      <c r="D1011" t="inlineStr"/>
      <c r="E1011" t="n">
        <v>1134</v>
      </c>
      <c r="F1011">
        <f>HYPERLINK("https://portal.dnb.de/opac.htm?method=simpleSearch&amp;cqlMode=true&amp;query=idn%3D981293468", "Portal")</f>
        <v/>
      </c>
      <c r="G1011" t="inlineStr">
        <is>
          <t>Aa</t>
        </is>
      </c>
      <c r="H1011" t="inlineStr">
        <is>
          <t>L-2006-318808</t>
        </is>
      </c>
      <c r="I1011" t="inlineStr">
        <is>
          <t>981293468</t>
        </is>
      </c>
      <c r="J1011" t="inlineStr">
        <is>
          <t>III 104, 37 h</t>
        </is>
      </c>
      <c r="K1011" t="inlineStr">
        <is>
          <t>III 104, 37 h</t>
        </is>
      </c>
      <c r="L1011" t="inlineStr">
        <is>
          <t>III 104, 37 h</t>
        </is>
      </c>
      <c r="M1011" t="inlineStr"/>
      <c r="N1011" t="inlineStr">
        <is>
          <t xml:space="preserve">Verantwortung der auffgelegten Auffrur, von Hertzog Georgen, sampt einem Trostbrieff an die Christen, von jhm aus Leiptzig unschuldig veriagt : </t>
        </is>
      </c>
      <c r="O1011" t="inlineStr">
        <is>
          <t xml:space="preserve"> : </t>
        </is>
      </c>
      <c r="P1011" t="inlineStr"/>
      <c r="Q1011" t="inlineStr"/>
      <c r="R1011" t="inlineStr"/>
      <c r="S1011" t="inlineStr">
        <is>
          <t>bis 25 cm</t>
        </is>
      </c>
      <c r="T1011" t="inlineStr"/>
      <c r="U1011" t="inlineStr"/>
      <c r="V1011" t="inlineStr"/>
      <c r="W1011" t="inlineStr"/>
      <c r="X1011" t="inlineStr"/>
      <c r="Y1011" t="inlineStr"/>
      <c r="Z1011" t="inlineStr"/>
      <c r="AA1011" t="inlineStr"/>
      <c r="AB1011" t="inlineStr"/>
      <c r="AC1011" t="inlineStr"/>
      <c r="AD1011" t="inlineStr"/>
      <c r="AE1011" t="inlineStr"/>
      <c r="AF1011" t="inlineStr"/>
      <c r="AG1011" t="inlineStr"/>
      <c r="AH1011" t="inlineStr"/>
      <c r="AI1011" t="inlineStr">
        <is>
          <t>Br</t>
        </is>
      </c>
      <c r="AJ1011" t="inlineStr"/>
      <c r="AK1011" t="inlineStr"/>
      <c r="AL1011" t="inlineStr"/>
      <c r="AM1011" t="inlineStr">
        <is>
          <t>f</t>
        </is>
      </c>
      <c r="AN1011" t="inlineStr"/>
      <c r="AO1011" t="inlineStr"/>
      <c r="AP1011" t="inlineStr"/>
      <c r="AQ1011" t="inlineStr"/>
      <c r="AR1011" t="inlineStr"/>
      <c r="AS1011" t="inlineStr">
        <is>
          <t>Pa</t>
        </is>
      </c>
      <c r="AT1011" t="inlineStr"/>
      <c r="AU1011" t="inlineStr"/>
      <c r="AV1011" t="inlineStr"/>
      <c r="AW1011" t="inlineStr"/>
      <c r="AX1011" t="inlineStr"/>
      <c r="AY1011" t="inlineStr"/>
      <c r="AZ1011" t="inlineStr"/>
      <c r="BA1011" t="inlineStr"/>
      <c r="BB1011" t="inlineStr"/>
      <c r="BC1011" t="inlineStr"/>
      <c r="BD1011" t="inlineStr"/>
      <c r="BE1011" t="inlineStr"/>
      <c r="BF1011" t="inlineStr"/>
      <c r="BG1011" t="inlineStr">
        <is>
          <t>nur 110</t>
        </is>
      </c>
      <c r="BH1011" t="inlineStr"/>
      <c r="BI1011" t="inlineStr"/>
      <c r="BJ1011" t="inlineStr"/>
      <c r="BK1011" t="inlineStr"/>
      <c r="BL1011" t="inlineStr"/>
      <c r="BM1011" t="inlineStr">
        <is>
          <t>n</t>
        </is>
      </c>
      <c r="BN1011" t="n">
        <v>0</v>
      </c>
      <c r="BO1011" t="inlineStr"/>
      <c r="BP1011" t="inlineStr"/>
      <c r="BQ1011" t="inlineStr"/>
      <c r="BR1011" t="inlineStr"/>
      <c r="BS1011" t="inlineStr">
        <is>
          <t>x</t>
        </is>
      </c>
      <c r="BT1011" t="inlineStr"/>
      <c r="BU1011" t="inlineStr"/>
      <c r="BV1011" t="inlineStr"/>
      <c r="BW1011" t="inlineStr"/>
      <c r="BX1011" t="inlineStr"/>
      <c r="BY1011" t="inlineStr"/>
      <c r="BZ1011" t="inlineStr"/>
      <c r="CA1011" t="inlineStr"/>
      <c r="CB1011" t="inlineStr"/>
      <c r="CC1011" t="inlineStr"/>
      <c r="CD1011" t="inlineStr"/>
      <c r="CE1011" t="inlineStr"/>
      <c r="CF1011" t="inlineStr"/>
      <c r="CG1011" t="inlineStr"/>
      <c r="CH1011" t="inlineStr"/>
      <c r="CI1011" t="inlineStr"/>
      <c r="CJ1011" t="inlineStr"/>
      <c r="CK1011" t="inlineStr"/>
      <c r="CL1011" t="inlineStr"/>
      <c r="CM1011" t="inlineStr"/>
      <c r="CN1011" t="inlineStr"/>
      <c r="CO1011" t="inlineStr"/>
      <c r="CP1011" t="inlineStr"/>
      <c r="CQ1011" t="inlineStr"/>
      <c r="CR1011" t="inlineStr"/>
      <c r="CS1011" t="inlineStr"/>
      <c r="CT1011" t="inlineStr"/>
      <c r="CU1011" t="inlineStr"/>
      <c r="CV1011" t="inlineStr"/>
      <c r="CW1011" t="inlineStr"/>
      <c r="CX1011" t="inlineStr"/>
      <c r="CY1011" t="inlineStr"/>
      <c r="CZ1011" t="inlineStr"/>
      <c r="DA1011" t="inlineStr"/>
      <c r="DB1011" t="inlineStr"/>
      <c r="DC1011" t="inlineStr"/>
      <c r="DD1011" t="inlineStr"/>
      <c r="DE1011" t="inlineStr"/>
      <c r="DF1011" t="inlineStr"/>
      <c r="DG1011" t="inlineStr"/>
    </row>
    <row r="1012">
      <c r="A1012" t="inlineStr">
        <is>
          <t>III</t>
        </is>
      </c>
      <c r="B1012" t="b">
        <v>1</v>
      </c>
      <c r="C1012" t="inlineStr"/>
      <c r="D1012" t="inlineStr"/>
      <c r="E1012" t="n">
        <v>1063</v>
      </c>
      <c r="F1012">
        <f>HYPERLINK("https://portal.dnb.de/opac.htm?method=simpleSearch&amp;cqlMode=true&amp;query=idn%3D1066963304", "Portal")</f>
        <v/>
      </c>
      <c r="G1012" t="inlineStr">
        <is>
          <t>Aaf</t>
        </is>
      </c>
      <c r="H1012" t="inlineStr">
        <is>
          <t>L-1523-315493569</t>
        </is>
      </c>
      <c r="I1012" t="inlineStr">
        <is>
          <t>1066963304</t>
        </is>
      </c>
      <c r="J1012" t="inlineStr">
        <is>
          <t>III 104, 38</t>
        </is>
      </c>
      <c r="K1012" t="inlineStr">
        <is>
          <t>III 104, 38</t>
        </is>
      </c>
      <c r="L1012" t="inlineStr">
        <is>
          <t>III 104, 38</t>
        </is>
      </c>
      <c r="M1012" t="inlineStr"/>
      <c r="N1012" t="inlineStr">
        <is>
          <t>Eyn @Missiue oder Sendbrieff/|| so die Ebtissin vń Nürmberg/ an den|| Hochberümbten Bock Empser|| geschrib? hat/ fast künstlich|| vnd geystlich/ auch|</t>
        </is>
      </c>
      <c r="O1012" t="inlineStr">
        <is>
          <t xml:space="preserve"> : </t>
        </is>
      </c>
      <c r="P1012" t="inlineStr"/>
      <c r="Q1012" t="inlineStr"/>
      <c r="R1012" t="inlineStr"/>
      <c r="S1012" t="inlineStr">
        <is>
          <t>bis 25 cm</t>
        </is>
      </c>
      <c r="T1012" t="inlineStr"/>
      <c r="U1012" t="inlineStr"/>
      <c r="V1012" t="inlineStr"/>
      <c r="W1012" t="inlineStr"/>
      <c r="X1012" t="inlineStr"/>
      <c r="Y1012" t="inlineStr"/>
      <c r="Z1012" t="inlineStr"/>
      <c r="AA1012" t="inlineStr"/>
      <c r="AB1012" t="inlineStr"/>
      <c r="AC1012" t="inlineStr"/>
      <c r="AD1012" t="inlineStr"/>
      <c r="AE1012" t="inlineStr"/>
      <c r="AF1012" t="inlineStr"/>
      <c r="AG1012" t="inlineStr"/>
      <c r="AH1012" t="inlineStr"/>
      <c r="AI1012" t="inlineStr">
        <is>
          <t>Pg</t>
        </is>
      </c>
      <c r="AJ1012" t="inlineStr"/>
      <c r="AK1012" t="inlineStr">
        <is>
          <t>x</t>
        </is>
      </c>
      <c r="AL1012" t="inlineStr"/>
      <c r="AM1012" t="inlineStr">
        <is>
          <t>h/E</t>
        </is>
      </c>
      <c r="AN1012" t="inlineStr"/>
      <c r="AO1012" t="inlineStr"/>
      <c r="AP1012" t="inlineStr"/>
      <c r="AQ1012" t="inlineStr"/>
      <c r="AR1012" t="inlineStr"/>
      <c r="AS1012" t="inlineStr">
        <is>
          <t>Pa</t>
        </is>
      </c>
      <c r="AT1012" t="inlineStr"/>
      <c r="AU1012" t="inlineStr"/>
      <c r="AV1012" t="inlineStr"/>
      <c r="AW1012" t="inlineStr"/>
      <c r="AX1012" t="inlineStr"/>
      <c r="AY1012" t="inlineStr"/>
      <c r="AZ1012" t="inlineStr"/>
      <c r="BA1012" t="inlineStr"/>
      <c r="BB1012" t="inlineStr"/>
      <c r="BC1012" t="inlineStr"/>
      <c r="BD1012" t="inlineStr"/>
      <c r="BE1012" t="inlineStr"/>
      <c r="BF1012" t="inlineStr"/>
      <c r="BG1012" t="n">
        <v>110</v>
      </c>
      <c r="BH1012" t="inlineStr"/>
      <c r="BI1012" t="inlineStr"/>
      <c r="BJ1012" t="inlineStr"/>
      <c r="BK1012" t="inlineStr"/>
      <c r="BL1012" t="inlineStr"/>
      <c r="BM1012" t="inlineStr">
        <is>
          <t>n</t>
        </is>
      </c>
      <c r="BN1012" t="n">
        <v>0</v>
      </c>
      <c r="BO1012" t="inlineStr"/>
      <c r="BP1012" t="inlineStr"/>
      <c r="BQ1012" t="inlineStr"/>
      <c r="BR1012" t="inlineStr"/>
      <c r="BS1012" t="inlineStr"/>
      <c r="BT1012" t="inlineStr"/>
      <c r="BU1012" t="inlineStr"/>
      <c r="BV1012" t="inlineStr"/>
      <c r="BW1012" t="inlineStr"/>
      <c r="BX1012" t="inlineStr"/>
      <c r="BY1012" t="inlineStr"/>
      <c r="BZ1012" t="inlineStr"/>
      <c r="CA1012" t="inlineStr"/>
      <c r="CB1012" t="inlineStr"/>
      <c r="CC1012" t="inlineStr"/>
      <c r="CD1012" t="inlineStr"/>
      <c r="CE1012" t="inlineStr"/>
      <c r="CF1012" t="inlineStr"/>
      <c r="CG1012" t="inlineStr"/>
      <c r="CH1012" t="inlineStr"/>
      <c r="CI1012" t="inlineStr"/>
      <c r="CJ1012" t="inlineStr"/>
      <c r="CK1012" t="inlineStr"/>
      <c r="CL1012" t="inlineStr"/>
      <c r="CM1012" t="inlineStr"/>
      <c r="CN1012" t="inlineStr"/>
      <c r="CO1012" t="inlineStr"/>
      <c r="CP1012" t="inlineStr"/>
      <c r="CQ1012" t="inlineStr"/>
      <c r="CR1012" t="inlineStr"/>
      <c r="CS1012" t="inlineStr"/>
      <c r="CT1012" t="inlineStr"/>
      <c r="CU1012" t="inlineStr"/>
      <c r="CV1012" t="inlineStr"/>
      <c r="CW1012" t="inlineStr"/>
      <c r="CX1012" t="inlineStr"/>
      <c r="CY1012" t="inlineStr"/>
      <c r="CZ1012" t="inlineStr"/>
      <c r="DA1012" t="inlineStr"/>
      <c r="DB1012" t="inlineStr"/>
      <c r="DC1012" t="inlineStr"/>
      <c r="DD1012" t="inlineStr"/>
      <c r="DE1012" t="inlineStr"/>
      <c r="DF1012" t="inlineStr"/>
      <c r="DG1012" t="inlineStr"/>
    </row>
    <row r="1013">
      <c r="A1013" t="inlineStr">
        <is>
          <t>III</t>
        </is>
      </c>
      <c r="B1013" t="b">
        <v>1</v>
      </c>
      <c r="C1013" t="inlineStr"/>
      <c r="D1013" t="inlineStr"/>
      <c r="E1013" t="inlineStr"/>
      <c r="F1013">
        <f>HYPERLINK("https://portal.dnb.de/opac.htm?method=simpleSearch&amp;cqlMode=true&amp;query=idn%3D1137891580", "Portal")</f>
        <v/>
      </c>
      <c r="G1013" t="inlineStr">
        <is>
          <t>Qd</t>
        </is>
      </c>
      <c r="H1013" t="inlineStr">
        <is>
          <t>L-9999-414172809</t>
        </is>
      </c>
      <c r="I1013" t="inlineStr">
        <is>
          <t>1137891580</t>
        </is>
      </c>
      <c r="J1013" t="inlineStr">
        <is>
          <t>III 104, 39</t>
        </is>
      </c>
      <c r="K1013" t="inlineStr">
        <is>
          <t>III 104, 39</t>
        </is>
      </c>
      <c r="L1013" t="inlineStr">
        <is>
          <t>III 104, 39</t>
        </is>
      </c>
      <c r="M1013" t="inlineStr"/>
      <c r="N1013" t="inlineStr">
        <is>
          <t xml:space="preserve">Sammelband Reformationsliteratur : </t>
        </is>
      </c>
      <c r="O1013" t="inlineStr">
        <is>
          <t xml:space="preserve"> : </t>
        </is>
      </c>
      <c r="P1013" t="inlineStr"/>
      <c r="Q1013" t="inlineStr"/>
      <c r="R1013" t="inlineStr"/>
      <c r="S1013" t="inlineStr">
        <is>
          <t>bis 25 cm</t>
        </is>
      </c>
      <c r="T1013" t="inlineStr"/>
      <c r="U1013" t="inlineStr"/>
      <c r="V1013" t="inlineStr"/>
      <c r="W1013" t="inlineStr"/>
      <c r="X1013" t="inlineStr"/>
      <c r="Y1013" t="inlineStr"/>
      <c r="Z1013" t="inlineStr"/>
      <c r="AA1013" t="inlineStr"/>
      <c r="AB1013" t="inlineStr"/>
      <c r="AC1013" t="inlineStr"/>
      <c r="AD1013" t="inlineStr"/>
      <c r="AE1013" t="inlineStr"/>
      <c r="AF1013" t="inlineStr"/>
      <c r="AG1013" t="inlineStr"/>
      <c r="AH1013" t="inlineStr"/>
      <c r="AI1013" t="inlineStr">
        <is>
          <t>L</t>
        </is>
      </c>
      <c r="AJ1013" t="inlineStr"/>
      <c r="AK1013" t="inlineStr">
        <is>
          <t>x</t>
        </is>
      </c>
      <c r="AL1013" t="inlineStr"/>
      <c r="AM1013" t="inlineStr">
        <is>
          <t>h/E</t>
        </is>
      </c>
      <c r="AN1013" t="inlineStr"/>
      <c r="AO1013" t="inlineStr"/>
      <c r="AP1013" t="inlineStr"/>
      <c r="AQ1013" t="inlineStr"/>
      <c r="AR1013" t="inlineStr"/>
      <c r="AS1013" t="inlineStr">
        <is>
          <t>Pa</t>
        </is>
      </c>
      <c r="AT1013" t="inlineStr"/>
      <c r="AU1013" t="inlineStr"/>
      <c r="AV1013" t="inlineStr"/>
      <c r="AW1013" t="inlineStr"/>
      <c r="AX1013" t="inlineStr"/>
      <c r="AY1013" t="inlineStr"/>
      <c r="AZ1013" t="inlineStr"/>
      <c r="BA1013" t="inlineStr"/>
      <c r="BB1013" t="inlineStr"/>
      <c r="BC1013" t="inlineStr"/>
      <c r="BD1013" t="inlineStr"/>
      <c r="BE1013" t="inlineStr"/>
      <c r="BF1013" t="inlineStr"/>
      <c r="BG1013" t="n">
        <v>110</v>
      </c>
      <c r="BH1013" t="inlineStr"/>
      <c r="BI1013" t="inlineStr"/>
      <c r="BJ1013" t="inlineStr"/>
      <c r="BK1013" t="inlineStr"/>
      <c r="BL1013" t="inlineStr"/>
      <c r="BM1013" t="inlineStr">
        <is>
          <t>n</t>
        </is>
      </c>
      <c r="BN1013" t="n">
        <v>0</v>
      </c>
      <c r="BO1013" t="inlineStr"/>
      <c r="BP1013" t="inlineStr"/>
      <c r="BQ1013" t="inlineStr"/>
      <c r="BR1013" t="inlineStr"/>
      <c r="BS1013" t="inlineStr"/>
      <c r="BT1013" t="inlineStr"/>
      <c r="BU1013" t="inlineStr"/>
      <c r="BV1013" t="inlineStr"/>
      <c r="BW1013" t="inlineStr"/>
      <c r="BX1013" t="inlineStr"/>
      <c r="BY1013" t="inlineStr"/>
      <c r="BZ1013" t="inlineStr"/>
      <c r="CA1013" t="inlineStr"/>
      <c r="CB1013" t="inlineStr"/>
      <c r="CC1013" t="inlineStr"/>
      <c r="CD1013" t="inlineStr"/>
      <c r="CE1013" t="inlineStr"/>
      <c r="CF1013" t="inlineStr"/>
      <c r="CG1013" t="inlineStr"/>
      <c r="CH1013" t="inlineStr"/>
      <c r="CI1013" t="inlineStr"/>
      <c r="CJ1013" t="inlineStr"/>
      <c r="CK1013" t="inlineStr"/>
      <c r="CL1013" t="inlineStr"/>
      <c r="CM1013" t="inlineStr"/>
      <c r="CN1013" t="inlineStr"/>
      <c r="CO1013" t="inlineStr"/>
      <c r="CP1013" t="inlineStr"/>
      <c r="CQ1013" t="inlineStr"/>
      <c r="CR1013" t="inlineStr"/>
      <c r="CS1013" t="inlineStr"/>
      <c r="CT1013" t="inlineStr"/>
      <c r="CU1013" t="inlineStr"/>
      <c r="CV1013" t="inlineStr"/>
      <c r="CW1013" t="inlineStr"/>
      <c r="CX1013" t="inlineStr"/>
      <c r="CY1013" t="inlineStr"/>
      <c r="CZ1013" t="inlineStr"/>
      <c r="DA1013" t="inlineStr"/>
      <c r="DB1013" t="inlineStr"/>
      <c r="DC1013" t="inlineStr"/>
      <c r="DD1013" t="inlineStr"/>
      <c r="DE1013" t="inlineStr"/>
      <c r="DF1013" t="inlineStr"/>
      <c r="DG1013" t="inlineStr"/>
    </row>
    <row r="1014">
      <c r="A1014" t="inlineStr">
        <is>
          <t>III</t>
        </is>
      </c>
      <c r="B1014" t="b">
        <v>1</v>
      </c>
      <c r="C1014" t="inlineStr"/>
      <c r="D1014" t="inlineStr"/>
      <c r="E1014" t="n">
        <v>1065</v>
      </c>
      <c r="F1014">
        <f>HYPERLINK("https://portal.dnb.de/opac.htm?method=simpleSearch&amp;cqlMode=true&amp;query=idn%3D1066958394", "Portal")</f>
        <v/>
      </c>
      <c r="G1014" t="inlineStr">
        <is>
          <t>Aaf</t>
        </is>
      </c>
      <c r="H1014" t="inlineStr">
        <is>
          <t>L-1521-315489014</t>
        </is>
      </c>
      <c r="I1014" t="inlineStr">
        <is>
          <t>1066958394</t>
        </is>
      </c>
      <c r="J1014" t="inlineStr">
        <is>
          <t>III 104, 40</t>
        </is>
      </c>
      <c r="K1014" t="inlineStr">
        <is>
          <t>III 104, 40</t>
        </is>
      </c>
      <c r="L1014" t="inlineStr">
        <is>
          <t>III 104, 40</t>
        </is>
      </c>
      <c r="M1014" t="inlineStr"/>
      <c r="N1014" t="inlineStr">
        <is>
          <t>Von der Beycht ob|| die der Bapst ma=||cht habe zu ge=||pieten.|| Doctor Martinus|| Luther.||(Der hundert vnd achtzehend|| Psalm nutzlich zu betten fu</t>
        </is>
      </c>
      <c r="O1014" t="inlineStr">
        <is>
          <t xml:space="preserve"> : </t>
        </is>
      </c>
      <c r="P1014" t="inlineStr"/>
      <c r="Q1014" t="inlineStr"/>
      <c r="R1014" t="inlineStr"/>
      <c r="S1014" t="inlineStr">
        <is>
          <t>bis 25 cm</t>
        </is>
      </c>
      <c r="T1014" t="inlineStr"/>
      <c r="U1014" t="inlineStr"/>
      <c r="V1014" t="inlineStr"/>
      <c r="W1014" t="inlineStr"/>
      <c r="X1014" t="inlineStr"/>
      <c r="Y1014" t="inlineStr"/>
      <c r="Z1014" t="inlineStr"/>
      <c r="AA1014" t="inlineStr"/>
      <c r="AB1014" t="inlineStr"/>
      <c r="AC1014" t="inlineStr"/>
      <c r="AD1014" t="inlineStr"/>
      <c r="AE1014" t="inlineStr"/>
      <c r="AF1014" t="inlineStr"/>
      <c r="AG1014" t="inlineStr"/>
      <c r="AH1014" t="inlineStr"/>
      <c r="AI1014" t="inlineStr">
        <is>
          <t>Br</t>
        </is>
      </c>
      <c r="AJ1014" t="inlineStr"/>
      <c r="AK1014" t="inlineStr"/>
      <c r="AL1014" t="inlineStr"/>
      <c r="AM1014" t="inlineStr">
        <is>
          <t>f</t>
        </is>
      </c>
      <c r="AN1014" t="inlineStr"/>
      <c r="AO1014" t="inlineStr"/>
      <c r="AP1014" t="inlineStr"/>
      <c r="AQ1014" t="inlineStr"/>
      <c r="AR1014" t="inlineStr"/>
      <c r="AS1014" t="inlineStr">
        <is>
          <t>Pa</t>
        </is>
      </c>
      <c r="AT1014" t="inlineStr"/>
      <c r="AU1014" t="inlineStr"/>
      <c r="AV1014" t="inlineStr"/>
      <c r="AW1014" t="inlineStr"/>
      <c r="AX1014" t="inlineStr"/>
      <c r="AY1014" t="inlineStr"/>
      <c r="AZ1014" t="inlineStr"/>
      <c r="BA1014" t="inlineStr"/>
      <c r="BB1014" t="inlineStr"/>
      <c r="BC1014" t="inlineStr"/>
      <c r="BD1014" t="inlineStr"/>
      <c r="BE1014" t="inlineStr"/>
      <c r="BF1014" t="inlineStr"/>
      <c r="BG1014" t="n">
        <v>110</v>
      </c>
      <c r="BH1014" t="inlineStr"/>
      <c r="BI1014" t="inlineStr"/>
      <c r="BJ1014" t="inlineStr"/>
      <c r="BK1014" t="inlineStr"/>
      <c r="BL1014" t="inlineStr"/>
      <c r="BM1014" t="inlineStr">
        <is>
          <t>n</t>
        </is>
      </c>
      <c r="BN1014" t="n">
        <v>0</v>
      </c>
      <c r="BO1014" t="inlineStr"/>
      <c r="BP1014" t="inlineStr"/>
      <c r="BQ1014" t="inlineStr"/>
      <c r="BR1014" t="inlineStr"/>
      <c r="BS1014" t="inlineStr"/>
      <c r="BT1014" t="inlineStr"/>
      <c r="BU1014" t="inlineStr"/>
      <c r="BV1014" t="inlineStr"/>
      <c r="BW1014" t="inlineStr"/>
      <c r="BX1014" t="inlineStr"/>
      <c r="BY1014" t="inlineStr"/>
      <c r="BZ1014" t="inlineStr"/>
      <c r="CA1014" t="inlineStr"/>
      <c r="CB1014" t="inlineStr"/>
      <c r="CC1014" t="inlineStr"/>
      <c r="CD1014" t="inlineStr"/>
      <c r="CE1014" t="inlineStr"/>
      <c r="CF1014" t="inlineStr"/>
      <c r="CG1014" t="inlineStr"/>
      <c r="CH1014" t="inlineStr"/>
      <c r="CI1014" t="inlineStr"/>
      <c r="CJ1014" t="inlineStr"/>
      <c r="CK1014" t="inlineStr"/>
      <c r="CL1014" t="inlineStr"/>
      <c r="CM1014" t="inlineStr"/>
      <c r="CN1014" t="inlineStr"/>
      <c r="CO1014" t="inlineStr"/>
      <c r="CP1014" t="inlineStr"/>
      <c r="CQ1014" t="inlineStr"/>
      <c r="CR1014" t="inlineStr"/>
      <c r="CS1014" t="inlineStr"/>
      <c r="CT1014" t="inlineStr"/>
      <c r="CU1014" t="inlineStr"/>
      <c r="CV1014" t="inlineStr"/>
      <c r="CW1014" t="inlineStr"/>
      <c r="CX1014" t="inlineStr"/>
      <c r="CY1014" t="inlineStr"/>
      <c r="CZ1014" t="inlineStr"/>
      <c r="DA1014" t="inlineStr"/>
      <c r="DB1014" t="inlineStr"/>
      <c r="DC1014" t="inlineStr"/>
      <c r="DD1014" t="inlineStr"/>
      <c r="DE1014" t="inlineStr"/>
      <c r="DF1014" t="inlineStr"/>
      <c r="DG1014" t="inlineStr"/>
    </row>
    <row r="1015">
      <c r="A1015" t="inlineStr">
        <is>
          <t>III</t>
        </is>
      </c>
      <c r="B1015" t="b">
        <v>1</v>
      </c>
      <c r="C1015" t="inlineStr"/>
      <c r="D1015" t="inlineStr"/>
      <c r="E1015" t="n">
        <v>1066</v>
      </c>
      <c r="F1015">
        <f>HYPERLINK("https://portal.dnb.de/opac.htm?method=simpleSearch&amp;cqlMode=true&amp;query=idn%3D999166921", "Portal")</f>
        <v/>
      </c>
      <c r="G1015" t="inlineStr">
        <is>
          <t>Aal</t>
        </is>
      </c>
      <c r="H1015" t="inlineStr">
        <is>
          <t>L-1523-167640313</t>
        </is>
      </c>
      <c r="I1015" t="inlineStr">
        <is>
          <t>999166921</t>
        </is>
      </c>
      <c r="J1015" t="inlineStr">
        <is>
          <t>III 104, 41</t>
        </is>
      </c>
      <c r="K1015" t="inlineStr">
        <is>
          <t>III 104, 41</t>
        </is>
      </c>
      <c r="L1015" t="inlineStr">
        <is>
          <t>III 104, 41</t>
        </is>
      </c>
      <c r="M1015" t="inlineStr"/>
      <c r="N1015" t="inlineStr">
        <is>
          <t xml:space="preserve">Deuttung der czwo grew||lich[n] Figuren Bapstesels|| czu Rom|| vnd Munch||kalbs zu Freyberg|| ynn Meysszen|| funden|| : </t>
        </is>
      </c>
      <c r="O1015" t="inlineStr">
        <is>
          <t xml:space="preserve"> : </t>
        </is>
      </c>
      <c r="P1015" t="inlineStr"/>
      <c r="Q1015" t="inlineStr">
        <is>
          <t>5000,00 EUR</t>
        </is>
      </c>
      <c r="R1015" t="inlineStr"/>
      <c r="S1015" t="inlineStr">
        <is>
          <t>bis 25 cm</t>
        </is>
      </c>
      <c r="T1015" t="inlineStr"/>
      <c r="U1015" t="inlineStr"/>
      <c r="V1015" t="inlineStr"/>
      <c r="W1015" t="inlineStr"/>
      <c r="X1015" t="inlineStr"/>
      <c r="Y1015" t="inlineStr"/>
      <c r="Z1015" t="inlineStr"/>
      <c r="AA1015" t="inlineStr"/>
      <c r="AB1015" t="inlineStr"/>
      <c r="AC1015" t="inlineStr"/>
      <c r="AD1015" t="inlineStr"/>
      <c r="AE1015" t="inlineStr"/>
      <c r="AF1015" t="inlineStr"/>
      <c r="AG1015" t="inlineStr"/>
      <c r="AH1015" t="inlineStr"/>
      <c r="AI1015" t="inlineStr">
        <is>
          <t>HPg</t>
        </is>
      </c>
      <c r="AJ1015" t="inlineStr"/>
      <c r="AK1015" t="inlineStr"/>
      <c r="AL1015" t="inlineStr"/>
      <c r="AM1015" t="inlineStr">
        <is>
          <t>h/E</t>
        </is>
      </c>
      <c r="AN1015" t="inlineStr"/>
      <c r="AO1015" t="inlineStr"/>
      <c r="AP1015" t="inlineStr"/>
      <c r="AQ1015" t="inlineStr"/>
      <c r="AR1015" t="inlineStr"/>
      <c r="AS1015" t="inlineStr">
        <is>
          <t>Pa</t>
        </is>
      </c>
      <c r="AT1015" t="inlineStr"/>
      <c r="AU1015" t="inlineStr"/>
      <c r="AV1015" t="inlineStr"/>
      <c r="AW1015" t="inlineStr"/>
      <c r="AX1015" t="inlineStr"/>
      <c r="AY1015" t="inlineStr"/>
      <c r="AZ1015" t="inlineStr"/>
      <c r="BA1015" t="inlineStr"/>
      <c r="BB1015" t="inlineStr"/>
      <c r="BC1015" t="inlineStr"/>
      <c r="BD1015" t="inlineStr"/>
      <c r="BE1015" t="inlineStr"/>
      <c r="BF1015" t="inlineStr"/>
      <c r="BG1015" t="n">
        <v>110</v>
      </c>
      <c r="BH1015" t="inlineStr"/>
      <c r="BI1015" t="inlineStr"/>
      <c r="BJ1015" t="inlineStr"/>
      <c r="BK1015" t="inlineStr"/>
      <c r="BL1015" t="inlineStr"/>
      <c r="BM1015" t="inlineStr">
        <is>
          <t>n</t>
        </is>
      </c>
      <c r="BN1015" t="n">
        <v>0</v>
      </c>
      <c r="BO1015" t="inlineStr"/>
      <c r="BP1015" t="inlineStr"/>
      <c r="BQ1015" t="inlineStr"/>
      <c r="BR1015" t="inlineStr"/>
      <c r="BS1015" t="inlineStr"/>
      <c r="BT1015" t="inlineStr"/>
      <c r="BU1015" t="inlineStr"/>
      <c r="BV1015" t="inlineStr"/>
      <c r="BW1015" t="inlineStr"/>
      <c r="BX1015" t="inlineStr"/>
      <c r="BY1015" t="inlineStr"/>
      <c r="BZ1015" t="inlineStr"/>
      <c r="CA1015" t="inlineStr"/>
      <c r="CB1015" t="inlineStr"/>
      <c r="CC1015" t="inlineStr"/>
      <c r="CD1015" t="inlineStr"/>
      <c r="CE1015" t="inlineStr"/>
      <c r="CF1015" t="inlineStr"/>
      <c r="CG1015" t="inlineStr"/>
      <c r="CH1015" t="inlineStr"/>
      <c r="CI1015" t="inlineStr"/>
      <c r="CJ1015" t="inlineStr"/>
      <c r="CK1015" t="inlineStr"/>
      <c r="CL1015" t="inlineStr"/>
      <c r="CM1015" t="inlineStr"/>
      <c r="CN1015" t="inlineStr"/>
      <c r="CO1015" t="inlineStr"/>
      <c r="CP1015" t="inlineStr"/>
      <c r="CQ1015" t="inlineStr"/>
      <c r="CR1015" t="inlineStr"/>
      <c r="CS1015" t="inlineStr"/>
      <c r="CT1015" t="inlineStr"/>
      <c r="CU1015" t="inlineStr"/>
      <c r="CV1015" t="inlineStr"/>
      <c r="CW1015" t="inlineStr"/>
      <c r="CX1015" t="inlineStr"/>
      <c r="CY1015" t="inlineStr"/>
      <c r="CZ1015" t="inlineStr"/>
      <c r="DA1015" t="inlineStr"/>
      <c r="DB1015" t="inlineStr"/>
      <c r="DC1015" t="inlineStr"/>
      <c r="DD1015" t="inlineStr"/>
      <c r="DE1015" t="inlineStr"/>
      <c r="DF1015" t="inlineStr"/>
      <c r="DG1015" t="inlineStr"/>
    </row>
    <row r="1016">
      <c r="A1016" t="inlineStr">
        <is>
          <t>III</t>
        </is>
      </c>
      <c r="B1016" t="b">
        <v>1</v>
      </c>
      <c r="C1016" t="inlineStr"/>
      <c r="D1016" t="inlineStr"/>
      <c r="E1016" t="inlineStr"/>
      <c r="F1016">
        <f>HYPERLINK("https://portal.dnb.de/opac.htm?method=simpleSearch&amp;cqlMode=true&amp;query=idn%3D1268681660", "Portal")</f>
        <v/>
      </c>
      <c r="G1016" t="inlineStr">
        <is>
          <t>Qd</t>
        </is>
      </c>
      <c r="H1016" t="inlineStr">
        <is>
          <t>L-1555-833777297</t>
        </is>
      </c>
      <c r="I1016" t="inlineStr">
        <is>
          <t>1268681660</t>
        </is>
      </c>
      <c r="J1016" t="inlineStr">
        <is>
          <t>III 104, 42</t>
        </is>
      </c>
      <c r="K1016" t="inlineStr">
        <is>
          <t>III 104, 42</t>
        </is>
      </c>
      <c r="L1016" t="inlineStr">
        <is>
          <t>III 104, 42</t>
        </is>
      </c>
      <c r="M1016" t="inlineStr"/>
      <c r="N1016" t="inlineStr">
        <is>
          <t xml:space="preserve">Sammelband mit zwei Werken von Philipp Melanchthon : </t>
        </is>
      </c>
      <c r="O1016" t="inlineStr">
        <is>
          <t xml:space="preserve"> : </t>
        </is>
      </c>
      <c r="P1016" t="inlineStr"/>
      <c r="Q1016" t="inlineStr"/>
      <c r="R1016" t="inlineStr"/>
      <c r="S1016" t="inlineStr">
        <is>
          <t>bis 25 cm</t>
        </is>
      </c>
      <c r="T1016" t="inlineStr"/>
      <c r="U1016" t="inlineStr"/>
      <c r="V1016" t="inlineStr"/>
      <c r="W1016" t="inlineStr"/>
      <c r="X1016" t="inlineStr"/>
      <c r="Y1016" t="inlineStr"/>
      <c r="Z1016" t="inlineStr"/>
      <c r="AA1016" t="inlineStr"/>
      <c r="AB1016" t="inlineStr"/>
      <c r="AC1016" t="inlineStr"/>
      <c r="AD1016" t="inlineStr"/>
      <c r="AE1016" t="inlineStr"/>
      <c r="AF1016" t="inlineStr"/>
      <c r="AG1016" t="inlineStr"/>
      <c r="AH1016" t="inlineStr"/>
      <c r="AI1016" t="inlineStr">
        <is>
          <t>HD</t>
        </is>
      </c>
      <c r="AJ1016" t="inlineStr"/>
      <c r="AK1016" t="inlineStr"/>
      <c r="AL1016" t="inlineStr">
        <is>
          <t>x</t>
        </is>
      </c>
      <c r="AM1016" t="inlineStr">
        <is>
          <t>f</t>
        </is>
      </c>
      <c r="AN1016" t="inlineStr"/>
      <c r="AO1016" t="inlineStr"/>
      <c r="AP1016" t="inlineStr"/>
      <c r="AQ1016" t="inlineStr"/>
      <c r="AR1016" t="inlineStr"/>
      <c r="AS1016" t="inlineStr">
        <is>
          <t>Pa</t>
        </is>
      </c>
      <c r="AT1016" t="inlineStr"/>
      <c r="AU1016" t="inlineStr"/>
      <c r="AV1016" t="inlineStr"/>
      <c r="AW1016" t="inlineStr"/>
      <c r="AX1016" t="inlineStr">
        <is>
          <t>x</t>
        </is>
      </c>
      <c r="AY1016" t="inlineStr"/>
      <c r="AZ1016" t="inlineStr"/>
      <c r="BA1016" t="inlineStr"/>
      <c r="BB1016" t="inlineStr"/>
      <c r="BC1016" t="inlineStr"/>
      <c r="BD1016" t="inlineStr"/>
      <c r="BE1016" t="n">
        <v>0</v>
      </c>
      <c r="BF1016" t="inlineStr">
        <is>
          <t>x</t>
        </is>
      </c>
      <c r="BG1016" t="n">
        <v>110</v>
      </c>
      <c r="BH1016" t="inlineStr"/>
      <c r="BI1016" t="inlineStr"/>
      <c r="BJ1016" t="inlineStr"/>
      <c r="BK1016" t="inlineStr">
        <is>
          <t>x</t>
        </is>
      </c>
      <c r="BL1016" t="inlineStr"/>
      <c r="BM1016" t="inlineStr">
        <is>
          <t>n</t>
        </is>
      </c>
      <c r="BN1016" t="n">
        <v>0</v>
      </c>
      <c r="BO1016" t="inlineStr"/>
      <c r="BP1016" t="inlineStr">
        <is>
          <t>Gewebe</t>
        </is>
      </c>
      <c r="BQ1016" t="inlineStr"/>
      <c r="BR1016" t="inlineStr"/>
      <c r="BS1016" t="inlineStr"/>
      <c r="BT1016" t="inlineStr"/>
      <c r="BU1016" t="inlineStr"/>
      <c r="BV1016" t="inlineStr">
        <is>
          <t>Buchschließe mit Grünspan</t>
        </is>
      </c>
      <c r="BW1016" t="inlineStr">
        <is>
          <t>x 110</t>
        </is>
      </c>
      <c r="BX1016" t="inlineStr">
        <is>
          <t xml:space="preserve">
hat Bauch, Textverlust</t>
        </is>
      </c>
      <c r="BY1016" t="inlineStr"/>
      <c r="BZ1016" t="inlineStr"/>
      <c r="CA1016" t="inlineStr"/>
      <c r="CB1016" t="inlineStr"/>
      <c r="CC1016" t="inlineStr"/>
      <c r="CD1016" t="inlineStr"/>
      <c r="CE1016" t="inlineStr"/>
      <c r="CF1016" t="inlineStr"/>
      <c r="CG1016" t="inlineStr"/>
      <c r="CH1016" t="inlineStr"/>
      <c r="CI1016" t="inlineStr"/>
      <c r="CJ1016" t="inlineStr"/>
      <c r="CK1016" t="inlineStr"/>
      <c r="CL1016" t="inlineStr"/>
      <c r="CM1016" t="inlineStr"/>
      <c r="CN1016" t="inlineStr"/>
      <c r="CO1016" t="inlineStr"/>
      <c r="CP1016" t="inlineStr"/>
      <c r="CQ1016" t="inlineStr"/>
      <c r="CR1016" t="inlineStr"/>
      <c r="CS1016" t="inlineStr"/>
      <c r="CT1016" t="inlineStr"/>
      <c r="CU1016" t="inlineStr"/>
      <c r="CV1016" t="inlineStr"/>
      <c r="CW1016" t="inlineStr"/>
      <c r="CX1016" t="inlineStr"/>
      <c r="CY1016" t="inlineStr"/>
      <c r="CZ1016" t="inlineStr"/>
      <c r="DA1016" t="inlineStr"/>
      <c r="DB1016" t="inlineStr"/>
      <c r="DC1016" t="inlineStr"/>
      <c r="DD1016" t="inlineStr"/>
      <c r="DE1016" t="inlineStr"/>
      <c r="DF1016" t="inlineStr"/>
      <c r="DG1016" t="inlineStr"/>
    </row>
    <row r="1017">
      <c r="A1017" t="inlineStr">
        <is>
          <t>III</t>
        </is>
      </c>
      <c r="B1017" t="b">
        <v>1</v>
      </c>
      <c r="C1017" t="inlineStr"/>
      <c r="D1017" t="inlineStr"/>
      <c r="E1017" t="n">
        <v>1069</v>
      </c>
      <c r="F1017">
        <f>HYPERLINK("https://portal.dnb.de/opac.htm?method=simpleSearch&amp;cqlMode=true&amp;query=idn%3D1002924871", "Portal")</f>
        <v/>
      </c>
      <c r="G1017" t="inlineStr">
        <is>
          <t>Aal</t>
        </is>
      </c>
      <c r="H1017" t="inlineStr">
        <is>
          <t>L-1560-178434418</t>
        </is>
      </c>
      <c r="I1017" t="inlineStr">
        <is>
          <t>1002924871</t>
        </is>
      </c>
      <c r="J1017" t="inlineStr">
        <is>
          <t>III 104, 43</t>
        </is>
      </c>
      <c r="K1017" t="inlineStr">
        <is>
          <t>III 104, 43</t>
        </is>
      </c>
      <c r="L1017" t="inlineStr">
        <is>
          <t>III 104, 43</t>
        </is>
      </c>
      <c r="M1017" t="inlineStr"/>
      <c r="N1017" t="inlineStr">
        <is>
          <t>ORATIO HABI||TA IN FVNERE REVEREN=||DI ET CLARISSIMI VIRI PHILIP||PI MELANTHONIS, A VITO VVINSHE=||MIO ARTIS MEDICAE DOCTO=||RE DIE XXI APRILIS : [Med</t>
        </is>
      </c>
      <c r="O1017" t="inlineStr">
        <is>
          <t xml:space="preserve"> : </t>
        </is>
      </c>
      <c r="P1017" t="inlineStr"/>
      <c r="Q1017" t="inlineStr"/>
      <c r="R1017" t="inlineStr"/>
      <c r="S1017" t="inlineStr">
        <is>
          <t>bis 25 cm</t>
        </is>
      </c>
      <c r="T1017" t="inlineStr"/>
      <c r="U1017" t="inlineStr"/>
      <c r="V1017" t="inlineStr"/>
      <c r="W1017" t="inlineStr"/>
      <c r="X1017" t="inlineStr"/>
      <c r="Y1017" t="inlineStr"/>
      <c r="Z1017" t="inlineStr"/>
      <c r="AA1017" t="inlineStr"/>
      <c r="AB1017" t="inlineStr"/>
      <c r="AC1017" t="inlineStr"/>
      <c r="AD1017" t="inlineStr"/>
      <c r="AE1017" t="inlineStr"/>
      <c r="AF1017" t="inlineStr"/>
      <c r="AG1017" t="inlineStr"/>
      <c r="AH1017" t="inlineStr"/>
      <c r="AI1017" t="inlineStr">
        <is>
          <t>Pa</t>
        </is>
      </c>
      <c r="AJ1017" t="inlineStr"/>
      <c r="AK1017" t="inlineStr"/>
      <c r="AL1017" t="inlineStr"/>
      <c r="AM1017" t="inlineStr">
        <is>
          <t>f</t>
        </is>
      </c>
      <c r="AN1017" t="inlineStr"/>
      <c r="AO1017" t="inlineStr"/>
      <c r="AP1017" t="inlineStr"/>
      <c r="AQ1017" t="inlineStr"/>
      <c r="AR1017" t="inlineStr"/>
      <c r="AS1017" t="inlineStr">
        <is>
          <t>Pa</t>
        </is>
      </c>
      <c r="AT1017" t="inlineStr"/>
      <c r="AU1017" t="inlineStr"/>
      <c r="AV1017" t="inlineStr"/>
      <c r="AW1017" t="inlineStr"/>
      <c r="AX1017" t="inlineStr"/>
      <c r="AY1017" t="inlineStr"/>
      <c r="AZ1017" t="inlineStr"/>
      <c r="BA1017" t="inlineStr"/>
      <c r="BB1017" t="inlineStr"/>
      <c r="BC1017" t="inlineStr"/>
      <c r="BD1017" t="inlineStr"/>
      <c r="BE1017" t="inlineStr"/>
      <c r="BF1017" t="inlineStr"/>
      <c r="BG1017" t="n">
        <v>110</v>
      </c>
      <c r="BH1017" t="inlineStr"/>
      <c r="BI1017" t="inlineStr"/>
      <c r="BJ1017" t="inlineStr"/>
      <c r="BK1017" t="inlineStr">
        <is>
          <t>x</t>
        </is>
      </c>
      <c r="BL1017" t="inlineStr">
        <is>
          <t>x</t>
        </is>
      </c>
      <c r="BM1017" t="inlineStr">
        <is>
          <t>n</t>
        </is>
      </c>
      <c r="BN1017" t="n">
        <v>0</v>
      </c>
      <c r="BO1017" t="inlineStr"/>
      <c r="BP1017" t="inlineStr"/>
      <c r="BQ1017" t="inlineStr"/>
      <c r="BR1017" t="inlineStr"/>
      <c r="BS1017" t="inlineStr"/>
      <c r="BT1017" t="inlineStr"/>
      <c r="BU1017" t="inlineStr"/>
      <c r="BV1017" t="inlineStr"/>
      <c r="BW1017" t="inlineStr"/>
      <c r="BX1017" t="inlineStr"/>
      <c r="BY1017" t="inlineStr"/>
      <c r="BZ1017" t="inlineStr"/>
      <c r="CA1017" t="inlineStr"/>
      <c r="CB1017" t="inlineStr"/>
      <c r="CC1017" t="inlineStr"/>
      <c r="CD1017" t="inlineStr"/>
      <c r="CE1017" t="inlineStr"/>
      <c r="CF1017" t="inlineStr"/>
      <c r="CG1017" t="inlineStr"/>
      <c r="CH1017" t="inlineStr"/>
      <c r="CI1017" t="inlineStr"/>
      <c r="CJ1017" t="inlineStr"/>
      <c r="CK1017" t="inlineStr"/>
      <c r="CL1017" t="inlineStr"/>
      <c r="CM1017" t="inlineStr"/>
      <c r="CN1017" t="inlineStr"/>
      <c r="CO1017" t="inlineStr"/>
      <c r="CP1017" t="inlineStr"/>
      <c r="CQ1017" t="inlineStr"/>
      <c r="CR1017" t="inlineStr"/>
      <c r="CS1017" t="inlineStr"/>
      <c r="CT1017" t="inlineStr"/>
      <c r="CU1017" t="inlineStr"/>
      <c r="CV1017" t="inlineStr"/>
      <c r="CW1017" t="inlineStr"/>
      <c r="CX1017" t="inlineStr"/>
      <c r="CY1017" t="inlineStr"/>
      <c r="CZ1017" t="inlineStr"/>
      <c r="DA1017" t="inlineStr"/>
      <c r="DB1017" t="inlineStr"/>
      <c r="DC1017" t="inlineStr"/>
      <c r="DD1017" t="inlineStr"/>
      <c r="DE1017" t="inlineStr"/>
      <c r="DF1017" t="inlineStr"/>
      <c r="DG1017" t="inlineStr"/>
    </row>
    <row r="1018">
      <c r="A1018" t="inlineStr">
        <is>
          <t>III</t>
        </is>
      </c>
      <c r="B1018" t="b">
        <v>1</v>
      </c>
      <c r="C1018" t="inlineStr"/>
      <c r="D1018" t="inlineStr"/>
      <c r="E1018" t="n">
        <v>1070</v>
      </c>
      <c r="F1018">
        <f>HYPERLINK("https://portal.dnb.de/opac.htm?method=simpleSearch&amp;cqlMode=true&amp;query=idn%3D998858927", "Portal")</f>
        <v/>
      </c>
      <c r="G1018" t="inlineStr">
        <is>
          <t>Aal</t>
        </is>
      </c>
      <c r="H1018" t="inlineStr">
        <is>
          <t>L-1551-167081187</t>
        </is>
      </c>
      <c r="I1018" t="inlineStr">
        <is>
          <t>998858927</t>
        </is>
      </c>
      <c r="J1018" t="inlineStr">
        <is>
          <t>III 104, 44</t>
        </is>
      </c>
      <c r="K1018" t="inlineStr">
        <is>
          <t>III 104, 44</t>
        </is>
      </c>
      <c r="L1018" t="inlineStr">
        <is>
          <t>III 104, 44</t>
        </is>
      </c>
      <c r="M1018" t="inlineStr">
        <is>
          <t>GF</t>
        </is>
      </c>
      <c r="N1018" t="inlineStr">
        <is>
          <t>TOMVS|| SECVNDVS OMNIVM O|| PERVM REVERENDI DOMINI|| MARTINI LVTHERI, DOCTORIS THEO||LOGIAE, CONTINENS MONVMENTA,|| QVAE DE MVLTIS GRAVISSIMIS|| CONTR</t>
        </is>
      </c>
      <c r="O1018" t="inlineStr">
        <is>
          <t xml:space="preserve"> : </t>
        </is>
      </c>
      <c r="P1018" t="inlineStr"/>
      <c r="Q1018" t="inlineStr"/>
      <c r="R1018" t="inlineStr"/>
      <c r="S1018" t="inlineStr">
        <is>
          <t>bis 35 cm</t>
        </is>
      </c>
      <c r="T1018" t="inlineStr"/>
      <c r="U1018" t="inlineStr"/>
      <c r="V1018" t="inlineStr"/>
      <c r="W1018" t="inlineStr"/>
      <c r="X1018" t="inlineStr"/>
      <c r="Y1018" t="inlineStr"/>
      <c r="Z1018" t="inlineStr"/>
      <c r="AA1018" t="inlineStr"/>
      <c r="AB1018" t="inlineStr"/>
      <c r="AC1018" t="inlineStr"/>
      <c r="AD1018" t="inlineStr"/>
      <c r="AE1018" t="inlineStr"/>
      <c r="AF1018" t="inlineStr"/>
      <c r="AG1018" t="inlineStr"/>
      <c r="AH1018" t="inlineStr"/>
      <c r="AI1018" t="inlineStr">
        <is>
          <t>HD</t>
        </is>
      </c>
      <c r="AJ1018" t="inlineStr"/>
      <c r="AK1018" t="inlineStr"/>
      <c r="AL1018" t="inlineStr">
        <is>
          <t>x</t>
        </is>
      </c>
      <c r="AM1018" t="inlineStr">
        <is>
          <t>f</t>
        </is>
      </c>
      <c r="AN1018" t="inlineStr"/>
      <c r="AO1018" t="inlineStr"/>
      <c r="AP1018" t="inlineStr"/>
      <c r="AQ1018" t="inlineStr"/>
      <c r="AR1018" t="inlineStr"/>
      <c r="AS1018" t="inlineStr">
        <is>
          <t>Pa</t>
        </is>
      </c>
      <c r="AT1018" t="inlineStr"/>
      <c r="AU1018" t="inlineStr"/>
      <c r="AV1018" t="inlineStr"/>
      <c r="AW1018" t="inlineStr"/>
      <c r="AX1018" t="inlineStr"/>
      <c r="AY1018" t="inlineStr"/>
      <c r="AZ1018" t="inlineStr"/>
      <c r="BA1018" t="inlineStr"/>
      <c r="BB1018" t="inlineStr"/>
      <c r="BC1018" t="inlineStr"/>
      <c r="BD1018" t="inlineStr"/>
      <c r="BE1018" t="inlineStr"/>
      <c r="BF1018" t="inlineStr"/>
      <c r="BG1018" t="n">
        <v>110</v>
      </c>
      <c r="BH1018" t="inlineStr"/>
      <c r="BI1018" t="inlineStr"/>
      <c r="BJ1018" t="inlineStr"/>
      <c r="BK1018" t="inlineStr"/>
      <c r="BL1018" t="inlineStr"/>
      <c r="BM1018" t="inlineStr">
        <is>
          <t>n</t>
        </is>
      </c>
      <c r="BN1018" t="n">
        <v>0</v>
      </c>
      <c r="BO1018" t="inlineStr"/>
      <c r="BP1018" t="inlineStr"/>
      <c r="BQ1018" t="inlineStr"/>
      <c r="BR1018" t="inlineStr">
        <is>
          <t>x</t>
        </is>
      </c>
      <c r="BS1018" t="inlineStr"/>
      <c r="BT1018" t="inlineStr"/>
      <c r="BU1018" t="inlineStr"/>
      <c r="BV1018" t="inlineStr"/>
      <c r="BW1018" t="inlineStr"/>
      <c r="BX1018" t="inlineStr"/>
      <c r="BY1018" t="inlineStr"/>
      <c r="BZ1018" t="inlineStr"/>
      <c r="CA1018" t="inlineStr"/>
      <c r="CB1018" t="inlineStr"/>
      <c r="CC1018" t="inlineStr"/>
      <c r="CD1018" t="inlineStr"/>
      <c r="CE1018" t="inlineStr"/>
      <c r="CF1018" t="inlineStr"/>
      <c r="CG1018" t="inlineStr"/>
      <c r="CH1018" t="inlineStr"/>
      <c r="CI1018" t="inlineStr"/>
      <c r="CJ1018" t="inlineStr"/>
      <c r="CK1018" t="inlineStr"/>
      <c r="CL1018" t="inlineStr"/>
      <c r="CM1018" t="inlineStr"/>
      <c r="CN1018" t="inlineStr"/>
      <c r="CO1018" t="inlineStr"/>
      <c r="CP1018" t="inlineStr"/>
      <c r="CQ1018" t="inlineStr"/>
      <c r="CR1018" t="inlineStr"/>
      <c r="CS1018" t="inlineStr"/>
      <c r="CT1018" t="inlineStr"/>
      <c r="CU1018" t="inlineStr"/>
      <c r="CV1018" t="inlineStr"/>
      <c r="CW1018" t="inlineStr"/>
      <c r="CX1018" t="inlineStr"/>
      <c r="CY1018" t="inlineStr"/>
      <c r="CZ1018" t="inlineStr"/>
      <c r="DA1018" t="inlineStr"/>
      <c r="DB1018" t="inlineStr"/>
      <c r="DC1018" t="inlineStr"/>
      <c r="DD1018" t="inlineStr"/>
      <c r="DE1018" t="inlineStr"/>
      <c r="DF1018" t="inlineStr"/>
      <c r="DG1018" t="inlineStr"/>
    </row>
    <row r="1019">
      <c r="A1019" t="inlineStr">
        <is>
          <t>III</t>
        </is>
      </c>
      <c r="B1019" t="b">
        <v>1</v>
      </c>
      <c r="C1019" t="inlineStr"/>
      <c r="D1019" t="inlineStr"/>
      <c r="E1019" t="n">
        <v>1071</v>
      </c>
      <c r="F1019">
        <f>HYPERLINK("https://portal.dnb.de/opac.htm?method=simpleSearch&amp;cqlMode=true&amp;query=idn%3D1144311292", "Portal")</f>
        <v/>
      </c>
      <c r="G1019" t="inlineStr">
        <is>
          <t>Aa</t>
        </is>
      </c>
      <c r="H1019" t="inlineStr">
        <is>
          <t>L-2017-325817</t>
        </is>
      </c>
      <c r="I1019" t="inlineStr">
        <is>
          <t>1144311292</t>
        </is>
      </c>
      <c r="J1019" t="inlineStr">
        <is>
          <t>III 104, 45</t>
        </is>
      </c>
      <c r="K1019" t="inlineStr">
        <is>
          <t>III 104, 45</t>
        </is>
      </c>
      <c r="L1019" t="inlineStr">
        <is>
          <t>III 104, 45</t>
        </is>
      </c>
      <c r="M1019" t="inlineStr"/>
      <c r="N1019" t="inlineStr">
        <is>
          <t xml:space="preserve">Widder den falsch genanttē geistlichen stand des Bapst vnd der Bischoffen : </t>
        </is>
      </c>
      <c r="O1019" t="inlineStr">
        <is>
          <t xml:space="preserve"> : </t>
        </is>
      </c>
      <c r="P1019" t="inlineStr"/>
      <c r="Q1019" t="inlineStr">
        <is>
          <t>658,05 EUR</t>
        </is>
      </c>
      <c r="R1019" t="inlineStr"/>
      <c r="S1019" t="inlineStr">
        <is>
          <t>bis 25 cm</t>
        </is>
      </c>
      <c r="T1019" t="inlineStr"/>
      <c r="U1019" t="inlineStr"/>
      <c r="V1019" t="inlineStr"/>
      <c r="W1019" t="inlineStr"/>
      <c r="X1019" t="inlineStr"/>
      <c r="Y1019" t="inlineStr"/>
      <c r="Z1019" t="inlineStr"/>
      <c r="AA1019" t="inlineStr"/>
      <c r="AB1019" t="inlineStr"/>
      <c r="AC1019" t="inlineStr"/>
      <c r="AD1019" t="inlineStr"/>
      <c r="AE1019" t="inlineStr"/>
      <c r="AF1019" t="inlineStr"/>
      <c r="AG1019" t="inlineStr"/>
      <c r="AH1019" t="inlineStr"/>
      <c r="AI1019" t="inlineStr">
        <is>
          <t>Pa</t>
        </is>
      </c>
      <c r="AJ1019" t="inlineStr"/>
      <c r="AK1019" t="inlineStr"/>
      <c r="AL1019" t="inlineStr"/>
      <c r="AM1019" t="inlineStr">
        <is>
          <t>h</t>
        </is>
      </c>
      <c r="AN1019" t="inlineStr"/>
      <c r="AO1019" t="inlineStr"/>
      <c r="AP1019" t="inlineStr"/>
      <c r="AQ1019" t="inlineStr"/>
      <c r="AR1019" t="inlineStr"/>
      <c r="AS1019" t="inlineStr">
        <is>
          <t>Pa</t>
        </is>
      </c>
      <c r="AT1019" t="inlineStr"/>
      <c r="AU1019" t="inlineStr"/>
      <c r="AV1019" t="inlineStr"/>
      <c r="AW1019" t="inlineStr"/>
      <c r="AX1019" t="inlineStr"/>
      <c r="AY1019" t="inlineStr"/>
      <c r="AZ1019" t="inlineStr"/>
      <c r="BA1019" t="inlineStr"/>
      <c r="BB1019" t="inlineStr"/>
      <c r="BC1019" t="inlineStr"/>
      <c r="BD1019" t="inlineStr"/>
      <c r="BE1019" t="inlineStr"/>
      <c r="BF1019" t="inlineStr"/>
      <c r="BG1019" t="n">
        <v>110</v>
      </c>
      <c r="BH1019" t="inlineStr"/>
      <c r="BI1019" t="inlineStr"/>
      <c r="BJ1019" t="inlineStr"/>
      <c r="BK1019" t="inlineStr"/>
      <c r="BL1019" t="inlineStr"/>
      <c r="BM1019" t="inlineStr">
        <is>
          <t>n</t>
        </is>
      </c>
      <c r="BN1019" t="n">
        <v>0</v>
      </c>
      <c r="BO1019" t="inlineStr"/>
      <c r="BP1019" t="inlineStr"/>
      <c r="BQ1019" t="inlineStr"/>
      <c r="BR1019" t="inlineStr"/>
      <c r="BS1019" t="inlineStr">
        <is>
          <t>x</t>
        </is>
      </c>
      <c r="BT1019" t="inlineStr"/>
      <c r="BU1019" t="inlineStr"/>
      <c r="BV1019" t="inlineStr"/>
      <c r="BW1019" t="inlineStr"/>
      <c r="BX1019" t="inlineStr"/>
      <c r="BY1019" t="inlineStr"/>
      <c r="BZ1019" t="inlineStr"/>
      <c r="CA1019" t="inlineStr"/>
      <c r="CB1019" t="inlineStr"/>
      <c r="CC1019" t="inlineStr"/>
      <c r="CD1019" t="inlineStr"/>
      <c r="CE1019" t="inlineStr"/>
      <c r="CF1019" t="inlineStr"/>
      <c r="CG1019" t="inlineStr"/>
      <c r="CH1019" t="inlineStr"/>
      <c r="CI1019" t="inlineStr"/>
      <c r="CJ1019" t="inlineStr"/>
      <c r="CK1019" t="inlineStr"/>
      <c r="CL1019" t="inlineStr"/>
      <c r="CM1019" t="inlineStr"/>
      <c r="CN1019" t="inlineStr"/>
      <c r="CO1019" t="inlineStr"/>
      <c r="CP1019" t="inlineStr"/>
      <c r="CQ1019" t="inlineStr"/>
      <c r="CR1019" t="inlineStr"/>
      <c r="CS1019" t="inlineStr"/>
      <c r="CT1019" t="inlineStr"/>
      <c r="CU1019" t="inlineStr"/>
      <c r="CV1019" t="inlineStr"/>
      <c r="CW1019" t="inlineStr"/>
      <c r="CX1019" t="inlineStr"/>
      <c r="CY1019" t="inlineStr"/>
      <c r="CZ1019" t="inlineStr"/>
      <c r="DA1019" t="inlineStr"/>
      <c r="DB1019" t="inlineStr"/>
      <c r="DC1019" t="inlineStr"/>
      <c r="DD1019" t="inlineStr"/>
      <c r="DE1019" t="inlineStr"/>
      <c r="DF1019" t="inlineStr"/>
      <c r="DG1019" t="inlineStr"/>
    </row>
    <row r="1020">
      <c r="A1020" t="inlineStr">
        <is>
          <t>III</t>
        </is>
      </c>
      <c r="B1020" t="b">
        <v>1</v>
      </c>
      <c r="C1020" t="inlineStr"/>
      <c r="D1020" t="inlineStr"/>
      <c r="E1020" t="n">
        <v>1159</v>
      </c>
      <c r="F1020">
        <f>HYPERLINK("https://portal.dnb.de/opac.htm?method=simpleSearch&amp;cqlMode=true&amp;query=idn%3D1066874646", "Portal")</f>
        <v/>
      </c>
      <c r="G1020" t="inlineStr">
        <is>
          <t>Aaf</t>
        </is>
      </c>
      <c r="H1020" t="inlineStr">
        <is>
          <t>L-1540-315332417</t>
        </is>
      </c>
      <c r="I1020" t="inlineStr">
        <is>
          <t>1066874646</t>
        </is>
      </c>
      <c r="J1020" t="inlineStr">
        <is>
          <t>III 105, 1</t>
        </is>
      </c>
      <c r="K1020" t="inlineStr">
        <is>
          <t>III 105, 1</t>
        </is>
      </c>
      <c r="L1020" t="inlineStr">
        <is>
          <t>III 105, 1</t>
        </is>
      </c>
      <c r="M1020" t="inlineStr"/>
      <c r="N1020" t="inlineStr">
        <is>
          <t xml:space="preserve">ANdere bestendige/ ergründte/ vnd|| warhafftige antwort/ des Durch=||leuchtigen hochgebornen Fürsten vnd Herrn/ Herrn : </t>
        </is>
      </c>
      <c r="O1020" t="inlineStr">
        <is>
          <t xml:space="preserve"> : </t>
        </is>
      </c>
      <c r="P1020" t="inlineStr"/>
      <c r="Q1020" t="inlineStr"/>
      <c r="R1020" t="inlineStr"/>
      <c r="S1020" t="inlineStr">
        <is>
          <t>bis 25 cm</t>
        </is>
      </c>
      <c r="T1020" t="inlineStr"/>
      <c r="U1020" t="inlineStr"/>
      <c r="V1020" t="inlineStr"/>
      <c r="W1020" t="inlineStr"/>
      <c r="X1020" t="inlineStr"/>
      <c r="Y1020" t="inlineStr"/>
      <c r="Z1020" t="inlineStr"/>
      <c r="AA1020" t="inlineStr"/>
      <c r="AB1020" t="inlineStr"/>
      <c r="AC1020" t="inlineStr"/>
      <c r="AD1020" t="inlineStr"/>
      <c r="AE1020" t="inlineStr"/>
      <c r="AF1020" t="inlineStr"/>
      <c r="AG1020" t="inlineStr"/>
      <c r="AH1020" t="inlineStr"/>
      <c r="AI1020" t="inlineStr">
        <is>
          <t>HPg</t>
        </is>
      </c>
      <c r="AJ1020" t="inlineStr"/>
      <c r="AK1020" t="inlineStr"/>
      <c r="AL1020" t="inlineStr"/>
      <c r="AM1020" t="inlineStr">
        <is>
          <t>h/E</t>
        </is>
      </c>
      <c r="AN1020" t="inlineStr"/>
      <c r="AO1020" t="inlineStr"/>
      <c r="AP1020" t="inlineStr"/>
      <c r="AQ1020" t="inlineStr"/>
      <c r="AR1020" t="inlineStr"/>
      <c r="AS1020" t="inlineStr">
        <is>
          <t>Pa</t>
        </is>
      </c>
      <c r="AT1020" t="inlineStr"/>
      <c r="AU1020" t="inlineStr"/>
      <c r="AV1020" t="inlineStr"/>
      <c r="AW1020" t="inlineStr"/>
      <c r="AX1020" t="inlineStr"/>
      <c r="AY1020" t="inlineStr"/>
      <c r="AZ1020" t="inlineStr"/>
      <c r="BA1020" t="inlineStr"/>
      <c r="BB1020" t="inlineStr"/>
      <c r="BC1020" t="inlineStr"/>
      <c r="BD1020" t="inlineStr"/>
      <c r="BE1020" t="inlineStr"/>
      <c r="BF1020" t="inlineStr"/>
      <c r="BG1020" t="n">
        <v>110</v>
      </c>
      <c r="BH1020" t="inlineStr"/>
      <c r="BI1020" t="inlineStr"/>
      <c r="BJ1020" t="inlineStr"/>
      <c r="BK1020" t="inlineStr"/>
      <c r="BL1020" t="inlineStr"/>
      <c r="BM1020" t="inlineStr">
        <is>
          <t>n</t>
        </is>
      </c>
      <c r="BN1020" t="n">
        <v>0</v>
      </c>
      <c r="BO1020" t="inlineStr"/>
      <c r="BP1020" t="inlineStr"/>
      <c r="BQ1020" t="inlineStr"/>
      <c r="BR1020" t="inlineStr"/>
      <c r="BS1020" t="inlineStr"/>
      <c r="BT1020" t="inlineStr"/>
      <c r="BU1020" t="inlineStr"/>
      <c r="BV1020" t="inlineStr"/>
      <c r="BW1020" t="inlineStr"/>
      <c r="BX1020" t="inlineStr"/>
      <c r="BY1020" t="inlineStr"/>
      <c r="BZ1020" t="inlineStr"/>
      <c r="CA1020" t="inlineStr"/>
      <c r="CB1020" t="inlineStr"/>
      <c r="CC1020" t="inlineStr"/>
      <c r="CD1020" t="inlineStr"/>
      <c r="CE1020" t="inlineStr"/>
      <c r="CF1020" t="inlineStr"/>
      <c r="CG1020" t="inlineStr"/>
      <c r="CH1020" t="inlineStr"/>
      <c r="CI1020" t="inlineStr"/>
      <c r="CJ1020" t="inlineStr"/>
      <c r="CK1020" t="inlineStr"/>
      <c r="CL1020" t="inlineStr"/>
      <c r="CM1020" t="inlineStr"/>
      <c r="CN1020" t="inlineStr"/>
      <c r="CO1020" t="inlineStr"/>
      <c r="CP1020" t="inlineStr"/>
      <c r="CQ1020" t="inlineStr"/>
      <c r="CR1020" t="inlineStr"/>
      <c r="CS1020" t="inlineStr"/>
      <c r="CT1020" t="inlineStr"/>
      <c r="CU1020" t="inlineStr"/>
      <c r="CV1020" t="inlineStr"/>
      <c r="CW1020" t="inlineStr"/>
      <c r="CX1020" t="inlineStr"/>
      <c r="CY1020" t="inlineStr"/>
      <c r="CZ1020" t="inlineStr"/>
      <c r="DA1020" t="inlineStr"/>
      <c r="DB1020" t="inlineStr"/>
      <c r="DC1020" t="inlineStr"/>
      <c r="DD1020" t="inlineStr"/>
      <c r="DE1020" t="inlineStr"/>
      <c r="DF1020" t="inlineStr"/>
      <c r="DG1020" t="inlineStr"/>
    </row>
    <row r="1021">
      <c r="A1021" t="inlineStr">
        <is>
          <t>III</t>
        </is>
      </c>
      <c r="B1021" t="b">
        <v>1</v>
      </c>
      <c r="C1021" t="inlineStr">
        <is>
          <t>x</t>
        </is>
      </c>
      <c r="D1021" t="inlineStr"/>
      <c r="E1021" t="n">
        <v>1160</v>
      </c>
      <c r="F1021">
        <f>HYPERLINK("https://portal.dnb.de/opac.htm?method=simpleSearch&amp;cqlMode=true&amp;query=idn%3D1066874336", "Portal")</f>
        <v/>
      </c>
      <c r="G1021" t="inlineStr">
        <is>
          <t>Aaf</t>
        </is>
      </c>
      <c r="H1021" t="inlineStr">
        <is>
          <t>L-1541-31533214X</t>
        </is>
      </c>
      <c r="I1021" t="inlineStr">
        <is>
          <t>1066874336</t>
        </is>
      </c>
      <c r="J1021" t="inlineStr">
        <is>
          <t>III 105, 2</t>
        </is>
      </c>
      <c r="K1021" t="inlineStr">
        <is>
          <t>III 105, 2</t>
        </is>
      </c>
      <c r="L1021" t="inlineStr">
        <is>
          <t>III 105, 2</t>
        </is>
      </c>
      <c r="M1021" t="inlineStr"/>
      <c r="N1021" t="inlineStr">
        <is>
          <t xml:space="preserve">Des durchleuchtigen hoch||gebornen Fürsten vnd Herrn/ Herrn : </t>
        </is>
      </c>
      <c r="O1021" t="inlineStr">
        <is>
          <t xml:space="preserve"> : </t>
        </is>
      </c>
      <c r="P1021" t="inlineStr"/>
      <c r="Q1021" t="inlineStr"/>
      <c r="R1021" t="inlineStr"/>
      <c r="S1021" t="inlineStr">
        <is>
          <t>bis 25 cm</t>
        </is>
      </c>
      <c r="T1021" t="inlineStr"/>
      <c r="U1021" t="inlineStr"/>
      <c r="V1021" t="inlineStr"/>
      <c r="W1021" t="inlineStr"/>
      <c r="X1021" t="inlineStr"/>
      <c r="Y1021" t="inlineStr"/>
      <c r="Z1021" t="inlineStr"/>
      <c r="AA1021" t="inlineStr"/>
      <c r="AB1021" t="inlineStr"/>
      <c r="AC1021" t="inlineStr"/>
      <c r="AD1021" t="inlineStr"/>
      <c r="AE1021" t="inlineStr"/>
      <c r="AF1021" t="inlineStr"/>
      <c r="AG1021" t="inlineStr"/>
      <c r="AH1021" t="inlineStr"/>
      <c r="AI1021" t="inlineStr">
        <is>
          <t>Pg</t>
        </is>
      </c>
      <c r="AJ1021" t="inlineStr"/>
      <c r="AK1021" t="inlineStr">
        <is>
          <t>x</t>
        </is>
      </c>
      <c r="AL1021" t="inlineStr"/>
      <c r="AM1021" t="inlineStr">
        <is>
          <t>h</t>
        </is>
      </c>
      <c r="AN1021" t="inlineStr"/>
      <c r="AO1021" t="inlineStr"/>
      <c r="AP1021" t="inlineStr"/>
      <c r="AQ1021" t="inlineStr"/>
      <c r="AR1021" t="inlineStr"/>
      <c r="AS1021" t="inlineStr">
        <is>
          <t>Pa</t>
        </is>
      </c>
      <c r="AT1021" t="inlineStr"/>
      <c r="AU1021" t="inlineStr"/>
      <c r="AV1021" t="inlineStr"/>
      <c r="AW1021" t="inlineStr"/>
      <c r="AX1021" t="inlineStr"/>
      <c r="AY1021" t="inlineStr"/>
      <c r="AZ1021" t="inlineStr"/>
      <c r="BA1021" t="inlineStr"/>
      <c r="BB1021" t="inlineStr"/>
      <c r="BC1021" t="inlineStr"/>
      <c r="BD1021" t="inlineStr"/>
      <c r="BE1021" t="inlineStr"/>
      <c r="BF1021" t="inlineStr"/>
      <c r="BG1021" t="n">
        <v>110</v>
      </c>
      <c r="BH1021" t="inlineStr"/>
      <c r="BI1021" t="inlineStr"/>
      <c r="BJ1021" t="inlineStr"/>
      <c r="BK1021" t="inlineStr"/>
      <c r="BL1021" t="inlineStr"/>
      <c r="BM1021" t="inlineStr">
        <is>
          <t>ja vor</t>
        </is>
      </c>
      <c r="BN1021" t="n">
        <v>0.5</v>
      </c>
      <c r="BO1021" t="inlineStr"/>
      <c r="BP1021" t="inlineStr"/>
      <c r="BQ1021" t="inlineStr"/>
      <c r="BR1021" t="inlineStr"/>
      <c r="BS1021" t="inlineStr"/>
      <c r="BT1021" t="inlineStr"/>
      <c r="BU1021" t="inlineStr"/>
      <c r="BV1021" t="inlineStr"/>
      <c r="BW1021" t="inlineStr"/>
      <c r="BX1021" t="inlineStr"/>
      <c r="BY1021" t="inlineStr">
        <is>
          <t>Box (sperrt, Schließe)</t>
        </is>
      </c>
      <c r="BZ1021" t="inlineStr"/>
      <c r="CA1021" t="inlineStr"/>
      <c r="CB1021" t="inlineStr"/>
      <c r="CC1021" t="inlineStr"/>
      <c r="CD1021" t="inlineStr"/>
      <c r="CE1021" t="inlineStr"/>
      <c r="CF1021" t="inlineStr"/>
      <c r="CG1021" t="inlineStr"/>
      <c r="CH1021" t="inlineStr"/>
      <c r="CI1021" t="inlineStr"/>
      <c r="CJ1021" t="inlineStr"/>
      <c r="CK1021" t="inlineStr"/>
      <c r="CL1021" t="inlineStr"/>
      <c r="CM1021" t="inlineStr"/>
      <c r="CN1021" t="inlineStr"/>
      <c r="CO1021" t="inlineStr"/>
      <c r="CP1021" t="inlineStr"/>
      <c r="CQ1021" t="inlineStr"/>
      <c r="CR1021" t="inlineStr"/>
      <c r="CS1021" t="inlineStr"/>
      <c r="CT1021" t="inlineStr">
        <is>
          <t>x</t>
        </is>
      </c>
      <c r="CU1021" t="inlineStr"/>
      <c r="CV1021" t="inlineStr"/>
      <c r="CW1021" t="inlineStr"/>
      <c r="CX1021" t="inlineStr"/>
      <c r="CY1021" t="inlineStr"/>
      <c r="CZ1021" t="inlineStr"/>
      <c r="DA1021" t="inlineStr"/>
      <c r="DB1021" t="inlineStr"/>
      <c r="DC1021" t="inlineStr"/>
      <c r="DD1021" t="inlineStr"/>
      <c r="DE1021" t="inlineStr"/>
      <c r="DF1021" t="n">
        <v>0.5</v>
      </c>
      <c r="DG1021" t="inlineStr"/>
    </row>
    <row r="1022">
      <c r="A1022" t="inlineStr">
        <is>
          <t>III</t>
        </is>
      </c>
      <c r="B1022" t="b">
        <v>1</v>
      </c>
      <c r="C1022" t="inlineStr"/>
      <c r="D1022" t="inlineStr"/>
      <c r="E1022" t="n">
        <v>1161</v>
      </c>
      <c r="F1022">
        <f>HYPERLINK("https://portal.dnb.de/opac.htm?method=simpleSearch&amp;cqlMode=true&amp;query=idn%3D1066869731", "Portal")</f>
        <v/>
      </c>
      <c r="G1022" t="inlineStr">
        <is>
          <t>Aaf</t>
        </is>
      </c>
      <c r="H1022" t="inlineStr">
        <is>
          <t>L-1541-315327685</t>
        </is>
      </c>
      <c r="I1022" t="inlineStr">
        <is>
          <t>1066869731</t>
        </is>
      </c>
      <c r="J1022" t="inlineStr">
        <is>
          <t>III 105, 3</t>
        </is>
      </c>
      <c r="K1022" t="inlineStr">
        <is>
          <t>III 105, 3</t>
        </is>
      </c>
      <c r="L1022" t="inlineStr">
        <is>
          <t>III 105, 3</t>
        </is>
      </c>
      <c r="M1022" t="inlineStr"/>
      <c r="N1022" t="inlineStr">
        <is>
          <t xml:space="preserve">Anderer bestendiger war//hafftiger ergrünter bericht/ des Durch=//leuchtigen Hochgebornen Fursten : </t>
        </is>
      </c>
      <c r="O1022" t="inlineStr">
        <is>
          <t xml:space="preserve"> : </t>
        </is>
      </c>
      <c r="P1022" t="inlineStr"/>
      <c r="Q1022" t="inlineStr"/>
      <c r="R1022" t="inlineStr"/>
      <c r="S1022" t="inlineStr">
        <is>
          <t>bis 25 cm</t>
        </is>
      </c>
      <c r="T1022" t="inlineStr"/>
      <c r="U1022" t="inlineStr"/>
      <c r="V1022" t="inlineStr"/>
      <c r="W1022" t="inlineStr"/>
      <c r="X1022" t="inlineStr"/>
      <c r="Y1022" t="inlineStr"/>
      <c r="Z1022" t="inlineStr"/>
      <c r="AA1022" t="inlineStr"/>
      <c r="AB1022" t="inlineStr"/>
      <c r="AC1022" t="inlineStr"/>
      <c r="AD1022" t="inlineStr"/>
      <c r="AE1022" t="inlineStr"/>
      <c r="AF1022" t="inlineStr"/>
      <c r="AG1022" t="inlineStr"/>
      <c r="AH1022" t="inlineStr"/>
      <c r="AI1022" t="inlineStr">
        <is>
          <t>HL</t>
        </is>
      </c>
      <c r="AJ1022" t="inlineStr"/>
      <c r="AK1022" t="inlineStr">
        <is>
          <t>x</t>
        </is>
      </c>
      <c r="AL1022" t="inlineStr"/>
      <c r="AM1022" t="inlineStr">
        <is>
          <t>h/E</t>
        </is>
      </c>
      <c r="AN1022" t="inlineStr"/>
      <c r="AO1022" t="inlineStr">
        <is>
          <t>x</t>
        </is>
      </c>
      <c r="AP1022" t="inlineStr"/>
      <c r="AQ1022" t="inlineStr"/>
      <c r="AR1022" t="inlineStr"/>
      <c r="AS1022" t="inlineStr">
        <is>
          <t>Pa</t>
        </is>
      </c>
      <c r="AT1022" t="inlineStr">
        <is>
          <t>x</t>
        </is>
      </c>
      <c r="AU1022" t="inlineStr"/>
      <c r="AV1022" t="inlineStr"/>
      <c r="AW1022" t="inlineStr"/>
      <c r="AX1022" t="inlineStr"/>
      <c r="AY1022" t="inlineStr"/>
      <c r="AZ1022" t="inlineStr"/>
      <c r="BA1022" t="inlineStr"/>
      <c r="BB1022" t="inlineStr"/>
      <c r="BC1022" t="inlineStr"/>
      <c r="BD1022" t="inlineStr"/>
      <c r="BE1022" t="inlineStr"/>
      <c r="BF1022" t="inlineStr"/>
      <c r="BG1022" t="n">
        <v>110</v>
      </c>
      <c r="BH1022" t="inlineStr"/>
      <c r="BI1022" t="inlineStr"/>
      <c r="BJ1022" t="inlineStr"/>
      <c r="BK1022" t="inlineStr"/>
      <c r="BL1022" t="inlineStr"/>
      <c r="BM1022" t="inlineStr">
        <is>
          <t>n</t>
        </is>
      </c>
      <c r="BN1022" t="n">
        <v>0</v>
      </c>
      <c r="BO1022" t="inlineStr"/>
      <c r="BP1022" t="inlineStr"/>
      <c r="BQ1022" t="inlineStr"/>
      <c r="BR1022" t="inlineStr"/>
      <c r="BS1022" t="inlineStr"/>
      <c r="BT1022" t="inlineStr"/>
      <c r="BU1022" t="inlineStr"/>
      <c r="BV1022" t="inlineStr"/>
      <c r="BW1022" t="inlineStr"/>
      <c r="BX1022" t="inlineStr"/>
      <c r="BY1022" t="inlineStr">
        <is>
          <t>Umschlag (Leder pudert)</t>
        </is>
      </c>
      <c r="BZ1022" t="inlineStr"/>
      <c r="CA1022" t="inlineStr"/>
      <c r="CB1022" t="inlineStr"/>
      <c r="CC1022" t="inlineStr"/>
      <c r="CD1022" t="inlineStr"/>
      <c r="CE1022" t="inlineStr"/>
      <c r="CF1022" t="inlineStr"/>
      <c r="CG1022" t="inlineStr"/>
      <c r="CH1022" t="inlineStr"/>
      <c r="CI1022" t="inlineStr"/>
      <c r="CJ1022" t="inlineStr"/>
      <c r="CK1022" t="inlineStr"/>
      <c r="CL1022" t="inlineStr"/>
      <c r="CM1022" t="inlineStr"/>
      <c r="CN1022" t="inlineStr"/>
      <c r="CO1022" t="inlineStr"/>
      <c r="CP1022" t="inlineStr"/>
      <c r="CQ1022" t="inlineStr"/>
      <c r="CR1022" t="inlineStr"/>
      <c r="CS1022" t="inlineStr"/>
      <c r="CT1022" t="inlineStr"/>
      <c r="CU1022" t="inlineStr"/>
      <c r="CV1022" t="inlineStr"/>
      <c r="CW1022" t="inlineStr"/>
      <c r="CX1022" t="inlineStr"/>
      <c r="CY1022" t="inlineStr"/>
      <c r="CZ1022" t="inlineStr"/>
      <c r="DA1022" t="inlineStr"/>
      <c r="DB1022" t="inlineStr"/>
      <c r="DC1022" t="inlineStr"/>
      <c r="DD1022" t="inlineStr"/>
      <c r="DE1022" t="inlineStr"/>
      <c r="DF1022" t="inlineStr"/>
      <c r="DG1022" t="inlineStr"/>
    </row>
    <row r="1023">
      <c r="A1023" t="inlineStr">
        <is>
          <t>III</t>
        </is>
      </c>
      <c r="B1023" t="b">
        <v>1</v>
      </c>
      <c r="C1023" t="inlineStr">
        <is>
          <t>x</t>
        </is>
      </c>
      <c r="D1023" t="inlineStr"/>
      <c r="E1023" t="n">
        <v>1162</v>
      </c>
      <c r="F1023">
        <f>HYPERLINK("https://portal.dnb.de/opac.htm?method=simpleSearch&amp;cqlMode=true&amp;query=idn%3D1074848381", "Portal")</f>
        <v/>
      </c>
      <c r="G1023" t="inlineStr">
        <is>
          <t>Aaf</t>
        </is>
      </c>
      <c r="H1023" t="inlineStr">
        <is>
          <t>L-1529-331723204</t>
        </is>
      </c>
      <c r="I1023" t="inlineStr">
        <is>
          <t>1074848381</t>
        </is>
      </c>
      <c r="J1023" t="inlineStr">
        <is>
          <t>III 106, 1</t>
        </is>
      </c>
      <c r="K1023" t="inlineStr">
        <is>
          <t>III 106, 1</t>
        </is>
      </c>
      <c r="L1023" t="inlineStr">
        <is>
          <t>III 106, 1</t>
        </is>
      </c>
      <c r="M1023" t="inlineStr"/>
      <c r="N1023" t="inlineStr">
        <is>
          <t xml:space="preserve">Šāloš ʿeśrē ʿîqqārîm|| : </t>
        </is>
      </c>
      <c r="O1023" t="inlineStr">
        <is>
          <t xml:space="preserve"> : </t>
        </is>
      </c>
      <c r="P1023" t="inlineStr"/>
      <c r="Q1023" t="inlineStr">
        <is>
          <t>400,00 EUR</t>
        </is>
      </c>
      <c r="R1023" t="inlineStr"/>
      <c r="S1023" t="inlineStr">
        <is>
          <t>bis 25 cm</t>
        </is>
      </c>
      <c r="T1023" t="inlineStr"/>
      <c r="U1023" t="inlineStr"/>
      <c r="V1023" t="inlineStr"/>
      <c r="W1023" t="inlineStr"/>
      <c r="X1023" t="inlineStr"/>
      <c r="Y1023" t="inlineStr"/>
      <c r="Z1023" t="inlineStr"/>
      <c r="AA1023" t="inlineStr"/>
      <c r="AB1023" t="inlineStr"/>
      <c r="AC1023" t="inlineStr"/>
      <c r="AD1023" t="inlineStr"/>
      <c r="AE1023" t="inlineStr"/>
      <c r="AF1023" t="inlineStr"/>
      <c r="AG1023" t="inlineStr"/>
      <c r="AH1023" t="inlineStr"/>
      <c r="AI1023" t="inlineStr">
        <is>
          <t>Pg</t>
        </is>
      </c>
      <c r="AJ1023" t="inlineStr"/>
      <c r="AK1023" t="inlineStr">
        <is>
          <t>x</t>
        </is>
      </c>
      <c r="AL1023" t="inlineStr"/>
      <c r="AM1023" t="inlineStr">
        <is>
          <t>h/E</t>
        </is>
      </c>
      <c r="AN1023" t="inlineStr"/>
      <c r="AO1023" t="inlineStr"/>
      <c r="AP1023" t="inlineStr"/>
      <c r="AQ1023" t="inlineStr"/>
      <c r="AR1023" t="inlineStr"/>
      <c r="AS1023" t="inlineStr">
        <is>
          <t>Pa</t>
        </is>
      </c>
      <c r="AT1023" t="inlineStr"/>
      <c r="AU1023" t="inlineStr"/>
      <c r="AV1023" t="inlineStr"/>
      <c r="AW1023" t="inlineStr"/>
      <c r="AX1023" t="inlineStr"/>
      <c r="AY1023" t="inlineStr"/>
      <c r="AZ1023" t="inlineStr"/>
      <c r="BA1023" t="inlineStr"/>
      <c r="BB1023" t="inlineStr"/>
      <c r="BC1023" t="inlineStr"/>
      <c r="BD1023" t="inlineStr"/>
      <c r="BE1023" t="inlineStr"/>
      <c r="BF1023" t="inlineStr"/>
      <c r="BG1023" t="n">
        <v>110</v>
      </c>
      <c r="BH1023" t="inlineStr"/>
      <c r="BI1023" t="inlineStr"/>
      <c r="BJ1023" t="inlineStr"/>
      <c r="BK1023" t="inlineStr"/>
      <c r="BL1023" t="inlineStr"/>
      <c r="BM1023" t="inlineStr">
        <is>
          <t>ja vor</t>
        </is>
      </c>
      <c r="BN1023" t="n">
        <v>3.5</v>
      </c>
      <c r="BO1023" t="inlineStr"/>
      <c r="BP1023" t="inlineStr"/>
      <c r="BQ1023" t="inlineStr"/>
      <c r="BR1023" t="inlineStr">
        <is>
          <t>x</t>
        </is>
      </c>
      <c r="BS1023" t="inlineStr"/>
      <c r="BT1023" t="inlineStr"/>
      <c r="BU1023" t="inlineStr"/>
      <c r="BV1023" t="inlineStr"/>
      <c r="BW1023" t="inlineStr"/>
      <c r="BX1023" t="inlineStr"/>
      <c r="BY1023" t="inlineStr"/>
      <c r="BZ1023" t="inlineStr"/>
      <c r="CA1023" t="inlineStr">
        <is>
          <t>x</t>
        </is>
      </c>
      <c r="CB1023" t="inlineStr">
        <is>
          <t>x</t>
        </is>
      </c>
      <c r="CC1023" t="inlineStr"/>
      <c r="CD1023" t="inlineStr">
        <is>
          <t>v</t>
        </is>
      </c>
      <c r="CE1023" t="n">
        <v>1</v>
      </c>
      <c r="CF1023" t="inlineStr"/>
      <c r="CG1023" t="inlineStr"/>
      <c r="CH1023" t="inlineStr"/>
      <c r="CI1023" t="inlineStr"/>
      <c r="CJ1023" t="inlineStr"/>
      <c r="CK1023" t="inlineStr"/>
      <c r="CL1023" t="inlineStr"/>
      <c r="CM1023" t="n">
        <v>2.5</v>
      </c>
      <c r="CN1023" t="inlineStr">
        <is>
          <t>nur das Nötigste</t>
        </is>
      </c>
      <c r="CO1023" t="inlineStr"/>
      <c r="CP1023" t="inlineStr"/>
      <c r="CQ1023" t="inlineStr"/>
      <c r="CR1023" t="inlineStr"/>
      <c r="CS1023" t="inlineStr"/>
      <c r="CT1023" t="inlineStr">
        <is>
          <t>x</t>
        </is>
      </c>
      <c r="CU1023" t="inlineStr"/>
      <c r="CV1023" t="inlineStr"/>
      <c r="CW1023" t="inlineStr"/>
      <c r="CX1023" t="inlineStr"/>
      <c r="CY1023" t="inlineStr"/>
      <c r="CZ1023" t="inlineStr"/>
      <c r="DA1023" t="inlineStr"/>
      <c r="DB1023" t="inlineStr"/>
      <c r="DC1023" t="inlineStr"/>
      <c r="DD1023" t="inlineStr"/>
      <c r="DE1023" t="inlineStr"/>
      <c r="DF1023" t="n">
        <v>1</v>
      </c>
      <c r="DG1023" t="inlineStr"/>
    </row>
    <row r="1024">
      <c r="A1024" t="inlineStr">
        <is>
          <t>III</t>
        </is>
      </c>
      <c r="B1024" t="b">
        <v>1</v>
      </c>
      <c r="C1024" t="inlineStr"/>
      <c r="D1024" t="inlineStr"/>
      <c r="E1024" t="n">
        <v>1163</v>
      </c>
      <c r="F1024">
        <f>HYPERLINK("https://portal.dnb.de/opac.htm?method=simpleSearch&amp;cqlMode=true&amp;query=idn%3D1066957142", "Portal")</f>
        <v/>
      </c>
      <c r="G1024" t="inlineStr">
        <is>
          <t>Aaf</t>
        </is>
      </c>
      <c r="H1024" t="inlineStr">
        <is>
          <t>L-1530-315487763</t>
        </is>
      </c>
      <c r="I1024" t="inlineStr">
        <is>
          <t>1066957142</t>
        </is>
      </c>
      <c r="J1024" t="inlineStr">
        <is>
          <t>III 106, 2</t>
        </is>
      </c>
      <c r="K1024" t="inlineStr">
        <is>
          <t>III 106, 2</t>
        </is>
      </c>
      <c r="L1024" t="inlineStr">
        <is>
          <t>III 106, 2</t>
        </is>
      </c>
      <c r="M1024" t="inlineStr"/>
      <c r="N1024" t="inlineStr">
        <is>
          <t xml:space="preserve">GEsprech des kunstreichen : </t>
        </is>
      </c>
      <c r="O1024" t="inlineStr">
        <is>
          <t xml:space="preserve"> : </t>
        </is>
      </c>
      <c r="P1024" t="inlineStr"/>
      <c r="Q1024" t="inlineStr"/>
      <c r="R1024" t="inlineStr"/>
      <c r="S1024" t="inlineStr">
        <is>
          <t>bis 25 cm</t>
        </is>
      </c>
      <c r="T1024" t="inlineStr"/>
      <c r="U1024" t="inlineStr"/>
      <c r="V1024" t="inlineStr"/>
      <c r="W1024" t="inlineStr"/>
      <c r="X1024" t="inlineStr"/>
      <c r="Y1024" t="inlineStr"/>
      <c r="Z1024" t="inlineStr"/>
      <c r="AA1024" t="inlineStr"/>
      <c r="AB1024" t="inlineStr"/>
      <c r="AC1024" t="inlineStr"/>
      <c r="AD1024" t="inlineStr"/>
      <c r="AE1024" t="inlineStr"/>
      <c r="AF1024" t="inlineStr"/>
      <c r="AG1024" t="inlineStr"/>
      <c r="AH1024" t="inlineStr"/>
      <c r="AI1024" t="inlineStr">
        <is>
          <t>Pg</t>
        </is>
      </c>
      <c r="AJ1024" t="inlineStr"/>
      <c r="AK1024" t="inlineStr"/>
      <c r="AL1024" t="inlineStr"/>
      <c r="AM1024" t="inlineStr">
        <is>
          <t>h</t>
        </is>
      </c>
      <c r="AN1024" t="inlineStr"/>
      <c r="AO1024" t="inlineStr"/>
      <c r="AP1024" t="inlineStr"/>
      <c r="AQ1024" t="inlineStr"/>
      <c r="AR1024" t="inlineStr"/>
      <c r="AS1024" t="inlineStr">
        <is>
          <t>Pa</t>
        </is>
      </c>
      <c r="AT1024" t="inlineStr"/>
      <c r="AU1024" t="inlineStr"/>
      <c r="AV1024" t="inlineStr"/>
      <c r="AW1024" t="inlineStr"/>
      <c r="AX1024" t="inlineStr"/>
      <c r="AY1024" t="inlineStr"/>
      <c r="AZ1024" t="inlineStr"/>
      <c r="BA1024" t="inlineStr"/>
      <c r="BB1024" t="inlineStr"/>
      <c r="BC1024" t="inlineStr"/>
      <c r="BD1024" t="inlineStr"/>
      <c r="BE1024" t="inlineStr"/>
      <c r="BF1024" t="inlineStr"/>
      <c r="BG1024" t="n">
        <v>110</v>
      </c>
      <c r="BH1024" t="inlineStr"/>
      <c r="BI1024" t="inlineStr"/>
      <c r="BJ1024" t="inlineStr"/>
      <c r="BK1024" t="inlineStr"/>
      <c r="BL1024" t="inlineStr"/>
      <c r="BM1024" t="inlineStr">
        <is>
          <t>n</t>
        </is>
      </c>
      <c r="BN1024" t="n">
        <v>0</v>
      </c>
      <c r="BO1024" t="inlineStr"/>
      <c r="BP1024" t="inlineStr"/>
      <c r="BQ1024" t="inlineStr"/>
      <c r="BR1024" t="inlineStr"/>
      <c r="BS1024" t="inlineStr"/>
      <c r="BT1024" t="inlineStr">
        <is>
          <t>x sauer</t>
        </is>
      </c>
      <c r="BU1024" t="inlineStr">
        <is>
          <t>x</t>
        </is>
      </c>
      <c r="BV1024" t="inlineStr"/>
      <c r="BW1024" t="inlineStr"/>
      <c r="BX1024" t="inlineStr"/>
      <c r="BY1024" t="inlineStr"/>
      <c r="BZ1024" t="inlineStr"/>
      <c r="CA1024" t="inlineStr"/>
      <c r="CB1024" t="inlineStr"/>
      <c r="CC1024" t="inlineStr"/>
      <c r="CD1024" t="inlineStr"/>
      <c r="CE1024" t="inlineStr"/>
      <c r="CF1024" t="inlineStr"/>
      <c r="CG1024" t="inlineStr"/>
      <c r="CH1024" t="inlineStr"/>
      <c r="CI1024" t="inlineStr"/>
      <c r="CJ1024" t="inlineStr"/>
      <c r="CK1024" t="inlineStr"/>
      <c r="CL1024" t="inlineStr"/>
      <c r="CM1024" t="inlineStr"/>
      <c r="CN1024" t="inlineStr"/>
      <c r="CO1024" t="inlineStr"/>
      <c r="CP1024" t="inlineStr"/>
      <c r="CQ1024" t="inlineStr"/>
      <c r="CR1024" t="inlineStr"/>
      <c r="CS1024" t="inlineStr"/>
      <c r="CT1024" t="inlineStr"/>
      <c r="CU1024" t="inlineStr"/>
      <c r="CV1024" t="inlineStr"/>
      <c r="CW1024" t="inlineStr"/>
      <c r="CX1024" t="inlineStr"/>
      <c r="CY1024" t="inlineStr"/>
      <c r="CZ1024" t="inlineStr"/>
      <c r="DA1024" t="inlineStr"/>
      <c r="DB1024" t="inlineStr"/>
      <c r="DC1024" t="inlineStr"/>
      <c r="DD1024" t="inlineStr"/>
      <c r="DE1024" t="inlineStr"/>
      <c r="DF1024" t="inlineStr"/>
      <c r="DG1024" t="inlineStr"/>
    </row>
    <row r="1025">
      <c r="A1025" t="inlineStr">
        <is>
          <t>III</t>
        </is>
      </c>
      <c r="B1025" t="b">
        <v>1</v>
      </c>
      <c r="C1025" t="inlineStr">
        <is>
          <t>x</t>
        </is>
      </c>
      <c r="D1025" t="inlineStr"/>
      <c r="E1025" t="inlineStr"/>
      <c r="F1025">
        <f>HYPERLINK("https://portal.dnb.de/opac.htm?method=simpleSearch&amp;cqlMode=true&amp;query=idn%3D1137966130", "Portal")</f>
        <v/>
      </c>
      <c r="G1025" t="inlineStr">
        <is>
          <t>Qd</t>
        </is>
      </c>
      <c r="H1025" t="inlineStr">
        <is>
          <t>L-9999-41428173X</t>
        </is>
      </c>
      <c r="I1025" t="inlineStr">
        <is>
          <t>1137966130</t>
        </is>
      </c>
      <c r="J1025" t="inlineStr">
        <is>
          <t>III 106, 3</t>
        </is>
      </c>
      <c r="K1025" t="inlineStr">
        <is>
          <t>III 106, 3</t>
        </is>
      </c>
      <c r="L1025" t="inlineStr">
        <is>
          <t>III 106, 3</t>
        </is>
      </c>
      <c r="M1025" t="inlineStr"/>
      <c r="N1025" t="inlineStr">
        <is>
          <t xml:space="preserve">Sammelband : </t>
        </is>
      </c>
      <c r="O1025" t="inlineStr">
        <is>
          <t xml:space="preserve"> : </t>
        </is>
      </c>
      <c r="P1025" t="inlineStr"/>
      <c r="Q1025" t="inlineStr">
        <is>
          <t>1732,00 EUR</t>
        </is>
      </c>
      <c r="R1025" t="inlineStr"/>
      <c r="S1025" t="inlineStr">
        <is>
          <t>bis 35 cm</t>
        </is>
      </c>
      <c r="T1025" t="inlineStr"/>
      <c r="U1025" t="inlineStr"/>
      <c r="V1025" t="inlineStr"/>
      <c r="W1025" t="inlineStr"/>
      <c r="X1025" t="inlineStr"/>
      <c r="Y1025" t="inlineStr"/>
      <c r="Z1025" t="inlineStr"/>
      <c r="AA1025" t="inlineStr"/>
      <c r="AB1025" t="inlineStr"/>
      <c r="AC1025" t="inlineStr"/>
      <c r="AD1025" t="inlineStr"/>
      <c r="AE1025" t="inlineStr"/>
      <c r="AF1025" t="inlineStr"/>
      <c r="AG1025" t="inlineStr"/>
      <c r="AH1025" t="inlineStr"/>
      <c r="AI1025" t="inlineStr">
        <is>
          <t>L</t>
        </is>
      </c>
      <c r="AJ1025" t="inlineStr"/>
      <c r="AK1025" t="inlineStr">
        <is>
          <t>x</t>
        </is>
      </c>
      <c r="AL1025" t="inlineStr">
        <is>
          <t>x</t>
        </is>
      </c>
      <c r="AM1025" t="inlineStr">
        <is>
          <t>f</t>
        </is>
      </c>
      <c r="AN1025" t="inlineStr"/>
      <c r="AO1025" t="inlineStr"/>
      <c r="AP1025" t="inlineStr"/>
      <c r="AQ1025" t="inlineStr"/>
      <c r="AR1025" t="inlineStr"/>
      <c r="AS1025" t="inlineStr">
        <is>
          <t>Pa</t>
        </is>
      </c>
      <c r="AT1025" t="inlineStr"/>
      <c r="AU1025" t="inlineStr"/>
      <c r="AV1025" t="inlineStr"/>
      <c r="AW1025" t="inlineStr"/>
      <c r="AX1025" t="inlineStr"/>
      <c r="AY1025" t="inlineStr"/>
      <c r="AZ1025" t="inlineStr"/>
      <c r="BA1025" t="inlineStr"/>
      <c r="BB1025" t="inlineStr"/>
      <c r="BC1025" t="inlineStr"/>
      <c r="BD1025" t="inlineStr"/>
      <c r="BE1025" t="inlineStr"/>
      <c r="BF1025" t="inlineStr"/>
      <c r="BG1025" t="n">
        <v>45</v>
      </c>
      <c r="BH1025" t="inlineStr">
        <is>
          <t xml:space="preserve">
oder 0 (Ledernarben ist extrem brüchig und bröselig)</t>
        </is>
      </c>
      <c r="BI1025" t="inlineStr"/>
      <c r="BJ1025" t="inlineStr"/>
      <c r="BK1025" t="inlineStr"/>
      <c r="BL1025" t="inlineStr"/>
      <c r="BM1025" t="inlineStr">
        <is>
          <t>ja vor</t>
        </is>
      </c>
      <c r="BN1025" t="n">
        <v>10</v>
      </c>
      <c r="BO1025" t="inlineStr"/>
      <c r="BP1025" t="inlineStr"/>
      <c r="BQ1025" t="inlineStr"/>
      <c r="BR1025" t="inlineStr">
        <is>
          <t>x</t>
        </is>
      </c>
      <c r="BS1025" t="inlineStr"/>
      <c r="BT1025" t="inlineStr"/>
      <c r="BU1025" t="inlineStr"/>
      <c r="BV1025" t="inlineStr">
        <is>
          <t>Ledernarben ist extrem rissig, spröde und bröselig -&gt; Festigen? Mit Stephanie besprechen</t>
        </is>
      </c>
      <c r="BW1025" t="inlineStr"/>
      <c r="BX1025" t="inlineStr"/>
      <c r="BY1025" t="inlineStr">
        <is>
          <t>Umschlag (Ledernarben extrem empfindlich)</t>
        </is>
      </c>
      <c r="BZ1025" t="inlineStr"/>
      <c r="CA1025" t="inlineStr">
        <is>
          <t>x</t>
        </is>
      </c>
      <c r="CB1025" t="inlineStr"/>
      <c r="CC1025" t="inlineStr">
        <is>
          <t>x</t>
        </is>
      </c>
      <c r="CD1025" t="inlineStr"/>
      <c r="CE1025" t="inlineStr"/>
      <c r="CF1025" t="inlineStr"/>
      <c r="CG1025" t="inlineStr"/>
      <c r="CH1025" t="inlineStr"/>
      <c r="CI1025" t="inlineStr"/>
      <c r="CJ1025" t="inlineStr"/>
      <c r="CK1025" t="inlineStr"/>
      <c r="CL1025" t="inlineStr"/>
      <c r="CM1025" t="n">
        <v>10</v>
      </c>
      <c r="CN1025" t="inlineStr">
        <is>
          <t>Festigen oder belassen? Klucel? Rest.bedarf genauer kalkulieren!!</t>
        </is>
      </c>
      <c r="CO1025" t="inlineStr"/>
      <c r="CP1025" t="inlineStr"/>
      <c r="CQ1025" t="inlineStr"/>
      <c r="CR1025" t="inlineStr"/>
      <c r="CS1025" t="inlineStr"/>
      <c r="CT1025" t="inlineStr"/>
      <c r="CU1025" t="inlineStr"/>
      <c r="CV1025" t="inlineStr"/>
      <c r="CW1025" t="inlineStr"/>
      <c r="CX1025" t="inlineStr"/>
      <c r="CY1025" t="inlineStr"/>
      <c r="CZ1025" t="inlineStr"/>
      <c r="DA1025" t="inlineStr"/>
      <c r="DB1025" t="inlineStr"/>
      <c r="DC1025" t="inlineStr"/>
      <c r="DD1025" t="inlineStr"/>
      <c r="DE1025" t="inlineStr"/>
      <c r="DF1025" t="inlineStr"/>
      <c r="DG1025" t="inlineStr"/>
    </row>
    <row r="1026">
      <c r="A1026" t="inlineStr">
        <is>
          <t>III</t>
        </is>
      </c>
      <c r="B1026" t="b">
        <v>1</v>
      </c>
      <c r="C1026" t="inlineStr"/>
      <c r="D1026" t="inlineStr"/>
      <c r="E1026" t="n">
        <v>1165</v>
      </c>
      <c r="F1026">
        <f>HYPERLINK("https://portal.dnb.de/opac.htm?method=simpleSearch&amp;cqlMode=true&amp;query=idn%3D1066873208", "Portal")</f>
        <v/>
      </c>
      <c r="G1026" t="inlineStr">
        <is>
          <t>Aaf</t>
        </is>
      </c>
      <c r="H1026" t="inlineStr">
        <is>
          <t>L-1539-31533102X</t>
        </is>
      </c>
      <c r="I1026" t="inlineStr">
        <is>
          <t>1066873208</t>
        </is>
      </c>
      <c r="J1026" t="inlineStr">
        <is>
          <t>III 106, 4</t>
        </is>
      </c>
      <c r="K1026" t="inlineStr">
        <is>
          <t>III 106, 4</t>
        </is>
      </c>
      <c r="L1026" t="inlineStr">
        <is>
          <t>III 106, 4</t>
        </is>
      </c>
      <c r="M1026" t="inlineStr"/>
      <c r="N1026" t="inlineStr">
        <is>
          <t xml:space="preserve">Freidanck.|| Der Freidanck new mit figuren/|| Fügt Pfaffen/ Adel/ Leyen/ Buren.|| ...|| [Bearb.: Sebastianus Brant. Hrsg.: Sebastianus Wagner] : </t>
        </is>
      </c>
      <c r="O1026" t="inlineStr">
        <is>
          <t xml:space="preserve"> : </t>
        </is>
      </c>
      <c r="P1026" t="inlineStr"/>
      <c r="Q1026" t="inlineStr"/>
      <c r="R1026" t="inlineStr"/>
      <c r="S1026" t="inlineStr">
        <is>
          <t>bis 35 cm</t>
        </is>
      </c>
      <c r="T1026" t="inlineStr"/>
      <c r="U1026" t="inlineStr"/>
      <c r="V1026" t="inlineStr"/>
      <c r="W1026" t="inlineStr"/>
      <c r="X1026" t="inlineStr"/>
      <c r="Y1026" t="inlineStr"/>
      <c r="Z1026" t="inlineStr"/>
      <c r="AA1026" t="inlineStr"/>
      <c r="AB1026" t="inlineStr"/>
      <c r="AC1026" t="inlineStr"/>
      <c r="AD1026" t="inlineStr"/>
      <c r="AE1026" t="inlineStr"/>
      <c r="AF1026" t="inlineStr"/>
      <c r="AG1026" t="inlineStr"/>
      <c r="AH1026" t="inlineStr"/>
      <c r="AI1026" t="inlineStr">
        <is>
          <t>Pg</t>
        </is>
      </c>
      <c r="AJ1026" t="inlineStr"/>
      <c r="AK1026" t="inlineStr">
        <is>
          <t>x</t>
        </is>
      </c>
      <c r="AL1026" t="inlineStr"/>
      <c r="AM1026" t="inlineStr">
        <is>
          <t>h</t>
        </is>
      </c>
      <c r="AN1026" t="inlineStr"/>
      <c r="AO1026" t="inlineStr"/>
      <c r="AP1026" t="inlineStr"/>
      <c r="AQ1026" t="inlineStr">
        <is>
          <t>x</t>
        </is>
      </c>
      <c r="AR1026" t="inlineStr"/>
      <c r="AS1026" t="inlineStr">
        <is>
          <t>Pa</t>
        </is>
      </c>
      <c r="AT1026" t="inlineStr"/>
      <c r="AU1026" t="inlineStr"/>
      <c r="AV1026" t="inlineStr"/>
      <c r="AW1026" t="inlineStr"/>
      <c r="AX1026" t="inlineStr"/>
      <c r="AY1026" t="inlineStr"/>
      <c r="AZ1026" t="inlineStr"/>
      <c r="BA1026" t="inlineStr"/>
      <c r="BB1026" t="inlineStr"/>
      <c r="BC1026" t="inlineStr"/>
      <c r="BD1026" t="inlineStr"/>
      <c r="BE1026" t="inlineStr"/>
      <c r="BF1026" t="inlineStr"/>
      <c r="BG1026" t="n">
        <v>110</v>
      </c>
      <c r="BH1026" t="inlineStr"/>
      <c r="BI1026" t="inlineStr"/>
      <c r="BJ1026" t="inlineStr"/>
      <c r="BK1026" t="inlineStr"/>
      <c r="BL1026" t="inlineStr"/>
      <c r="BM1026" t="inlineStr">
        <is>
          <t>n</t>
        </is>
      </c>
      <c r="BN1026" t="n">
        <v>0</v>
      </c>
      <c r="BO1026" t="inlineStr"/>
      <c r="BP1026" t="inlineStr"/>
      <c r="BQ1026" t="inlineStr"/>
      <c r="BR1026" t="inlineStr">
        <is>
          <t>x</t>
        </is>
      </c>
      <c r="BS1026" t="inlineStr"/>
      <c r="BT1026" t="inlineStr"/>
      <c r="BU1026" t="inlineStr"/>
      <c r="BV1026" t="inlineStr"/>
      <c r="BW1026" t="inlineStr"/>
      <c r="BX1026" t="inlineStr"/>
      <c r="BY1026" t="inlineStr"/>
      <c r="BZ1026" t="inlineStr"/>
      <c r="CA1026" t="inlineStr"/>
      <c r="CB1026" t="inlineStr"/>
      <c r="CC1026" t="inlineStr"/>
      <c r="CD1026" t="inlineStr"/>
      <c r="CE1026" t="inlineStr"/>
      <c r="CF1026" t="inlineStr"/>
      <c r="CG1026" t="inlineStr"/>
      <c r="CH1026" t="inlineStr"/>
      <c r="CI1026" t="inlineStr"/>
      <c r="CJ1026" t="inlineStr"/>
      <c r="CK1026" t="inlineStr"/>
      <c r="CL1026" t="inlineStr"/>
      <c r="CM1026" t="inlineStr"/>
      <c r="CN1026" t="inlineStr"/>
      <c r="CO1026" t="inlineStr"/>
      <c r="CP1026" t="inlineStr"/>
      <c r="CQ1026" t="inlineStr"/>
      <c r="CR1026" t="inlineStr"/>
      <c r="CS1026" t="inlineStr"/>
      <c r="CT1026" t="inlineStr"/>
      <c r="CU1026" t="inlineStr"/>
      <c r="CV1026" t="inlineStr"/>
      <c r="CW1026" t="inlineStr"/>
      <c r="CX1026" t="inlineStr"/>
      <c r="CY1026" t="inlineStr"/>
      <c r="CZ1026" t="inlineStr"/>
      <c r="DA1026" t="inlineStr"/>
      <c r="DB1026" t="inlineStr"/>
      <c r="DC1026" t="inlineStr"/>
      <c r="DD1026" t="inlineStr"/>
      <c r="DE1026" t="inlineStr"/>
      <c r="DF1026" t="inlineStr"/>
      <c r="DG1026" t="inlineStr"/>
    </row>
    <row r="1027">
      <c r="A1027" t="inlineStr">
        <is>
          <t>III</t>
        </is>
      </c>
      <c r="B1027" t="b">
        <v>1</v>
      </c>
      <c r="C1027" t="inlineStr"/>
      <c r="D1027" t="inlineStr"/>
      <c r="E1027" t="n">
        <v>1167</v>
      </c>
      <c r="F1027">
        <f>HYPERLINK("https://portal.dnb.de/opac.htm?method=simpleSearch&amp;cqlMode=true&amp;query=idn%3D1066960178", "Portal")</f>
        <v/>
      </c>
      <c r="G1027" t="inlineStr">
        <is>
          <t>Aaf</t>
        </is>
      </c>
      <c r="H1027" t="inlineStr">
        <is>
          <t>L-1503-315490683</t>
        </is>
      </c>
      <c r="I1027" t="inlineStr">
        <is>
          <t>1066960178</t>
        </is>
      </c>
      <c r="J1027" t="inlineStr">
        <is>
          <t>III 107, 1 (ÜF / 4. OG: R73A/10/1)</t>
        </is>
      </c>
      <c r="K1027" t="inlineStr">
        <is>
          <t>III 107, 1</t>
        </is>
      </c>
      <c r="L1027" t="inlineStr">
        <is>
          <t>III 107, 1</t>
        </is>
      </c>
      <c r="M1027" t="inlineStr">
        <is>
          <t>liegt bei ÜF</t>
        </is>
      </c>
      <c r="N1027" t="inlineStr">
        <is>
          <t xml:space="preserve">Missale Herbipolense : </t>
        </is>
      </c>
      <c r="O1027" t="inlineStr">
        <is>
          <t xml:space="preserve"> : </t>
        </is>
      </c>
      <c r="P1027" t="inlineStr">
        <is>
          <t>X</t>
        </is>
      </c>
      <c r="Q1027" t="inlineStr"/>
      <c r="R1027" t="inlineStr">
        <is>
          <t>Halbledereinband, Schließen, erhabene Buchbeschläge</t>
        </is>
      </c>
      <c r="S1027" t="inlineStr">
        <is>
          <t>bis 42 cm</t>
        </is>
      </c>
      <c r="T1027" t="inlineStr">
        <is>
          <t>80° bis 110°, einseitig digitalisierbar?</t>
        </is>
      </c>
      <c r="U1027" t="inlineStr">
        <is>
          <t>fester Rücken mit Schmuckprägung</t>
        </is>
      </c>
      <c r="V1027" t="inlineStr"/>
      <c r="W1027" t="inlineStr"/>
      <c r="X1027" t="inlineStr">
        <is>
          <t>Signaturfahne austauschen</t>
        </is>
      </c>
      <c r="Y1027" t="n">
        <v>0</v>
      </c>
      <c r="Z1027" t="inlineStr"/>
      <c r="AA1027" t="inlineStr">
        <is>
          <t>steht in ÜF</t>
        </is>
      </c>
      <c r="AB1027" t="inlineStr"/>
      <c r="AC1027" t="inlineStr"/>
      <c r="AD1027" t="inlineStr"/>
      <c r="AE1027" t="inlineStr"/>
      <c r="AF1027" t="inlineStr"/>
      <c r="AG1027" t="inlineStr"/>
      <c r="AH1027" t="inlineStr"/>
      <c r="AI1027" t="inlineStr">
        <is>
          <t>HD</t>
        </is>
      </c>
      <c r="AJ1027" t="inlineStr"/>
      <c r="AK1027" t="inlineStr"/>
      <c r="AL1027" t="inlineStr">
        <is>
          <t>x</t>
        </is>
      </c>
      <c r="AM1027" t="inlineStr">
        <is>
          <t>f</t>
        </is>
      </c>
      <c r="AN1027" t="inlineStr"/>
      <c r="AO1027" t="inlineStr"/>
      <c r="AP1027" t="inlineStr"/>
      <c r="AQ1027" t="inlineStr"/>
      <c r="AR1027" t="inlineStr"/>
      <c r="AS1027" t="inlineStr">
        <is>
          <t>Pa</t>
        </is>
      </c>
      <c r="AT1027" t="inlineStr"/>
      <c r="AU1027" t="inlineStr"/>
      <c r="AV1027" t="inlineStr"/>
      <c r="AW1027" t="inlineStr"/>
      <c r="AX1027" t="inlineStr"/>
      <c r="AY1027" t="inlineStr"/>
      <c r="AZ1027" t="inlineStr"/>
      <c r="BA1027" t="inlineStr"/>
      <c r="BB1027" t="inlineStr"/>
      <c r="BC1027" t="inlineStr">
        <is>
          <t>I/R</t>
        </is>
      </c>
      <c r="BD1027" t="inlineStr">
        <is>
          <t>x</t>
        </is>
      </c>
      <c r="BE1027" t="inlineStr"/>
      <c r="BF1027" t="inlineStr"/>
      <c r="BG1027" t="n">
        <v>110</v>
      </c>
      <c r="BH1027" t="inlineStr"/>
      <c r="BI1027" t="inlineStr"/>
      <c r="BJ1027" t="inlineStr"/>
      <c r="BK1027" t="inlineStr"/>
      <c r="BL1027" t="inlineStr"/>
      <c r="BM1027" t="inlineStr">
        <is>
          <t>n</t>
        </is>
      </c>
      <c r="BN1027" t="n">
        <v>0</v>
      </c>
      <c r="BO1027" t="inlineStr"/>
      <c r="BP1027" t="inlineStr"/>
      <c r="BQ1027" t="inlineStr"/>
      <c r="BR1027" t="inlineStr"/>
      <c r="BS1027" t="inlineStr"/>
      <c r="BT1027" t="inlineStr"/>
      <c r="BU1027" t="inlineStr"/>
      <c r="BV1027" t="inlineStr"/>
      <c r="BW1027" t="inlineStr"/>
      <c r="BX1027" t="inlineStr"/>
      <c r="BY1027" t="inlineStr"/>
      <c r="BZ1027" t="inlineStr"/>
      <c r="CA1027" t="inlineStr"/>
      <c r="CB1027" t="inlineStr"/>
      <c r="CC1027" t="inlineStr"/>
      <c r="CD1027" t="inlineStr"/>
      <c r="CE1027" t="inlineStr"/>
      <c r="CF1027" t="inlineStr"/>
      <c r="CG1027" t="inlineStr"/>
      <c r="CH1027" t="inlineStr"/>
      <c r="CI1027" t="inlineStr"/>
      <c r="CJ1027" t="inlineStr"/>
      <c r="CK1027" t="inlineStr"/>
      <c r="CL1027" t="inlineStr"/>
      <c r="CM1027" t="inlineStr"/>
      <c r="CN1027" t="inlineStr"/>
      <c r="CO1027" t="inlineStr"/>
      <c r="CP1027" t="inlineStr"/>
      <c r="CQ1027" t="inlineStr"/>
      <c r="CR1027" t="inlineStr"/>
      <c r="CS1027" t="inlineStr"/>
      <c r="CT1027" t="inlineStr"/>
      <c r="CU1027" t="inlineStr"/>
      <c r="CV1027" t="inlineStr"/>
      <c r="CW1027" t="inlineStr"/>
      <c r="CX1027" t="inlineStr"/>
      <c r="CY1027" t="inlineStr"/>
      <c r="CZ1027" t="inlineStr"/>
      <c r="DA1027" t="inlineStr"/>
      <c r="DB1027" t="inlineStr"/>
      <c r="DC1027" t="inlineStr"/>
      <c r="DD1027" t="inlineStr"/>
      <c r="DE1027" t="inlineStr"/>
      <c r="DF1027" t="inlineStr"/>
      <c r="DG1027" t="inlineStr"/>
    </row>
    <row r="1028">
      <c r="A1028" t="inlineStr">
        <is>
          <t>III</t>
        </is>
      </c>
      <c r="B1028" t="b">
        <v>1</v>
      </c>
      <c r="C1028" t="inlineStr"/>
      <c r="D1028" t="inlineStr"/>
      <c r="E1028" t="n">
        <v>1168</v>
      </c>
      <c r="F1028">
        <f>HYPERLINK("https://portal.dnb.de/opac.htm?method=simpleSearch&amp;cqlMode=true&amp;query=idn%3D1066963290", "Portal")</f>
        <v/>
      </c>
      <c r="G1028" t="inlineStr">
        <is>
          <t>Aaf</t>
        </is>
      </c>
      <c r="H1028" t="inlineStr">
        <is>
          <t>L-1524-315493550</t>
        </is>
      </c>
      <c r="I1028" t="inlineStr">
        <is>
          <t>1066963290</t>
        </is>
      </c>
      <c r="J1028" t="inlineStr">
        <is>
          <t>III 108, 1</t>
        </is>
      </c>
      <c r="K1028" t="inlineStr">
        <is>
          <t>III 108, 1</t>
        </is>
      </c>
      <c r="L1028" t="inlineStr">
        <is>
          <t>III 108, 1</t>
        </is>
      </c>
      <c r="M1028" t="inlineStr"/>
      <c r="N1028" t="inlineStr">
        <is>
          <t>Von g#[oe]tlicher vnd m?sch||licher grechtigkeit/ wie die zemen sehind vñ standind|| Ein predge Huldrych Zuinglis an. S. Joanns|| Teuffers tag gethon/</t>
        </is>
      </c>
      <c r="O1028" t="inlineStr">
        <is>
          <t xml:space="preserve"> : </t>
        </is>
      </c>
      <c r="P1028" t="inlineStr"/>
      <c r="Q1028" t="inlineStr"/>
      <c r="R1028" t="inlineStr"/>
      <c r="S1028" t="inlineStr">
        <is>
          <t>bis 25 cm</t>
        </is>
      </c>
      <c r="T1028" t="inlineStr"/>
      <c r="U1028" t="inlineStr"/>
      <c r="V1028" t="inlineStr"/>
      <c r="W1028" t="inlineStr"/>
      <c r="X1028" t="inlineStr"/>
      <c r="Y1028" t="inlineStr"/>
      <c r="Z1028" t="inlineStr"/>
      <c r="AA1028" t="inlineStr"/>
      <c r="AB1028" t="inlineStr"/>
      <c r="AC1028" t="inlineStr"/>
      <c r="AD1028" t="inlineStr"/>
      <c r="AE1028" t="inlineStr"/>
      <c r="AF1028" t="inlineStr"/>
      <c r="AG1028" t="inlineStr"/>
      <c r="AH1028" t="inlineStr"/>
      <c r="AI1028" t="inlineStr">
        <is>
          <t>Pg</t>
        </is>
      </c>
      <c r="AJ1028" t="inlineStr"/>
      <c r="AK1028" t="inlineStr"/>
      <c r="AL1028" t="inlineStr">
        <is>
          <t>x</t>
        </is>
      </c>
      <c r="AM1028" t="inlineStr">
        <is>
          <t>h/E</t>
        </is>
      </c>
      <c r="AN1028" t="inlineStr"/>
      <c r="AO1028" t="inlineStr"/>
      <c r="AP1028" t="inlineStr"/>
      <c r="AQ1028" t="inlineStr"/>
      <c r="AR1028" t="inlineStr"/>
      <c r="AS1028" t="inlineStr">
        <is>
          <t>Pa</t>
        </is>
      </c>
      <c r="AT1028" t="inlineStr"/>
      <c r="AU1028" t="inlineStr"/>
      <c r="AV1028" t="inlineStr"/>
      <c r="AW1028" t="inlineStr"/>
      <c r="AX1028" t="inlineStr"/>
      <c r="AY1028" t="inlineStr"/>
      <c r="AZ1028" t="inlineStr"/>
      <c r="BA1028" t="inlineStr"/>
      <c r="BB1028" t="inlineStr"/>
      <c r="BC1028" t="inlineStr"/>
      <c r="BD1028" t="inlineStr"/>
      <c r="BE1028" t="inlineStr"/>
      <c r="BF1028" t="inlineStr"/>
      <c r="BG1028" t="n">
        <v>110</v>
      </c>
      <c r="BH1028" t="inlineStr"/>
      <c r="BI1028" t="inlineStr"/>
      <c r="BJ1028" t="inlineStr"/>
      <c r="BK1028" t="inlineStr"/>
      <c r="BL1028" t="inlineStr"/>
      <c r="BM1028" t="inlineStr">
        <is>
          <t>n</t>
        </is>
      </c>
      <c r="BN1028" t="n">
        <v>0</v>
      </c>
      <c r="BO1028" t="inlineStr"/>
      <c r="BP1028" t="inlineStr">
        <is>
          <t>Gewebe</t>
        </is>
      </c>
      <c r="BQ1028" t="inlineStr"/>
      <c r="BR1028" t="inlineStr"/>
      <c r="BS1028" t="inlineStr"/>
      <c r="BT1028" t="inlineStr"/>
      <c r="BU1028" t="inlineStr"/>
      <c r="BV1028" t="inlineStr"/>
      <c r="BW1028" t="inlineStr"/>
      <c r="BX1028" t="inlineStr"/>
      <c r="BY1028" t="inlineStr"/>
      <c r="BZ1028" t="inlineStr"/>
      <c r="CA1028" t="inlineStr"/>
      <c r="CB1028" t="inlineStr"/>
      <c r="CC1028" t="inlineStr"/>
      <c r="CD1028" t="inlineStr"/>
      <c r="CE1028" t="inlineStr"/>
      <c r="CF1028" t="inlineStr"/>
      <c r="CG1028" t="inlineStr"/>
      <c r="CH1028" t="inlineStr"/>
      <c r="CI1028" t="inlineStr"/>
      <c r="CJ1028" t="inlineStr"/>
      <c r="CK1028" t="inlineStr"/>
      <c r="CL1028" t="inlineStr"/>
      <c r="CM1028" t="inlineStr"/>
      <c r="CN1028" t="inlineStr"/>
      <c r="CO1028" t="inlineStr"/>
      <c r="CP1028" t="inlineStr"/>
      <c r="CQ1028" t="inlineStr"/>
      <c r="CR1028" t="inlineStr"/>
      <c r="CS1028" t="inlineStr"/>
      <c r="CT1028" t="inlineStr"/>
      <c r="CU1028" t="inlineStr"/>
      <c r="CV1028" t="inlineStr"/>
      <c r="CW1028" t="inlineStr"/>
      <c r="CX1028" t="inlineStr"/>
      <c r="CY1028" t="inlineStr"/>
      <c r="CZ1028" t="inlineStr"/>
      <c r="DA1028" t="inlineStr"/>
      <c r="DB1028" t="inlineStr"/>
      <c r="DC1028" t="inlineStr"/>
      <c r="DD1028" t="inlineStr"/>
      <c r="DE1028" t="inlineStr"/>
      <c r="DF1028" t="inlineStr"/>
      <c r="DG1028" t="inlineStr"/>
    </row>
    <row r="1029">
      <c r="A1029" t="inlineStr">
        <is>
          <t>III</t>
        </is>
      </c>
      <c r="B1029" t="b">
        <v>1</v>
      </c>
      <c r="C1029" t="inlineStr"/>
      <c r="D1029" t="inlineStr"/>
      <c r="E1029" t="n">
        <v>1169</v>
      </c>
      <c r="F1029">
        <f>HYPERLINK("https://portal.dnb.de/opac.htm?method=simpleSearch&amp;cqlMode=true&amp;query=idn%3D1066963274", "Portal")</f>
        <v/>
      </c>
      <c r="G1029" t="inlineStr">
        <is>
          <t>Aaf</t>
        </is>
      </c>
      <c r="H1029" t="inlineStr">
        <is>
          <t>L-1526-315493542</t>
        </is>
      </c>
      <c r="I1029" t="inlineStr">
        <is>
          <t>1066963274</t>
        </is>
      </c>
      <c r="J1029" t="inlineStr">
        <is>
          <t>III 108, 2</t>
        </is>
      </c>
      <c r="K1029" t="inlineStr">
        <is>
          <t>III 108, 2</t>
        </is>
      </c>
      <c r="L1029" t="inlineStr">
        <is>
          <t>III 108, 2</t>
        </is>
      </c>
      <c r="M1029" t="inlineStr"/>
      <c r="N1029" t="inlineStr">
        <is>
          <t xml:space="preserve">DE PECCA||TO ORIGINALI DECLARATIO|| Huldrychi Zuinglij, Ad Vrbanum|| Rhegium.|| ...|| : </t>
        </is>
      </c>
      <c r="O1029" t="inlineStr">
        <is>
          <t xml:space="preserve"> : </t>
        </is>
      </c>
      <c r="P1029" t="inlineStr"/>
      <c r="Q1029" t="inlineStr"/>
      <c r="R1029" t="inlineStr"/>
      <c r="S1029" t="inlineStr">
        <is>
          <t>bis 25 cm</t>
        </is>
      </c>
      <c r="T1029" t="inlineStr"/>
      <c r="U1029" t="inlineStr"/>
      <c r="V1029" t="inlineStr"/>
      <c r="W1029" t="inlineStr"/>
      <c r="X1029" t="inlineStr"/>
      <c r="Y1029" t="inlineStr"/>
      <c r="Z1029" t="inlineStr"/>
      <c r="AA1029" t="inlineStr"/>
      <c r="AB1029" t="inlineStr"/>
      <c r="AC1029" t="inlineStr"/>
      <c r="AD1029" t="inlineStr"/>
      <c r="AE1029" t="inlineStr"/>
      <c r="AF1029" t="inlineStr"/>
      <c r="AG1029" t="inlineStr"/>
      <c r="AH1029" t="inlineStr"/>
      <c r="AI1029" t="inlineStr">
        <is>
          <t>G</t>
        </is>
      </c>
      <c r="AJ1029" t="inlineStr"/>
      <c r="AK1029" t="inlineStr">
        <is>
          <t>x</t>
        </is>
      </c>
      <c r="AL1029" t="inlineStr"/>
      <c r="AM1029" t="inlineStr">
        <is>
          <t>h/E</t>
        </is>
      </c>
      <c r="AN1029" t="inlineStr"/>
      <c r="AO1029" t="inlineStr"/>
      <c r="AP1029" t="inlineStr"/>
      <c r="AQ1029" t="inlineStr"/>
      <c r="AR1029" t="inlineStr"/>
      <c r="AS1029" t="inlineStr">
        <is>
          <t>Pa</t>
        </is>
      </c>
      <c r="AT1029" t="inlineStr">
        <is>
          <t>x</t>
        </is>
      </c>
      <c r="AU1029" t="inlineStr"/>
      <c r="AV1029" t="inlineStr"/>
      <c r="AW1029" t="inlineStr"/>
      <c r="AX1029" t="inlineStr"/>
      <c r="AY1029" t="inlineStr"/>
      <c r="AZ1029" t="inlineStr"/>
      <c r="BA1029" t="inlineStr"/>
      <c r="BB1029" t="inlineStr"/>
      <c r="BC1029" t="inlineStr"/>
      <c r="BD1029" t="inlineStr"/>
      <c r="BE1029" t="inlineStr"/>
      <c r="BF1029" t="inlineStr"/>
      <c r="BG1029" t="n">
        <v>110</v>
      </c>
      <c r="BH1029" t="inlineStr"/>
      <c r="BI1029" t="inlineStr"/>
      <c r="BJ1029" t="inlineStr"/>
      <c r="BK1029" t="inlineStr"/>
      <c r="BL1029" t="inlineStr"/>
      <c r="BM1029" t="inlineStr">
        <is>
          <t>n</t>
        </is>
      </c>
      <c r="BN1029" t="n">
        <v>0</v>
      </c>
      <c r="BO1029" t="inlineStr"/>
      <c r="BP1029" t="inlineStr"/>
      <c r="BQ1029" t="inlineStr"/>
      <c r="BR1029" t="inlineStr"/>
      <c r="BS1029" t="inlineStr"/>
      <c r="BT1029" t="inlineStr"/>
      <c r="BU1029" t="inlineStr"/>
      <c r="BV1029" t="inlineStr"/>
      <c r="BW1029" t="inlineStr"/>
      <c r="BX1029" t="inlineStr"/>
      <c r="BY1029" t="inlineStr"/>
      <c r="BZ1029" t="inlineStr"/>
      <c r="CA1029" t="inlineStr"/>
      <c r="CB1029" t="inlineStr"/>
      <c r="CC1029" t="inlineStr"/>
      <c r="CD1029" t="inlineStr"/>
      <c r="CE1029" t="inlineStr"/>
      <c r="CF1029" t="inlineStr"/>
      <c r="CG1029" t="inlineStr"/>
      <c r="CH1029" t="inlineStr"/>
      <c r="CI1029" t="inlineStr"/>
      <c r="CJ1029" t="inlineStr"/>
      <c r="CK1029" t="inlineStr"/>
      <c r="CL1029" t="inlineStr"/>
      <c r="CM1029" t="inlineStr"/>
      <c r="CN1029" t="inlineStr"/>
      <c r="CO1029" t="inlineStr"/>
      <c r="CP1029" t="inlineStr"/>
      <c r="CQ1029" t="inlineStr"/>
      <c r="CR1029" t="inlineStr"/>
      <c r="CS1029" t="inlineStr"/>
      <c r="CT1029" t="inlineStr"/>
      <c r="CU1029" t="inlineStr"/>
      <c r="CV1029" t="inlineStr"/>
      <c r="CW1029" t="inlineStr"/>
      <c r="CX1029" t="inlineStr"/>
      <c r="CY1029" t="inlineStr"/>
      <c r="CZ1029" t="inlineStr"/>
      <c r="DA1029" t="inlineStr"/>
      <c r="DB1029" t="inlineStr"/>
      <c r="DC1029" t="inlineStr"/>
      <c r="DD1029" t="inlineStr"/>
      <c r="DE1029" t="inlineStr"/>
      <c r="DF1029" t="inlineStr"/>
      <c r="DG1029" t="inlineStr"/>
    </row>
    <row r="1030">
      <c r="A1030" t="inlineStr">
        <is>
          <t>III</t>
        </is>
      </c>
      <c r="B1030" t="b">
        <v>1</v>
      </c>
      <c r="C1030" t="inlineStr"/>
      <c r="D1030" t="inlineStr"/>
      <c r="E1030" t="n">
        <v>1173</v>
      </c>
      <c r="F1030">
        <f>HYPERLINK("https://portal.dnb.de/opac.htm?method=simpleSearch&amp;cqlMode=true&amp;query=idn%3D1003783562", "Portal")</f>
        <v/>
      </c>
      <c r="G1030" t="inlineStr">
        <is>
          <t>Aal</t>
        </is>
      </c>
      <c r="H1030" t="inlineStr">
        <is>
          <t>L-1522-180631152</t>
        </is>
      </c>
      <c r="I1030" t="inlineStr">
        <is>
          <t>1003783562</t>
        </is>
      </c>
      <c r="J1030" t="inlineStr">
        <is>
          <t>III 108, 2 a</t>
        </is>
      </c>
      <c r="K1030" t="inlineStr">
        <is>
          <t>III 108, 2 a</t>
        </is>
      </c>
      <c r="L1030" t="inlineStr">
        <is>
          <t>III 108, 2 a</t>
        </is>
      </c>
      <c r="M1030" t="inlineStr"/>
      <c r="N1030" t="inlineStr">
        <is>
          <t>SVGGESTIO DE||LIBERANDI SVPER PROPOSITIO||ne Hadriani pontificis Romani Nerobergae facta|| ad principes Germaniae à quodam ingenue||tum in co[m]mune R</t>
        </is>
      </c>
      <c r="O1030" t="inlineStr">
        <is>
          <t xml:space="preserve"> : </t>
        </is>
      </c>
      <c r="P1030" t="inlineStr"/>
      <c r="Q1030" t="inlineStr"/>
      <c r="R1030" t="inlineStr"/>
      <c r="S1030" t="inlineStr">
        <is>
          <t>bis 25 cm</t>
        </is>
      </c>
      <c r="T1030" t="inlineStr"/>
      <c r="U1030" t="inlineStr"/>
      <c r="V1030" t="inlineStr"/>
      <c r="W1030" t="inlineStr"/>
      <c r="X1030" t="inlineStr"/>
      <c r="Y1030" t="inlineStr"/>
      <c r="Z1030" t="inlineStr"/>
      <c r="AA1030" t="inlineStr"/>
      <c r="AB1030" t="inlineStr"/>
      <c r="AC1030" t="inlineStr"/>
      <c r="AD1030" t="inlineStr"/>
      <c r="AE1030" t="inlineStr"/>
      <c r="AF1030" t="inlineStr"/>
      <c r="AG1030" t="inlineStr"/>
      <c r="AH1030" t="inlineStr"/>
      <c r="AI1030" t="inlineStr">
        <is>
          <t>Pa</t>
        </is>
      </c>
      <c r="AJ1030" t="inlineStr"/>
      <c r="AK1030" t="inlineStr"/>
      <c r="AL1030" t="inlineStr"/>
      <c r="AM1030" t="inlineStr">
        <is>
          <t>h/E</t>
        </is>
      </c>
      <c r="AN1030" t="inlineStr"/>
      <c r="AO1030" t="inlineStr"/>
      <c r="AP1030" t="inlineStr"/>
      <c r="AQ1030" t="inlineStr"/>
      <c r="AR1030" t="inlineStr"/>
      <c r="AS1030" t="inlineStr">
        <is>
          <t>Pa</t>
        </is>
      </c>
      <c r="AT1030" t="inlineStr"/>
      <c r="AU1030" t="inlineStr"/>
      <c r="AV1030" t="inlineStr"/>
      <c r="AW1030" t="inlineStr"/>
      <c r="AX1030" t="inlineStr"/>
      <c r="AY1030" t="inlineStr"/>
      <c r="AZ1030" t="inlineStr"/>
      <c r="BA1030" t="inlineStr"/>
      <c r="BB1030" t="inlineStr"/>
      <c r="BC1030" t="inlineStr"/>
      <c r="BD1030" t="inlineStr"/>
      <c r="BE1030" t="inlineStr"/>
      <c r="BF1030" t="inlineStr"/>
      <c r="BG1030" t="n">
        <v>110</v>
      </c>
      <c r="BH1030" t="inlineStr"/>
      <c r="BI1030" t="inlineStr"/>
      <c r="BJ1030" t="inlineStr"/>
      <c r="BK1030" t="inlineStr">
        <is>
          <t>x</t>
        </is>
      </c>
      <c r="BL1030" t="inlineStr">
        <is>
          <t>x</t>
        </is>
      </c>
      <c r="BM1030" t="inlineStr">
        <is>
          <t>n</t>
        </is>
      </c>
      <c r="BN1030" t="n">
        <v>0</v>
      </c>
      <c r="BO1030" t="inlineStr"/>
      <c r="BP1030" t="inlineStr"/>
      <c r="BQ1030" t="inlineStr"/>
      <c r="BR1030" t="inlineStr"/>
      <c r="BS1030" t="inlineStr"/>
      <c r="BT1030" t="inlineStr"/>
      <c r="BU1030" t="inlineStr"/>
      <c r="BV1030" t="inlineStr"/>
      <c r="BW1030" t="inlineStr"/>
      <c r="BX1030" t="inlineStr"/>
      <c r="BY1030" t="inlineStr"/>
      <c r="BZ1030" t="inlineStr"/>
      <c r="CA1030" t="inlineStr"/>
      <c r="CB1030" t="inlineStr"/>
      <c r="CC1030" t="inlineStr"/>
      <c r="CD1030" t="inlineStr"/>
      <c r="CE1030" t="inlineStr"/>
      <c r="CF1030" t="inlineStr"/>
      <c r="CG1030" t="inlineStr"/>
      <c r="CH1030" t="inlineStr"/>
      <c r="CI1030" t="inlineStr"/>
      <c r="CJ1030" t="inlineStr"/>
      <c r="CK1030" t="inlineStr"/>
      <c r="CL1030" t="inlineStr"/>
      <c r="CM1030" t="inlineStr"/>
      <c r="CN1030" t="inlineStr"/>
      <c r="CO1030" t="inlineStr"/>
      <c r="CP1030" t="inlineStr"/>
      <c r="CQ1030" t="inlineStr"/>
      <c r="CR1030" t="inlineStr"/>
      <c r="CS1030" t="inlineStr"/>
      <c r="CT1030" t="inlineStr"/>
      <c r="CU1030" t="inlineStr"/>
      <c r="CV1030" t="inlineStr"/>
      <c r="CW1030" t="inlineStr"/>
      <c r="CX1030" t="inlineStr"/>
      <c r="CY1030" t="inlineStr"/>
      <c r="CZ1030" t="inlineStr"/>
      <c r="DA1030" t="inlineStr"/>
      <c r="DB1030" t="inlineStr"/>
      <c r="DC1030" t="inlineStr"/>
      <c r="DD1030" t="inlineStr"/>
      <c r="DE1030" t="inlineStr"/>
      <c r="DF1030" t="inlineStr"/>
      <c r="DG1030" t="inlineStr"/>
    </row>
    <row r="1031">
      <c r="A1031" t="inlineStr">
        <is>
          <t>III</t>
        </is>
      </c>
      <c r="B1031" t="b">
        <v>1</v>
      </c>
      <c r="C1031" t="inlineStr"/>
      <c r="D1031" t="inlineStr"/>
      <c r="E1031" t="n">
        <v>1174</v>
      </c>
      <c r="F1031">
        <f>HYPERLINK("https://portal.dnb.de/opac.htm?method=simpleSearch&amp;cqlMode=true&amp;query=idn%3D996935924", "Portal")</f>
        <v/>
      </c>
      <c r="G1031" t="inlineStr">
        <is>
          <t>Aal</t>
        </is>
      </c>
      <c r="H1031" t="inlineStr">
        <is>
          <t>L-1528-163047200</t>
        </is>
      </c>
      <c r="I1031" t="inlineStr">
        <is>
          <t>996935924</t>
        </is>
      </c>
      <c r="J1031" t="inlineStr">
        <is>
          <t>III 108, 2 b</t>
        </is>
      </c>
      <c r="K1031" t="inlineStr">
        <is>
          <t>III 108, 2 b</t>
        </is>
      </c>
      <c r="L1031" t="inlineStr">
        <is>
          <t>III 108, 2 b</t>
        </is>
      </c>
      <c r="M1031" t="inlineStr"/>
      <c r="N1031" t="inlineStr">
        <is>
          <t xml:space="preserve">Handlung oder Acta gehalt||ner Disputation zu Bern|| in Luchtland : [Holzschn. Wappen v. Bern, von lat., griech., hebr. u. dt. Aussprüchen umgeben] ; </t>
        </is>
      </c>
      <c r="O1031" t="inlineStr">
        <is>
          <t xml:space="preserve"> : </t>
        </is>
      </c>
      <c r="P1031" t="inlineStr"/>
      <c r="Q1031" t="inlineStr"/>
      <c r="R1031" t="inlineStr"/>
      <c r="S1031" t="inlineStr">
        <is>
          <t>bis 25 cm</t>
        </is>
      </c>
      <c r="T1031" t="inlineStr"/>
      <c r="U1031" t="inlineStr"/>
      <c r="V1031" t="inlineStr"/>
      <c r="W1031" t="inlineStr"/>
      <c r="X1031" t="inlineStr"/>
      <c r="Y1031" t="inlineStr"/>
      <c r="Z1031" t="inlineStr"/>
      <c r="AA1031" t="inlineStr"/>
      <c r="AB1031" t="inlineStr"/>
      <c r="AC1031" t="inlineStr"/>
      <c r="AD1031" t="inlineStr"/>
      <c r="AE1031" t="inlineStr"/>
      <c r="AF1031" t="inlineStr"/>
      <c r="AG1031" t="inlineStr"/>
      <c r="AH1031" t="inlineStr"/>
      <c r="AI1031" t="inlineStr">
        <is>
          <t>L</t>
        </is>
      </c>
      <c r="AJ1031" t="inlineStr"/>
      <c r="AK1031" t="inlineStr"/>
      <c r="AL1031" t="inlineStr">
        <is>
          <t>x</t>
        </is>
      </c>
      <c r="AM1031" t="inlineStr">
        <is>
          <t>f</t>
        </is>
      </c>
      <c r="AN1031" t="inlineStr"/>
      <c r="AO1031" t="inlineStr"/>
      <c r="AP1031" t="inlineStr"/>
      <c r="AQ1031" t="inlineStr"/>
      <c r="AR1031" t="inlineStr"/>
      <c r="AS1031" t="inlineStr">
        <is>
          <t>Pa</t>
        </is>
      </c>
      <c r="AT1031" t="inlineStr"/>
      <c r="AU1031" t="inlineStr"/>
      <c r="AV1031" t="inlineStr"/>
      <c r="AW1031" t="inlineStr"/>
      <c r="AX1031" t="inlineStr"/>
      <c r="AY1031" t="inlineStr"/>
      <c r="AZ1031" t="inlineStr"/>
      <c r="BA1031" t="inlineStr"/>
      <c r="BB1031" t="inlineStr"/>
      <c r="BC1031" t="inlineStr"/>
      <c r="BD1031" t="inlineStr"/>
      <c r="BE1031" t="inlineStr"/>
      <c r="BF1031" t="inlineStr"/>
      <c r="BG1031" t="n">
        <v>110</v>
      </c>
      <c r="BH1031" t="inlineStr"/>
      <c r="BI1031" t="inlineStr"/>
      <c r="BJ1031" t="inlineStr"/>
      <c r="BK1031" t="inlineStr">
        <is>
          <t>x</t>
        </is>
      </c>
      <c r="BL1031" t="inlineStr"/>
      <c r="BM1031" t="inlineStr">
        <is>
          <t>n</t>
        </is>
      </c>
      <c r="BN1031" t="n">
        <v>0</v>
      </c>
      <c r="BO1031" t="inlineStr"/>
      <c r="BP1031" t="inlineStr">
        <is>
          <t>Gewebe</t>
        </is>
      </c>
      <c r="BQ1031" t="inlineStr"/>
      <c r="BR1031" t="inlineStr"/>
      <c r="BS1031" t="inlineStr"/>
      <c r="BT1031" t="inlineStr"/>
      <c r="BU1031" t="inlineStr"/>
      <c r="BV1031" t="inlineStr"/>
      <c r="BW1031" t="inlineStr"/>
      <c r="BX1031" t="inlineStr"/>
      <c r="BY1031" t="inlineStr"/>
      <c r="BZ1031" t="inlineStr"/>
      <c r="CA1031" t="inlineStr"/>
      <c r="CB1031" t="inlineStr"/>
      <c r="CC1031" t="inlineStr"/>
      <c r="CD1031" t="inlineStr"/>
      <c r="CE1031" t="inlineStr"/>
      <c r="CF1031" t="inlineStr"/>
      <c r="CG1031" t="inlineStr"/>
      <c r="CH1031" t="inlineStr"/>
      <c r="CI1031" t="inlineStr"/>
      <c r="CJ1031" t="inlineStr"/>
      <c r="CK1031" t="inlineStr"/>
      <c r="CL1031" t="inlineStr"/>
      <c r="CM1031" t="inlineStr"/>
      <c r="CN1031" t="inlineStr"/>
      <c r="CO1031" t="inlineStr"/>
      <c r="CP1031" t="inlineStr"/>
      <c r="CQ1031" t="inlineStr"/>
      <c r="CR1031" t="inlineStr"/>
      <c r="CS1031" t="inlineStr"/>
      <c r="CT1031" t="inlineStr"/>
      <c r="CU1031" t="inlineStr"/>
      <c r="CV1031" t="inlineStr"/>
      <c r="CW1031" t="inlineStr"/>
      <c r="CX1031" t="inlineStr"/>
      <c r="CY1031" t="inlineStr"/>
      <c r="CZ1031" t="inlineStr"/>
      <c r="DA1031" t="inlineStr"/>
      <c r="DB1031" t="inlineStr"/>
      <c r="DC1031" t="inlineStr"/>
      <c r="DD1031" t="inlineStr"/>
      <c r="DE1031" t="inlineStr"/>
      <c r="DF1031" t="inlineStr"/>
      <c r="DG1031" t="inlineStr"/>
    </row>
    <row r="1032">
      <c r="A1032" t="inlineStr">
        <is>
          <t>III</t>
        </is>
      </c>
      <c r="B1032" t="b">
        <v>1</v>
      </c>
      <c r="C1032" t="inlineStr"/>
      <c r="D1032" t="inlineStr"/>
      <c r="E1032" t="inlineStr"/>
      <c r="F1032">
        <f>HYPERLINK("https://portal.dnb.de/opac.htm?method=simpleSearch&amp;cqlMode=true&amp;query=idn%3D126787435X", "Portal")</f>
        <v/>
      </c>
      <c r="G1032" t="inlineStr">
        <is>
          <t>Qd</t>
        </is>
      </c>
      <c r="H1032" t="inlineStr">
        <is>
          <t>L-1530-812451694</t>
        </is>
      </c>
      <c r="I1032" t="inlineStr">
        <is>
          <t>126787435X</t>
        </is>
      </c>
      <c r="J1032" t="inlineStr">
        <is>
          <t>III 108, 2 c</t>
        </is>
      </c>
      <c r="K1032" t="inlineStr">
        <is>
          <t>III 108, 2 c</t>
        </is>
      </c>
      <c r="L1032" t="inlineStr">
        <is>
          <t>III 108, 2 c</t>
        </is>
      </c>
      <c r="M1032" t="inlineStr"/>
      <c r="N1032" t="inlineStr">
        <is>
          <t xml:space="preserve">Sammelband : </t>
        </is>
      </c>
      <c r="O1032" t="inlineStr">
        <is>
          <t xml:space="preserve"> : </t>
        </is>
      </c>
      <c r="P1032" t="inlineStr"/>
      <c r="Q1032" t="inlineStr"/>
      <c r="R1032" t="inlineStr"/>
      <c r="S1032" t="inlineStr">
        <is>
          <t>bis 25 cm</t>
        </is>
      </c>
      <c r="T1032" t="inlineStr"/>
      <c r="U1032" t="inlineStr"/>
      <c r="V1032" t="inlineStr"/>
      <c r="W1032" t="inlineStr"/>
      <c r="X1032" t="inlineStr"/>
      <c r="Y1032" t="inlineStr"/>
      <c r="Z1032" t="inlineStr"/>
      <c r="AA1032" t="inlineStr"/>
      <c r="AB1032" t="inlineStr"/>
      <c r="AC1032" t="inlineStr"/>
      <c r="AD1032" t="inlineStr"/>
      <c r="AE1032" t="inlineStr"/>
      <c r="AF1032" t="inlineStr"/>
      <c r="AG1032" t="inlineStr"/>
      <c r="AH1032" t="inlineStr"/>
      <c r="AI1032" t="inlineStr">
        <is>
          <t>HD</t>
        </is>
      </c>
      <c r="AJ1032" t="inlineStr"/>
      <c r="AK1032" t="inlineStr"/>
      <c r="AL1032" t="inlineStr">
        <is>
          <t>x</t>
        </is>
      </c>
      <c r="AM1032" t="inlineStr">
        <is>
          <t>f</t>
        </is>
      </c>
      <c r="AN1032" t="inlineStr"/>
      <c r="AO1032" t="inlineStr"/>
      <c r="AP1032" t="inlineStr"/>
      <c r="AQ1032" t="inlineStr"/>
      <c r="AR1032" t="inlineStr"/>
      <c r="AS1032" t="inlineStr">
        <is>
          <t>Pa</t>
        </is>
      </c>
      <c r="AT1032" t="inlineStr"/>
      <c r="AU1032" t="inlineStr"/>
      <c r="AV1032" t="inlineStr"/>
      <c r="AW1032" t="inlineStr"/>
      <c r="AX1032" t="inlineStr"/>
      <c r="AY1032" t="inlineStr"/>
      <c r="AZ1032" t="inlineStr"/>
      <c r="BA1032" t="inlineStr"/>
      <c r="BB1032" t="inlineStr"/>
      <c r="BC1032" t="inlineStr"/>
      <c r="BD1032" t="inlineStr"/>
      <c r="BE1032" t="n">
        <v>0</v>
      </c>
      <c r="BF1032" t="inlineStr">
        <is>
          <t>x</t>
        </is>
      </c>
      <c r="BG1032" t="n">
        <v>110</v>
      </c>
      <c r="BH1032" t="inlineStr"/>
      <c r="BI1032" t="inlineStr"/>
      <c r="BJ1032" t="inlineStr"/>
      <c r="BK1032" t="inlineStr">
        <is>
          <t>x</t>
        </is>
      </c>
      <c r="BL1032" t="inlineStr"/>
      <c r="BM1032" t="inlineStr">
        <is>
          <t>n</t>
        </is>
      </c>
      <c r="BN1032" t="n">
        <v>0</v>
      </c>
      <c r="BO1032" t="inlineStr"/>
      <c r="BP1032" t="inlineStr">
        <is>
          <t>Gewebe</t>
        </is>
      </c>
      <c r="BQ1032" t="inlineStr"/>
      <c r="BR1032" t="inlineStr"/>
      <c r="BS1032" t="inlineStr"/>
      <c r="BT1032" t="inlineStr"/>
      <c r="BU1032" t="inlineStr"/>
      <c r="BV1032" t="inlineStr"/>
      <c r="BW1032" t="inlineStr"/>
      <c r="BX1032" t="inlineStr"/>
      <c r="BY1032" t="inlineStr"/>
      <c r="BZ1032" t="inlineStr"/>
      <c r="CA1032" t="inlineStr"/>
      <c r="CB1032" t="inlineStr"/>
      <c r="CC1032" t="inlineStr"/>
      <c r="CD1032" t="inlineStr"/>
      <c r="CE1032" t="inlineStr"/>
      <c r="CF1032" t="inlineStr"/>
      <c r="CG1032" t="inlineStr"/>
      <c r="CH1032" t="inlineStr"/>
      <c r="CI1032" t="inlineStr"/>
      <c r="CJ1032" t="inlineStr"/>
      <c r="CK1032" t="inlineStr"/>
      <c r="CL1032" t="inlineStr"/>
      <c r="CM1032" t="inlineStr"/>
      <c r="CN1032" t="inlineStr"/>
      <c r="CO1032" t="inlineStr"/>
      <c r="CP1032" t="inlineStr"/>
      <c r="CQ1032" t="inlineStr"/>
      <c r="CR1032" t="inlineStr"/>
      <c r="CS1032" t="inlineStr"/>
      <c r="CT1032" t="inlineStr"/>
      <c r="CU1032" t="inlineStr"/>
      <c r="CV1032" t="inlineStr"/>
      <c r="CW1032" t="inlineStr"/>
      <c r="CX1032" t="inlineStr"/>
      <c r="CY1032" t="inlineStr"/>
      <c r="CZ1032" t="inlineStr"/>
      <c r="DA1032" t="inlineStr"/>
      <c r="DB1032" t="inlineStr"/>
      <c r="DC1032" t="inlineStr"/>
      <c r="DD1032" t="inlineStr"/>
      <c r="DE1032" t="inlineStr"/>
      <c r="DF1032" t="inlineStr"/>
      <c r="DG1032" t="inlineStr"/>
    </row>
    <row r="1033">
      <c r="A1033" t="inlineStr">
        <is>
          <t>III</t>
        </is>
      </c>
      <c r="B1033" t="b">
        <v>1</v>
      </c>
      <c r="C1033" t="inlineStr"/>
      <c r="D1033" t="inlineStr"/>
      <c r="E1033" t="n">
        <v>1170</v>
      </c>
      <c r="F1033">
        <f>HYPERLINK("https://portal.dnb.de/opac.htm?method=simpleSearch&amp;cqlMode=true&amp;query=idn%3D1066858403", "Portal")</f>
        <v/>
      </c>
      <c r="G1033" t="inlineStr">
        <is>
          <t>Aaf</t>
        </is>
      </c>
      <c r="H1033" t="inlineStr">
        <is>
          <t>L-1551-315317175</t>
        </is>
      </c>
      <c r="I1033" t="inlineStr">
        <is>
          <t>1066858403</t>
        </is>
      </c>
      <c r="J1033" t="inlineStr">
        <is>
          <t>III 108, 3</t>
        </is>
      </c>
      <c r="K1033" t="inlineStr">
        <is>
          <t>III 108, 3</t>
        </is>
      </c>
      <c r="L1033" t="inlineStr">
        <is>
          <t>III 108, 3</t>
        </is>
      </c>
      <c r="M1033" t="inlineStr"/>
      <c r="N1033" t="inlineStr">
        <is>
          <t>M.T.CICERO=||NIS ORATIO AD POP.|| ET EQVITES ROM. ANTE-||quam iret in exilum,unà cum Otho||nis Vuerdmülleri Tigurini|| commentario,nunc de=||mum recog</t>
        </is>
      </c>
      <c r="O1033" t="inlineStr">
        <is>
          <t xml:space="preserve"> : </t>
        </is>
      </c>
      <c r="P1033" t="inlineStr"/>
      <c r="Q1033" t="inlineStr"/>
      <c r="R1033" t="inlineStr"/>
      <c r="S1033" t="inlineStr">
        <is>
          <t>bis 25 cm</t>
        </is>
      </c>
      <c r="T1033" t="inlineStr"/>
      <c r="U1033" t="inlineStr"/>
      <c r="V1033" t="inlineStr"/>
      <c r="W1033" t="inlineStr"/>
      <c r="X1033" t="inlineStr"/>
      <c r="Y1033" t="inlineStr"/>
      <c r="Z1033" t="inlineStr"/>
      <c r="AA1033" t="inlineStr"/>
      <c r="AB1033" t="inlineStr"/>
      <c r="AC1033" t="inlineStr"/>
      <c r="AD1033" t="inlineStr"/>
      <c r="AE1033" t="inlineStr"/>
      <c r="AF1033" t="inlineStr"/>
      <c r="AG1033" t="inlineStr"/>
      <c r="AH1033" t="inlineStr"/>
      <c r="AI1033" t="inlineStr">
        <is>
          <t>G</t>
        </is>
      </c>
      <c r="AJ1033" t="inlineStr"/>
      <c r="AK1033" t="inlineStr">
        <is>
          <t>x</t>
        </is>
      </c>
      <c r="AL1033" t="inlineStr"/>
      <c r="AM1033" t="inlineStr">
        <is>
          <t>h/E</t>
        </is>
      </c>
      <c r="AN1033" t="inlineStr"/>
      <c r="AO1033" t="inlineStr"/>
      <c r="AP1033" t="inlineStr"/>
      <c r="AQ1033" t="inlineStr"/>
      <c r="AR1033" t="inlineStr"/>
      <c r="AS1033" t="inlineStr">
        <is>
          <t>Pa</t>
        </is>
      </c>
      <c r="AT1033" t="inlineStr">
        <is>
          <t>x</t>
        </is>
      </c>
      <c r="AU1033" t="inlineStr"/>
      <c r="AV1033" t="inlineStr"/>
      <c r="AW1033" t="inlineStr"/>
      <c r="AX1033" t="inlineStr"/>
      <c r="AY1033" t="inlineStr"/>
      <c r="AZ1033" t="inlineStr"/>
      <c r="BA1033" t="inlineStr"/>
      <c r="BB1033" t="inlineStr"/>
      <c r="BC1033" t="inlineStr"/>
      <c r="BD1033" t="inlineStr"/>
      <c r="BE1033" t="inlineStr"/>
      <c r="BF1033" t="inlineStr"/>
      <c r="BG1033" t="n">
        <v>110</v>
      </c>
      <c r="BH1033" t="inlineStr"/>
      <c r="BI1033" t="inlineStr"/>
      <c r="BJ1033" t="inlineStr"/>
      <c r="BK1033" t="inlineStr"/>
      <c r="BL1033" t="inlineStr"/>
      <c r="BM1033" t="inlineStr">
        <is>
          <t>n</t>
        </is>
      </c>
      <c r="BN1033" t="n">
        <v>0</v>
      </c>
      <c r="BO1033" t="inlineStr"/>
      <c r="BP1033" t="inlineStr"/>
      <c r="BQ1033" t="inlineStr"/>
      <c r="BR1033" t="inlineStr"/>
      <c r="BS1033" t="inlineStr"/>
      <c r="BT1033" t="inlineStr"/>
      <c r="BU1033" t="inlineStr"/>
      <c r="BV1033" t="inlineStr"/>
      <c r="BW1033" t="inlineStr"/>
      <c r="BX1033" t="inlineStr"/>
      <c r="BY1033" t="inlineStr"/>
      <c r="BZ1033" t="inlineStr"/>
      <c r="CA1033" t="inlineStr"/>
      <c r="CB1033" t="inlineStr"/>
      <c r="CC1033" t="inlineStr"/>
      <c r="CD1033" t="inlineStr"/>
      <c r="CE1033" t="inlineStr"/>
      <c r="CF1033" t="inlineStr"/>
      <c r="CG1033" t="inlineStr"/>
      <c r="CH1033" t="inlineStr"/>
      <c r="CI1033" t="inlineStr"/>
      <c r="CJ1033" t="inlineStr"/>
      <c r="CK1033" t="inlineStr"/>
      <c r="CL1033" t="inlineStr"/>
      <c r="CM1033" t="inlineStr"/>
      <c r="CN1033" t="inlineStr"/>
      <c r="CO1033" t="inlineStr"/>
      <c r="CP1033" t="inlineStr"/>
      <c r="CQ1033" t="inlineStr"/>
      <c r="CR1033" t="inlineStr"/>
      <c r="CS1033" t="inlineStr"/>
      <c r="CT1033" t="inlineStr"/>
      <c r="CU1033" t="inlineStr"/>
      <c r="CV1033" t="inlineStr"/>
      <c r="CW1033" t="inlineStr"/>
      <c r="CX1033" t="inlineStr"/>
      <c r="CY1033" t="inlineStr"/>
      <c r="CZ1033" t="inlineStr"/>
      <c r="DA1033" t="inlineStr"/>
      <c r="DB1033" t="inlineStr"/>
      <c r="DC1033" t="inlineStr"/>
      <c r="DD1033" t="inlineStr"/>
      <c r="DE1033" t="inlineStr"/>
      <c r="DF1033" t="inlineStr"/>
      <c r="DG1033" t="inlineStr"/>
    </row>
    <row r="1034">
      <c r="A1034" t="inlineStr">
        <is>
          <t>III</t>
        </is>
      </c>
      <c r="B1034" t="b">
        <v>0</v>
      </c>
      <c r="C1034" t="inlineStr"/>
      <c r="D1034" t="inlineStr"/>
      <c r="E1034" t="n">
        <v>1171</v>
      </c>
      <c r="F1034">
        <f>HYPERLINK("https://portal.dnb.de/opac.htm?method=simpleSearch&amp;cqlMode=true&amp;query=idn%3D1066961549", "Portal")</f>
        <v/>
      </c>
      <c r="G1034" t="inlineStr"/>
      <c r="H1034" t="inlineStr">
        <is>
          <t>L-1557-315491930</t>
        </is>
      </c>
      <c r="I1034" t="inlineStr">
        <is>
          <t>1066961549</t>
        </is>
      </c>
      <c r="J1034" t="inlineStr"/>
      <c r="K1034" t="inlineStr"/>
      <c r="L1034" t="inlineStr">
        <is>
          <t>III 108, 4</t>
        </is>
      </c>
      <c r="M1034" t="inlineStr">
        <is>
          <t>GF</t>
        </is>
      </c>
      <c r="N1034" t="inlineStr"/>
      <c r="O1034" t="inlineStr"/>
      <c r="P1034" t="inlineStr"/>
      <c r="Q1034" t="inlineStr"/>
      <c r="R1034" t="inlineStr"/>
      <c r="S1034" t="inlineStr"/>
      <c r="T1034" t="inlineStr"/>
      <c r="U1034" t="inlineStr"/>
      <c r="V1034" t="inlineStr"/>
      <c r="W1034" t="inlineStr"/>
      <c r="X1034" t="inlineStr"/>
      <c r="Y1034" t="inlineStr"/>
      <c r="Z1034" t="inlineStr"/>
      <c r="AA1034" t="inlineStr"/>
      <c r="AB1034" t="inlineStr"/>
      <c r="AC1034" t="inlineStr"/>
      <c r="AD1034" t="inlineStr">
        <is>
          <t>DA</t>
        </is>
      </c>
      <c r="AE1034" t="inlineStr"/>
      <c r="AF1034" t="inlineStr"/>
      <c r="AG1034" t="inlineStr"/>
      <c r="AH1034" t="inlineStr"/>
      <c r="AI1034" t="inlineStr"/>
      <c r="AJ1034" t="inlineStr"/>
      <c r="AK1034" t="inlineStr"/>
      <c r="AL1034" t="inlineStr"/>
      <c r="AM1034" t="inlineStr"/>
      <c r="AN1034" t="inlineStr"/>
      <c r="AO1034" t="inlineStr"/>
      <c r="AP1034" t="inlineStr"/>
      <c r="AQ1034" t="inlineStr"/>
      <c r="AR1034" t="inlineStr"/>
      <c r="AS1034" t="inlineStr"/>
      <c r="AT1034" t="inlineStr"/>
      <c r="AU1034" t="inlineStr"/>
      <c r="AV1034" t="inlineStr"/>
      <c r="AW1034" t="inlineStr"/>
      <c r="AX1034" t="inlineStr"/>
      <c r="AY1034" t="inlineStr"/>
      <c r="AZ1034" t="inlineStr"/>
      <c r="BA1034" t="inlineStr"/>
      <c r="BB1034" t="inlineStr"/>
      <c r="BC1034" t="inlineStr"/>
      <c r="BD1034" t="inlineStr"/>
      <c r="BE1034" t="inlineStr"/>
      <c r="BF1034" t="inlineStr"/>
      <c r="BG1034" t="inlineStr"/>
      <c r="BH1034" t="inlineStr"/>
      <c r="BI1034" t="inlineStr"/>
      <c r="BJ1034" t="inlineStr"/>
      <c r="BK1034" t="inlineStr"/>
      <c r="BL1034" t="inlineStr"/>
      <c r="BM1034" t="inlineStr"/>
      <c r="BN1034" t="n">
        <v>0</v>
      </c>
      <c r="BO1034" t="inlineStr"/>
      <c r="BP1034" t="inlineStr"/>
      <c r="BQ1034" t="inlineStr"/>
      <c r="BR1034" t="inlineStr"/>
      <c r="BS1034" t="inlineStr"/>
      <c r="BT1034" t="inlineStr"/>
      <c r="BU1034" t="inlineStr"/>
      <c r="BV1034" t="inlineStr"/>
      <c r="BW1034" t="inlineStr"/>
      <c r="BX1034" t="inlineStr"/>
      <c r="BY1034" t="inlineStr"/>
      <c r="BZ1034" t="inlineStr"/>
      <c r="CA1034" t="inlineStr"/>
      <c r="CB1034" t="inlineStr"/>
      <c r="CC1034" t="inlineStr"/>
      <c r="CD1034" t="inlineStr"/>
      <c r="CE1034" t="inlineStr"/>
      <c r="CF1034" t="inlineStr"/>
      <c r="CG1034" t="inlineStr"/>
      <c r="CH1034" t="inlineStr"/>
      <c r="CI1034" t="inlineStr"/>
      <c r="CJ1034" t="inlineStr"/>
      <c r="CK1034" t="inlineStr"/>
      <c r="CL1034" t="inlineStr"/>
      <c r="CM1034" t="inlineStr"/>
      <c r="CN1034" t="inlineStr"/>
      <c r="CO1034" t="inlineStr"/>
      <c r="CP1034" t="inlineStr"/>
      <c r="CQ1034" t="inlineStr"/>
      <c r="CR1034" t="inlineStr"/>
      <c r="CS1034" t="inlineStr"/>
      <c r="CT1034" t="inlineStr"/>
      <c r="CU1034" t="inlineStr"/>
      <c r="CV1034" t="inlineStr"/>
      <c r="CW1034" t="inlineStr"/>
      <c r="CX1034" t="inlineStr"/>
      <c r="CY1034" t="inlineStr"/>
      <c r="CZ1034" t="inlineStr"/>
      <c r="DA1034" t="inlineStr"/>
      <c r="DB1034" t="inlineStr"/>
      <c r="DC1034" t="inlineStr"/>
      <c r="DD1034" t="inlineStr"/>
      <c r="DE1034" t="inlineStr"/>
      <c r="DF1034" t="inlineStr"/>
      <c r="DG1034" t="inlineStr"/>
    </row>
    <row r="1035">
      <c r="A1035" t="inlineStr">
        <is>
          <t>III</t>
        </is>
      </c>
      <c r="B1035" t="b">
        <v>0</v>
      </c>
      <c r="C1035" t="inlineStr"/>
      <c r="D1035" t="inlineStr"/>
      <c r="E1035" t="n">
        <v>1178</v>
      </c>
      <c r="F1035">
        <f>HYPERLINK("https://portal.dnb.de/opac.htm?method=simpleSearch&amp;cqlMode=true&amp;query=idn%3D120970370X", "Portal")</f>
        <v/>
      </c>
      <c r="G1035" t="inlineStr"/>
      <c r="H1035" t="inlineStr">
        <is>
          <t>L-1563-67490303X</t>
        </is>
      </c>
      <c r="I1035" t="inlineStr">
        <is>
          <t>120970370X</t>
        </is>
      </c>
      <c r="J1035" t="inlineStr"/>
      <c r="K1035" t="inlineStr"/>
      <c r="L1035" t="inlineStr">
        <is>
          <t>III 108, 4 (1. angebundenes Werk)</t>
        </is>
      </c>
      <c r="M1035" t="inlineStr"/>
      <c r="N1035" t="inlineStr"/>
      <c r="O1035" t="inlineStr"/>
      <c r="P1035" t="inlineStr"/>
      <c r="Q1035" t="inlineStr"/>
      <c r="R1035" t="inlineStr"/>
      <c r="S1035" t="inlineStr"/>
      <c r="T1035" t="inlineStr"/>
      <c r="U1035" t="inlineStr"/>
      <c r="V1035" t="inlineStr"/>
      <c r="W1035" t="inlineStr"/>
      <c r="X1035" t="inlineStr"/>
      <c r="Y1035" t="inlineStr"/>
      <c r="Z1035" t="inlineStr"/>
      <c r="AA1035" t="inlineStr"/>
      <c r="AB1035" t="inlineStr"/>
      <c r="AC1035" t="inlineStr"/>
      <c r="AD1035" t="inlineStr"/>
      <c r="AE1035" t="inlineStr"/>
      <c r="AF1035" t="inlineStr"/>
      <c r="AG1035" t="inlineStr"/>
      <c r="AH1035" t="inlineStr"/>
      <c r="AI1035" t="inlineStr"/>
      <c r="AJ1035" t="inlineStr"/>
      <c r="AK1035" t="inlineStr"/>
      <c r="AL1035" t="inlineStr"/>
      <c r="AM1035" t="inlineStr"/>
      <c r="AN1035" t="inlineStr"/>
      <c r="AO1035" t="inlineStr"/>
      <c r="AP1035" t="inlineStr"/>
      <c r="AQ1035" t="inlineStr"/>
      <c r="AR1035" t="inlineStr"/>
      <c r="AS1035" t="inlineStr"/>
      <c r="AT1035" t="inlineStr"/>
      <c r="AU1035" t="inlineStr"/>
      <c r="AV1035" t="inlineStr"/>
      <c r="AW1035" t="inlineStr"/>
      <c r="AX1035" t="inlineStr"/>
      <c r="AY1035" t="inlineStr"/>
      <c r="AZ1035" t="inlineStr"/>
      <c r="BA1035" t="inlineStr"/>
      <c r="BB1035" t="inlineStr"/>
      <c r="BC1035" t="inlineStr"/>
      <c r="BD1035" t="inlineStr"/>
      <c r="BE1035" t="inlineStr"/>
      <c r="BF1035" t="inlineStr"/>
      <c r="BG1035" t="inlineStr"/>
      <c r="BH1035" t="inlineStr"/>
      <c r="BI1035" t="inlineStr"/>
      <c r="BJ1035" t="inlineStr"/>
      <c r="BK1035" t="inlineStr"/>
      <c r="BL1035" t="inlineStr"/>
      <c r="BM1035" t="inlineStr"/>
      <c r="BN1035" t="n">
        <v>0</v>
      </c>
      <c r="BO1035" t="inlineStr"/>
      <c r="BP1035" t="inlineStr"/>
      <c r="BQ1035" t="inlineStr"/>
      <c r="BR1035" t="inlineStr"/>
      <c r="BS1035" t="inlineStr"/>
      <c r="BT1035" t="inlineStr"/>
      <c r="BU1035" t="inlineStr"/>
      <c r="BV1035" t="inlineStr"/>
      <c r="BW1035" t="inlineStr"/>
      <c r="BX1035" t="inlineStr"/>
      <c r="BY1035" t="inlineStr"/>
      <c r="BZ1035" t="inlineStr"/>
      <c r="CA1035" t="inlineStr"/>
      <c r="CB1035" t="inlineStr"/>
      <c r="CC1035" t="inlineStr"/>
      <c r="CD1035" t="inlineStr"/>
      <c r="CE1035" t="inlineStr"/>
      <c r="CF1035" t="inlineStr"/>
      <c r="CG1035" t="inlineStr"/>
      <c r="CH1035" t="inlineStr"/>
      <c r="CI1035" t="inlineStr"/>
      <c r="CJ1035" t="inlineStr"/>
      <c r="CK1035" t="inlineStr"/>
      <c r="CL1035" t="inlineStr"/>
      <c r="CM1035" t="inlineStr"/>
      <c r="CN1035" t="inlineStr"/>
      <c r="CO1035" t="inlineStr"/>
      <c r="CP1035" t="inlineStr"/>
      <c r="CQ1035" t="inlineStr"/>
      <c r="CR1035" t="inlineStr"/>
      <c r="CS1035" t="inlineStr"/>
      <c r="CT1035" t="inlineStr"/>
      <c r="CU1035" t="inlineStr"/>
      <c r="CV1035" t="inlineStr"/>
      <c r="CW1035" t="inlineStr"/>
      <c r="CX1035" t="inlineStr"/>
      <c r="CY1035" t="inlineStr"/>
      <c r="CZ1035" t="inlineStr"/>
      <c r="DA1035" t="inlineStr"/>
      <c r="DB1035" t="inlineStr"/>
      <c r="DC1035" t="inlineStr"/>
      <c r="DD1035" t="inlineStr"/>
      <c r="DE1035" t="inlineStr"/>
      <c r="DF1035" t="inlineStr"/>
      <c r="DG1035" t="inlineStr"/>
    </row>
    <row r="1036">
      <c r="A1036" t="inlineStr">
        <is>
          <t>III</t>
        </is>
      </c>
      <c r="B1036" t="b">
        <v>0</v>
      </c>
      <c r="C1036" t="inlineStr"/>
      <c r="D1036" t="inlineStr"/>
      <c r="E1036" t="n">
        <v>1179</v>
      </c>
      <c r="F1036">
        <f>HYPERLINK("https://portal.dnb.de/opac.htm?method=simpleSearch&amp;cqlMode=true&amp;query=idn%3D1209695812", "Portal")</f>
        <v/>
      </c>
      <c r="G1036" t="inlineStr"/>
      <c r="H1036" t="inlineStr">
        <is>
          <t>L-1563-674895401</t>
        </is>
      </c>
      <c r="I1036" t="inlineStr">
        <is>
          <t>1209695812</t>
        </is>
      </c>
      <c r="J1036" t="inlineStr"/>
      <c r="K1036" t="inlineStr"/>
      <c r="L1036" t="inlineStr">
        <is>
          <t>III 108, 4 (2. angebundenes Werk)</t>
        </is>
      </c>
      <c r="M1036" t="inlineStr"/>
      <c r="N1036" t="inlineStr"/>
      <c r="O1036" t="inlineStr"/>
      <c r="P1036" t="inlineStr"/>
      <c r="Q1036" t="inlineStr"/>
      <c r="R1036" t="inlineStr"/>
      <c r="S1036" t="inlineStr"/>
      <c r="T1036" t="inlineStr"/>
      <c r="U1036" t="inlineStr"/>
      <c r="V1036" t="inlineStr"/>
      <c r="W1036" t="inlineStr"/>
      <c r="X1036" t="inlineStr"/>
      <c r="Y1036" t="inlineStr"/>
      <c r="Z1036" t="inlineStr"/>
      <c r="AA1036" t="inlineStr"/>
      <c r="AB1036" t="inlineStr"/>
      <c r="AC1036" t="inlineStr"/>
      <c r="AD1036" t="inlineStr"/>
      <c r="AE1036" t="inlineStr"/>
      <c r="AF1036" t="inlineStr"/>
      <c r="AG1036" t="inlineStr"/>
      <c r="AH1036" t="inlineStr"/>
      <c r="AI1036" t="inlineStr"/>
      <c r="AJ1036" t="inlineStr"/>
      <c r="AK1036" t="inlineStr"/>
      <c r="AL1036" t="inlineStr"/>
      <c r="AM1036" t="inlineStr"/>
      <c r="AN1036" t="inlineStr"/>
      <c r="AO1036" t="inlineStr"/>
      <c r="AP1036" t="inlineStr"/>
      <c r="AQ1036" t="inlineStr"/>
      <c r="AR1036" t="inlineStr"/>
      <c r="AS1036" t="inlineStr"/>
      <c r="AT1036" t="inlineStr"/>
      <c r="AU1036" t="inlineStr"/>
      <c r="AV1036" t="inlineStr"/>
      <c r="AW1036" t="inlineStr"/>
      <c r="AX1036" t="inlineStr"/>
      <c r="AY1036" t="inlineStr"/>
      <c r="AZ1036" t="inlineStr"/>
      <c r="BA1036" t="inlineStr"/>
      <c r="BB1036" t="inlineStr"/>
      <c r="BC1036" t="inlineStr"/>
      <c r="BD1036" t="inlineStr"/>
      <c r="BE1036" t="inlineStr"/>
      <c r="BF1036" t="inlineStr"/>
      <c r="BG1036" t="inlineStr"/>
      <c r="BH1036" t="inlineStr"/>
      <c r="BI1036" t="inlineStr"/>
      <c r="BJ1036" t="inlineStr"/>
      <c r="BK1036" t="inlineStr"/>
      <c r="BL1036" t="inlineStr"/>
      <c r="BM1036" t="inlineStr"/>
      <c r="BN1036" t="n">
        <v>0</v>
      </c>
      <c r="BO1036" t="inlineStr"/>
      <c r="BP1036" t="inlineStr"/>
      <c r="BQ1036" t="inlineStr"/>
      <c r="BR1036" t="inlineStr"/>
      <c r="BS1036" t="inlineStr"/>
      <c r="BT1036" t="inlineStr"/>
      <c r="BU1036" t="inlineStr"/>
      <c r="BV1036" t="inlineStr"/>
      <c r="BW1036" t="inlineStr"/>
      <c r="BX1036" t="inlineStr"/>
      <c r="BY1036" t="inlineStr"/>
      <c r="BZ1036" t="inlineStr"/>
      <c r="CA1036" t="inlineStr"/>
      <c r="CB1036" t="inlineStr"/>
      <c r="CC1036" t="inlineStr"/>
      <c r="CD1036" t="inlineStr"/>
      <c r="CE1036" t="inlineStr"/>
      <c r="CF1036" t="inlineStr"/>
      <c r="CG1036" t="inlineStr"/>
      <c r="CH1036" t="inlineStr"/>
      <c r="CI1036" t="inlineStr"/>
      <c r="CJ1036" t="inlineStr"/>
      <c r="CK1036" t="inlineStr"/>
      <c r="CL1036" t="inlineStr"/>
      <c r="CM1036" t="inlineStr"/>
      <c r="CN1036" t="inlineStr"/>
      <c r="CO1036" t="inlineStr"/>
      <c r="CP1036" t="inlineStr"/>
      <c r="CQ1036" t="inlineStr"/>
      <c r="CR1036" t="inlineStr"/>
      <c r="CS1036" t="inlineStr"/>
      <c r="CT1036" t="inlineStr"/>
      <c r="CU1036" t="inlineStr"/>
      <c r="CV1036" t="inlineStr"/>
      <c r="CW1036" t="inlineStr"/>
      <c r="CX1036" t="inlineStr"/>
      <c r="CY1036" t="inlineStr"/>
      <c r="CZ1036" t="inlineStr"/>
      <c r="DA1036" t="inlineStr"/>
      <c r="DB1036" t="inlineStr"/>
      <c r="DC1036" t="inlineStr"/>
      <c r="DD1036" t="inlineStr"/>
      <c r="DE1036" t="inlineStr"/>
      <c r="DF1036" t="inlineStr"/>
      <c r="DG1036" t="inlineStr"/>
    </row>
    <row r="1037">
      <c r="A1037" t="inlineStr">
        <is>
          <t>III</t>
        </is>
      </c>
      <c r="B1037" t="b">
        <v>1</v>
      </c>
      <c r="C1037" t="inlineStr"/>
      <c r="D1037" t="inlineStr"/>
      <c r="E1037" t="n">
        <v>1172</v>
      </c>
      <c r="F1037">
        <f>HYPERLINK("https://portal.dnb.de/opac.htm?method=simpleSearch&amp;cqlMode=true&amp;query=idn%3D106679863X", "Portal")</f>
        <v/>
      </c>
      <c r="G1037" t="inlineStr">
        <is>
          <t>Aaf</t>
        </is>
      </c>
      <c r="H1037" t="inlineStr">
        <is>
          <t>L-1544-315218762</t>
        </is>
      </c>
      <c r="I1037" t="inlineStr">
        <is>
          <t>106679863X</t>
        </is>
      </c>
      <c r="J1037" t="inlineStr">
        <is>
          <t>III 108, 5</t>
        </is>
      </c>
      <c r="K1037" t="inlineStr">
        <is>
          <t>III 108, 5</t>
        </is>
      </c>
      <c r="L1037" t="inlineStr">
        <is>
          <t>III 108, 5</t>
        </is>
      </c>
      <c r="M1037" t="inlineStr"/>
      <c r="N1037" t="inlineStr">
        <is>
          <t xml:space="preserve">Biblia Sacrosancta Testamenti Veteris &amp; Noui, è sacra Hebraeorum lingua Graecorumque fontibus... translata in sermonem Latinum : </t>
        </is>
      </c>
      <c r="O1037" t="inlineStr">
        <is>
          <t xml:space="preserve"> : </t>
        </is>
      </c>
      <c r="P1037" t="inlineStr"/>
      <c r="Q1037" t="inlineStr"/>
      <c r="R1037" t="inlineStr"/>
      <c r="S1037" t="inlineStr">
        <is>
          <t>bis 25 cm</t>
        </is>
      </c>
      <c r="T1037" t="inlineStr"/>
      <c r="U1037" t="inlineStr"/>
      <c r="V1037" t="inlineStr"/>
      <c r="W1037" t="inlineStr"/>
      <c r="X1037" t="inlineStr"/>
      <c r="Y1037" t="inlineStr"/>
      <c r="Z1037" t="inlineStr"/>
      <c r="AA1037" t="inlineStr"/>
      <c r="AB1037" t="inlineStr"/>
      <c r="AC1037" t="inlineStr"/>
      <c r="AD1037" t="inlineStr"/>
      <c r="AE1037" t="inlineStr"/>
      <c r="AF1037" t="inlineStr"/>
      <c r="AG1037" t="inlineStr"/>
      <c r="AH1037" t="inlineStr"/>
      <c r="AI1037" t="inlineStr">
        <is>
          <t>L</t>
        </is>
      </c>
      <c r="AJ1037" t="inlineStr"/>
      <c r="AK1037" t="inlineStr"/>
      <c r="AL1037" t="inlineStr">
        <is>
          <t>x</t>
        </is>
      </c>
      <c r="AM1037" t="inlineStr">
        <is>
          <t>h/E</t>
        </is>
      </c>
      <c r="AN1037" t="inlineStr"/>
      <c r="AO1037" t="inlineStr"/>
      <c r="AP1037" t="inlineStr"/>
      <c r="AQ1037" t="inlineStr"/>
      <c r="AR1037" t="inlineStr"/>
      <c r="AS1037" t="inlineStr">
        <is>
          <t>Pa</t>
        </is>
      </c>
      <c r="AT1037" t="inlineStr"/>
      <c r="AU1037" t="inlineStr"/>
      <c r="AV1037" t="inlineStr"/>
      <c r="AW1037" t="inlineStr"/>
      <c r="AX1037" t="inlineStr">
        <is>
          <t>x</t>
        </is>
      </c>
      <c r="AY1037" t="inlineStr"/>
      <c r="AZ1037" t="inlineStr"/>
      <c r="BA1037" t="inlineStr"/>
      <c r="BB1037" t="inlineStr"/>
      <c r="BC1037" t="inlineStr"/>
      <c r="BD1037" t="inlineStr"/>
      <c r="BE1037" t="n">
        <v>0</v>
      </c>
      <c r="BF1037" t="inlineStr">
        <is>
          <t>x</t>
        </is>
      </c>
      <c r="BG1037" t="n">
        <v>110</v>
      </c>
      <c r="BH1037" t="inlineStr"/>
      <c r="BI1037" t="inlineStr"/>
      <c r="BJ1037" t="inlineStr"/>
      <c r="BK1037" t="inlineStr"/>
      <c r="BL1037" t="inlineStr"/>
      <c r="BM1037" t="inlineStr">
        <is>
          <t>n</t>
        </is>
      </c>
      <c r="BN1037" t="n">
        <v>0</v>
      </c>
      <c r="BO1037" t="inlineStr"/>
      <c r="BP1037" t="inlineStr">
        <is>
          <t>Gewebe mit Papier</t>
        </is>
      </c>
      <c r="BQ1037" t="inlineStr"/>
      <c r="BR1037" t="inlineStr"/>
      <c r="BS1037" t="inlineStr"/>
      <c r="BT1037" t="inlineStr"/>
      <c r="BU1037" t="inlineStr"/>
      <c r="BV1037" t="inlineStr"/>
      <c r="BW1037" t="inlineStr"/>
      <c r="BX1037" t="inlineStr"/>
      <c r="BY1037" t="inlineStr"/>
      <c r="BZ1037" t="inlineStr"/>
      <c r="CA1037" t="inlineStr"/>
      <c r="CB1037" t="inlineStr"/>
      <c r="CC1037" t="inlineStr"/>
      <c r="CD1037" t="inlineStr"/>
      <c r="CE1037" t="inlineStr"/>
      <c r="CF1037" t="inlineStr"/>
      <c r="CG1037" t="inlineStr"/>
      <c r="CH1037" t="inlineStr"/>
      <c r="CI1037" t="inlineStr"/>
      <c r="CJ1037" t="inlineStr"/>
      <c r="CK1037" t="inlineStr"/>
      <c r="CL1037" t="inlineStr"/>
      <c r="CM1037" t="inlineStr"/>
      <c r="CN1037" t="inlineStr"/>
      <c r="CO1037" t="inlineStr"/>
      <c r="CP1037" t="inlineStr"/>
      <c r="CQ1037" t="inlineStr"/>
      <c r="CR1037" t="inlineStr"/>
      <c r="CS1037" t="inlineStr"/>
      <c r="CT1037" t="inlineStr"/>
      <c r="CU1037" t="inlineStr"/>
      <c r="CV1037" t="inlineStr"/>
      <c r="CW1037" t="inlineStr"/>
      <c r="CX1037" t="inlineStr"/>
      <c r="CY1037" t="inlineStr"/>
      <c r="CZ1037" t="inlineStr"/>
      <c r="DA1037" t="inlineStr"/>
      <c r="DB1037" t="inlineStr"/>
      <c r="DC1037" t="inlineStr"/>
      <c r="DD1037" t="inlineStr"/>
      <c r="DE1037" t="inlineStr"/>
      <c r="DF1037" t="inlineStr"/>
      <c r="DG1037" t="inlineStr"/>
    </row>
    <row r="1038">
      <c r="A1038" t="inlineStr">
        <is>
          <t>III</t>
        </is>
      </c>
      <c r="B1038" t="b">
        <v>1</v>
      </c>
      <c r="C1038" t="inlineStr"/>
      <c r="D1038" t="inlineStr"/>
      <c r="E1038" t="n">
        <v>1180</v>
      </c>
      <c r="F1038">
        <f>HYPERLINK("https://portal.dnb.de/opac.htm?method=simpleSearch&amp;cqlMode=true&amp;query=idn%3D999030736", "Portal")</f>
        <v/>
      </c>
      <c r="G1038" t="inlineStr">
        <is>
          <t>Aal</t>
        </is>
      </c>
      <c r="H1038" t="inlineStr">
        <is>
          <t>L-1524-16738046X</t>
        </is>
      </c>
      <c r="I1038" t="inlineStr">
        <is>
          <t>999030736</t>
        </is>
      </c>
      <c r="J1038" t="inlineStr">
        <is>
          <t>III 109, 1</t>
        </is>
      </c>
      <c r="K1038" t="inlineStr">
        <is>
          <t>III 109, 1</t>
        </is>
      </c>
      <c r="L1038" t="inlineStr">
        <is>
          <t>III 109, 1</t>
        </is>
      </c>
      <c r="M1038" t="inlineStr"/>
      <c r="N1038" t="inlineStr">
        <is>
          <t xml:space="preserve">Eyn @Edles schönes lieb||lichs Tractetleyn, von dem reynen||hymlischen: ewigen wort (Ver||bum Domini) zu lob Got dem schöpffer Hymels vnd Erden, vnnd </t>
        </is>
      </c>
      <c r="O1038" t="inlineStr">
        <is>
          <t xml:space="preserve"> : </t>
        </is>
      </c>
      <c r="P1038" t="inlineStr"/>
      <c r="Q1038" t="inlineStr"/>
      <c r="R1038" t="inlineStr"/>
      <c r="S1038" t="inlineStr">
        <is>
          <t>bis 25 cm</t>
        </is>
      </c>
      <c r="T1038" t="inlineStr"/>
      <c r="U1038" t="inlineStr"/>
      <c r="V1038" t="inlineStr"/>
      <c r="W1038" t="inlineStr"/>
      <c r="X1038" t="inlineStr"/>
      <c r="Y1038" t="inlineStr"/>
      <c r="Z1038" t="inlineStr"/>
      <c r="AA1038" t="inlineStr"/>
      <c r="AB1038" t="inlineStr"/>
      <c r="AC1038" t="inlineStr"/>
      <c r="AD1038" t="inlineStr"/>
      <c r="AE1038" t="inlineStr"/>
      <c r="AF1038" t="inlineStr"/>
      <c r="AG1038" t="inlineStr"/>
      <c r="AH1038" t="inlineStr"/>
      <c r="AI1038" t="inlineStr">
        <is>
          <t>HPg</t>
        </is>
      </c>
      <c r="AJ1038" t="inlineStr"/>
      <c r="AK1038" t="inlineStr"/>
      <c r="AL1038" t="inlineStr"/>
      <c r="AM1038" t="inlineStr">
        <is>
          <t>h/E</t>
        </is>
      </c>
      <c r="AN1038" t="inlineStr"/>
      <c r="AO1038" t="inlineStr"/>
      <c r="AP1038" t="inlineStr"/>
      <c r="AQ1038" t="inlineStr"/>
      <c r="AR1038" t="inlineStr"/>
      <c r="AS1038" t="inlineStr">
        <is>
          <t>Pa</t>
        </is>
      </c>
      <c r="AT1038" t="inlineStr"/>
      <c r="AU1038" t="inlineStr"/>
      <c r="AV1038" t="inlineStr"/>
      <c r="AW1038" t="inlineStr"/>
      <c r="AX1038" t="inlineStr"/>
      <c r="AY1038" t="inlineStr"/>
      <c r="AZ1038" t="inlineStr"/>
      <c r="BA1038" t="inlineStr"/>
      <c r="BB1038" t="inlineStr"/>
      <c r="BC1038" t="inlineStr"/>
      <c r="BD1038" t="inlineStr"/>
      <c r="BE1038" t="inlineStr"/>
      <c r="BF1038" t="inlineStr"/>
      <c r="BG1038" t="n">
        <v>110</v>
      </c>
      <c r="BH1038" t="inlineStr"/>
      <c r="BI1038" t="inlineStr"/>
      <c r="BJ1038" t="inlineStr"/>
      <c r="BK1038" t="inlineStr">
        <is>
          <t>x</t>
        </is>
      </c>
      <c r="BL1038" t="inlineStr">
        <is>
          <t>x</t>
        </is>
      </c>
      <c r="BM1038" t="inlineStr">
        <is>
          <t>n</t>
        </is>
      </c>
      <c r="BN1038" t="n">
        <v>0</v>
      </c>
      <c r="BO1038" t="inlineStr"/>
      <c r="BP1038" t="inlineStr"/>
      <c r="BQ1038" t="inlineStr"/>
      <c r="BR1038" t="inlineStr"/>
      <c r="BS1038" t="inlineStr"/>
      <c r="BT1038" t="inlineStr"/>
      <c r="BU1038" t="inlineStr"/>
      <c r="BV1038" t="inlineStr"/>
      <c r="BW1038" t="inlineStr"/>
      <c r="BX1038" t="inlineStr"/>
      <c r="BY1038" t="inlineStr"/>
      <c r="BZ1038" t="inlineStr"/>
      <c r="CA1038" t="inlineStr"/>
      <c r="CB1038" t="inlineStr"/>
      <c r="CC1038" t="inlineStr"/>
      <c r="CD1038" t="inlineStr"/>
      <c r="CE1038" t="inlineStr"/>
      <c r="CF1038" t="inlineStr"/>
      <c r="CG1038" t="inlineStr"/>
      <c r="CH1038" t="inlineStr"/>
      <c r="CI1038" t="inlineStr"/>
      <c r="CJ1038" t="inlineStr"/>
      <c r="CK1038" t="inlineStr"/>
      <c r="CL1038" t="inlineStr"/>
      <c r="CM1038" t="inlineStr"/>
      <c r="CN1038" t="inlineStr"/>
      <c r="CO1038" t="inlineStr"/>
      <c r="CP1038" t="inlineStr"/>
      <c r="CQ1038" t="inlineStr"/>
      <c r="CR1038" t="inlineStr"/>
      <c r="CS1038" t="inlineStr"/>
      <c r="CT1038" t="inlineStr"/>
      <c r="CU1038" t="inlineStr"/>
      <c r="CV1038" t="inlineStr"/>
      <c r="CW1038" t="inlineStr"/>
      <c r="CX1038" t="inlineStr"/>
      <c r="CY1038" t="inlineStr"/>
      <c r="CZ1038" t="inlineStr"/>
      <c r="DA1038" t="inlineStr"/>
      <c r="DB1038" t="inlineStr"/>
      <c r="DC1038" t="inlineStr"/>
      <c r="DD1038" t="inlineStr"/>
      <c r="DE1038" t="inlineStr"/>
      <c r="DF1038" t="inlineStr"/>
      <c r="DG1038" t="inlineStr"/>
    </row>
    <row r="1039">
      <c r="A1039" t="inlineStr">
        <is>
          <t>III</t>
        </is>
      </c>
      <c r="B1039" t="b">
        <v>1</v>
      </c>
      <c r="C1039" t="inlineStr">
        <is>
          <t>x</t>
        </is>
      </c>
      <c r="D1039" t="inlineStr"/>
      <c r="E1039" t="inlineStr"/>
      <c r="F1039">
        <f>HYPERLINK("https://portal.dnb.de/opac.htm?method=simpleSearch&amp;cqlMode=true&amp;query=idn%3D1138060933", "Portal")</f>
        <v/>
      </c>
      <c r="G1039" t="inlineStr">
        <is>
          <t>Qd</t>
        </is>
      </c>
      <c r="H1039" t="inlineStr">
        <is>
          <t>L-9999-414378652</t>
        </is>
      </c>
      <c r="I1039" t="inlineStr">
        <is>
          <t>1138060933</t>
        </is>
      </c>
      <c r="J1039" t="inlineStr">
        <is>
          <t>III 109, 2</t>
        </is>
      </c>
      <c r="K1039" t="inlineStr">
        <is>
          <t>III 109, 2</t>
        </is>
      </c>
      <c r="L1039" t="inlineStr">
        <is>
          <t>III 109, 2</t>
        </is>
      </c>
      <c r="M1039" t="inlineStr"/>
      <c r="N1039" t="inlineStr">
        <is>
          <t xml:space="preserve">Sammelband : </t>
        </is>
      </c>
      <c r="O1039" t="inlineStr">
        <is>
          <t xml:space="preserve"> : </t>
        </is>
      </c>
      <c r="P1039" t="inlineStr"/>
      <c r="Q1039" t="inlineStr">
        <is>
          <t>550,00 EUR</t>
        </is>
      </c>
      <c r="R1039" t="inlineStr"/>
      <c r="S1039" t="inlineStr">
        <is>
          <t>bis 25 cm</t>
        </is>
      </c>
      <c r="T1039" t="inlineStr"/>
      <c r="U1039" t="inlineStr"/>
      <c r="V1039" t="inlineStr"/>
      <c r="W1039" t="inlineStr"/>
      <c r="X1039" t="inlineStr"/>
      <c r="Y1039" t="inlineStr"/>
      <c r="Z1039" t="inlineStr"/>
      <c r="AA1039" t="inlineStr"/>
      <c r="AB1039" t="inlineStr"/>
      <c r="AC1039" t="inlineStr"/>
      <c r="AD1039" t="inlineStr"/>
      <c r="AE1039" t="inlineStr"/>
      <c r="AF1039" t="inlineStr"/>
      <c r="AG1039" t="inlineStr"/>
      <c r="AH1039" t="inlineStr"/>
      <c r="AI1039" t="inlineStr">
        <is>
          <t>G</t>
        </is>
      </c>
      <c r="AJ1039" t="inlineStr"/>
      <c r="AK1039" t="inlineStr">
        <is>
          <t>x</t>
        </is>
      </c>
      <c r="AL1039" t="inlineStr"/>
      <c r="AM1039" t="inlineStr">
        <is>
          <t>h/E</t>
        </is>
      </c>
      <c r="AN1039" t="inlineStr"/>
      <c r="AO1039" t="inlineStr"/>
      <c r="AP1039" t="inlineStr"/>
      <c r="AQ1039" t="inlineStr"/>
      <c r="AR1039" t="inlineStr"/>
      <c r="AS1039" t="inlineStr">
        <is>
          <t>Pa</t>
        </is>
      </c>
      <c r="AT1039" t="inlineStr">
        <is>
          <t>x</t>
        </is>
      </c>
      <c r="AU1039" t="inlineStr"/>
      <c r="AV1039" t="inlineStr"/>
      <c r="AW1039" t="inlineStr"/>
      <c r="AX1039" t="inlineStr"/>
      <c r="AY1039" t="inlineStr"/>
      <c r="AZ1039" t="inlineStr"/>
      <c r="BA1039" t="inlineStr"/>
      <c r="BB1039" t="inlineStr"/>
      <c r="BC1039" t="inlineStr"/>
      <c r="BD1039" t="inlineStr"/>
      <c r="BE1039" t="inlineStr"/>
      <c r="BF1039" t="inlineStr"/>
      <c r="BG1039" t="n">
        <v>110</v>
      </c>
      <c r="BH1039" t="inlineStr"/>
      <c r="BI1039" t="inlineStr"/>
      <c r="BJ1039" t="inlineStr"/>
      <c r="BK1039" t="inlineStr"/>
      <c r="BL1039" t="inlineStr"/>
      <c r="BM1039" t="inlineStr">
        <is>
          <t>ja vor</t>
        </is>
      </c>
      <c r="BN1039" t="n">
        <v>1</v>
      </c>
      <c r="BO1039" t="inlineStr"/>
      <c r="BP1039" t="inlineStr"/>
      <c r="BQ1039" t="inlineStr"/>
      <c r="BR1039" t="inlineStr"/>
      <c r="BS1039" t="inlineStr"/>
      <c r="BT1039" t="inlineStr"/>
      <c r="BU1039" t="inlineStr"/>
      <c r="BV1039" t="inlineStr"/>
      <c r="BW1039" t="inlineStr"/>
      <c r="BX1039" t="inlineStr"/>
      <c r="BY1039" t="inlineStr"/>
      <c r="BZ1039" t="inlineStr"/>
      <c r="CA1039" t="inlineStr"/>
      <c r="CB1039" t="inlineStr"/>
      <c r="CC1039" t="inlineStr"/>
      <c r="CD1039" t="inlineStr">
        <is>
          <t>v/h</t>
        </is>
      </c>
      <c r="CE1039" t="inlineStr"/>
      <c r="CF1039" t="inlineStr"/>
      <c r="CG1039" t="inlineStr"/>
      <c r="CH1039" t="inlineStr"/>
      <c r="CI1039" t="inlineStr"/>
      <c r="CJ1039" t="inlineStr"/>
      <c r="CK1039" t="inlineStr"/>
      <c r="CL1039" t="inlineStr"/>
      <c r="CM1039" t="n">
        <v>1</v>
      </c>
      <c r="CN1039" t="inlineStr"/>
      <c r="CO1039" t="inlineStr"/>
      <c r="CP1039" t="inlineStr"/>
      <c r="CQ1039" t="inlineStr"/>
      <c r="CR1039" t="inlineStr"/>
      <c r="CS1039" t="inlineStr"/>
      <c r="CT1039" t="inlineStr"/>
      <c r="CU1039" t="inlineStr"/>
      <c r="CV1039" t="inlineStr"/>
      <c r="CW1039" t="inlineStr"/>
      <c r="CX1039" t="inlineStr"/>
      <c r="CY1039" t="inlineStr"/>
      <c r="CZ1039" t="inlineStr"/>
      <c r="DA1039" t="inlineStr"/>
      <c r="DB1039" t="inlineStr"/>
      <c r="DC1039" t="inlineStr"/>
      <c r="DD1039" t="inlineStr"/>
      <c r="DE1039" t="inlineStr"/>
      <c r="DF1039" t="inlineStr"/>
      <c r="DG1039" t="inlineStr"/>
    </row>
    <row r="1040">
      <c r="A1040" t="inlineStr">
        <is>
          <t>III</t>
        </is>
      </c>
      <c r="B1040" t="b">
        <v>1</v>
      </c>
      <c r="C1040" t="inlineStr">
        <is>
          <t>x</t>
        </is>
      </c>
      <c r="D1040" t="inlineStr"/>
      <c r="E1040" t="n">
        <v>1182</v>
      </c>
      <c r="F1040">
        <f>HYPERLINK("https://portal.dnb.de/opac.htm?method=simpleSearch&amp;cqlMode=true&amp;query=idn%3D1066964297", "Portal")</f>
        <v/>
      </c>
      <c r="G1040" t="inlineStr">
        <is>
          <t>Aaf</t>
        </is>
      </c>
      <c r="H1040" t="inlineStr">
        <is>
          <t>L-1523-315494522</t>
        </is>
      </c>
      <c r="I1040" t="inlineStr">
        <is>
          <t>1066964297</t>
        </is>
      </c>
      <c r="J1040" t="inlineStr">
        <is>
          <t>III 109, 3</t>
        </is>
      </c>
      <c r="K1040" t="inlineStr">
        <is>
          <t>III 109, 3</t>
        </is>
      </c>
      <c r="L1040" t="inlineStr">
        <is>
          <t>III 109, 3</t>
        </is>
      </c>
      <c r="M1040" t="inlineStr"/>
      <c r="N1040" t="inlineStr">
        <is>
          <t>Ordnung deß Nawen|| Studij vnd yetztauffgerichten Collegij yn|| Fürstlicher Stadt Zwickaw.|| [Sp.1] Auff drey haupt=||sprachen.||[Sp.2] Hebraysch.|| K</t>
        </is>
      </c>
      <c r="O1040" t="inlineStr">
        <is>
          <t xml:space="preserve"> : </t>
        </is>
      </c>
      <c r="P1040" t="inlineStr"/>
      <c r="Q1040" t="inlineStr"/>
      <c r="R1040" t="inlineStr"/>
      <c r="S1040" t="inlineStr">
        <is>
          <t>bis 25 cm</t>
        </is>
      </c>
      <c r="T1040" t="inlineStr"/>
      <c r="U1040" t="inlineStr"/>
      <c r="V1040" t="inlineStr"/>
      <c r="W1040" t="inlineStr"/>
      <c r="X1040" t="inlineStr"/>
      <c r="Y1040" t="inlineStr"/>
      <c r="Z1040" t="inlineStr"/>
      <c r="AA1040" t="inlineStr"/>
      <c r="AB1040" t="inlineStr"/>
      <c r="AC1040" t="inlineStr"/>
      <c r="AD1040" t="inlineStr"/>
      <c r="AE1040" t="inlineStr"/>
      <c r="AF1040" t="inlineStr"/>
      <c r="AG1040" t="inlineStr"/>
      <c r="AH1040" t="inlineStr"/>
      <c r="AI1040" t="inlineStr">
        <is>
          <t>G</t>
        </is>
      </c>
      <c r="AJ1040" t="inlineStr"/>
      <c r="AK1040" t="inlineStr">
        <is>
          <t>x</t>
        </is>
      </c>
      <c r="AL1040" t="inlineStr"/>
      <c r="AM1040" t="inlineStr">
        <is>
          <t>h/E</t>
        </is>
      </c>
      <c r="AN1040" t="inlineStr"/>
      <c r="AO1040" t="inlineStr"/>
      <c r="AP1040" t="inlineStr"/>
      <c r="AQ1040" t="inlineStr"/>
      <c r="AR1040" t="inlineStr"/>
      <c r="AS1040" t="inlineStr">
        <is>
          <t>Pa</t>
        </is>
      </c>
      <c r="AT1040" t="inlineStr">
        <is>
          <t>x</t>
        </is>
      </c>
      <c r="AU1040" t="inlineStr"/>
      <c r="AV1040" t="inlineStr"/>
      <c r="AW1040" t="inlineStr"/>
      <c r="AX1040" t="inlineStr"/>
      <c r="AY1040" t="inlineStr"/>
      <c r="AZ1040" t="inlineStr"/>
      <c r="BA1040" t="inlineStr"/>
      <c r="BB1040" t="inlineStr"/>
      <c r="BC1040" t="inlineStr"/>
      <c r="BD1040" t="inlineStr"/>
      <c r="BE1040" t="inlineStr"/>
      <c r="BF1040" t="inlineStr"/>
      <c r="BG1040" t="n">
        <v>110</v>
      </c>
      <c r="BH1040" t="inlineStr"/>
      <c r="BI1040" t="inlineStr"/>
      <c r="BJ1040" t="inlineStr"/>
      <c r="BK1040" t="inlineStr"/>
      <c r="BL1040" t="inlineStr"/>
      <c r="BM1040" t="inlineStr">
        <is>
          <t>ja vor</t>
        </is>
      </c>
      <c r="BN1040" t="n">
        <v>1</v>
      </c>
      <c r="BO1040" t="inlineStr"/>
      <c r="BP1040" t="inlineStr"/>
      <c r="BQ1040" t="inlineStr"/>
      <c r="BR1040" t="inlineStr"/>
      <c r="BS1040" t="inlineStr"/>
      <c r="BT1040" t="inlineStr"/>
      <c r="BU1040" t="inlineStr"/>
      <c r="BV1040" t="inlineStr"/>
      <c r="BW1040" t="inlineStr"/>
      <c r="BX1040" t="inlineStr"/>
      <c r="BY1040" t="inlineStr"/>
      <c r="BZ1040" t="inlineStr"/>
      <c r="CA1040" t="inlineStr"/>
      <c r="CB1040" t="inlineStr"/>
      <c r="CC1040" t="inlineStr"/>
      <c r="CD1040" t="inlineStr">
        <is>
          <t>v</t>
        </is>
      </c>
      <c r="CE1040" t="inlineStr"/>
      <c r="CF1040" t="inlineStr"/>
      <c r="CG1040" t="inlineStr"/>
      <c r="CH1040" t="inlineStr"/>
      <c r="CI1040" t="inlineStr"/>
      <c r="CJ1040" t="inlineStr"/>
      <c r="CK1040" t="inlineStr"/>
      <c r="CL1040" t="inlineStr"/>
      <c r="CM1040" t="n">
        <v>1</v>
      </c>
      <c r="CN1040" t="inlineStr"/>
      <c r="CO1040" t="inlineStr"/>
      <c r="CP1040" t="inlineStr"/>
      <c r="CQ1040" t="inlineStr"/>
      <c r="CR1040" t="inlineStr"/>
      <c r="CS1040" t="inlineStr"/>
      <c r="CT1040" t="inlineStr"/>
      <c r="CU1040" t="inlineStr"/>
      <c r="CV1040" t="inlineStr"/>
      <c r="CW1040" t="inlineStr"/>
      <c r="CX1040" t="inlineStr"/>
      <c r="CY1040" t="inlineStr"/>
      <c r="CZ1040" t="inlineStr"/>
      <c r="DA1040" t="inlineStr"/>
      <c r="DB1040" t="inlineStr"/>
      <c r="DC1040" t="inlineStr"/>
      <c r="DD1040" t="inlineStr"/>
      <c r="DE1040" t="inlineStr"/>
      <c r="DF1040" t="inlineStr"/>
      <c r="DG1040" t="inlineStr"/>
    </row>
    <row r="1041">
      <c r="A1041" t="inlineStr">
        <is>
          <t>III</t>
        </is>
      </c>
      <c r="B1041" t="b">
        <v>1</v>
      </c>
      <c r="C1041" t="inlineStr"/>
      <c r="D1041" t="inlineStr"/>
      <c r="E1041" t="inlineStr"/>
      <c r="F1041">
        <f>HYPERLINK("https://portal.dnb.de/opac.htm?method=simpleSearch&amp;cqlMode=true&amp;query=idn%3D1138311448", "Portal")</f>
        <v/>
      </c>
      <c r="G1041" t="inlineStr">
        <is>
          <t>Qd</t>
        </is>
      </c>
      <c r="H1041" t="inlineStr">
        <is>
          <t>L-9999-414828453</t>
        </is>
      </c>
      <c r="I1041" t="inlineStr">
        <is>
          <t>1138311448</t>
        </is>
      </c>
      <c r="J1041" t="inlineStr">
        <is>
          <t>III 109, 4</t>
        </is>
      </c>
      <c r="K1041" t="inlineStr">
        <is>
          <t>III 109, 4</t>
        </is>
      </c>
      <c r="L1041" t="inlineStr">
        <is>
          <t>III 109, 4</t>
        </is>
      </c>
      <c r="M1041" t="inlineStr"/>
      <c r="N1041" t="inlineStr">
        <is>
          <t xml:space="preserve">Sammelband mit "Füllmaterial" : </t>
        </is>
      </c>
      <c r="O1041" t="inlineStr">
        <is>
          <t xml:space="preserve"> : </t>
        </is>
      </c>
      <c r="P1041" t="inlineStr"/>
      <c r="Q1041" t="inlineStr"/>
      <c r="R1041" t="inlineStr"/>
      <c r="S1041" t="inlineStr">
        <is>
          <t>bis 25 cm</t>
        </is>
      </c>
      <c r="T1041" t="inlineStr"/>
      <c r="U1041" t="inlineStr"/>
      <c r="V1041" t="inlineStr"/>
      <c r="W1041" t="inlineStr"/>
      <c r="X1041" t="inlineStr"/>
      <c r="Y1041" t="inlineStr"/>
      <c r="Z1041" t="inlineStr"/>
      <c r="AA1041" t="inlineStr"/>
      <c r="AB1041" t="inlineStr"/>
      <c r="AC1041" t="inlineStr"/>
      <c r="AD1041" t="inlineStr"/>
      <c r="AE1041" t="inlineStr"/>
      <c r="AF1041" t="inlineStr"/>
      <c r="AG1041" t="inlineStr"/>
      <c r="AH1041" t="inlineStr"/>
      <c r="AI1041" t="inlineStr">
        <is>
          <t>HL</t>
        </is>
      </c>
      <c r="AJ1041" t="inlineStr"/>
      <c r="AK1041" t="inlineStr">
        <is>
          <t>x</t>
        </is>
      </c>
      <c r="AL1041" t="inlineStr"/>
      <c r="AM1041" t="inlineStr">
        <is>
          <t>h/E</t>
        </is>
      </c>
      <c r="AN1041" t="inlineStr"/>
      <c r="AO1041" t="inlineStr"/>
      <c r="AP1041" t="inlineStr"/>
      <c r="AQ1041" t="inlineStr"/>
      <c r="AR1041" t="inlineStr"/>
      <c r="AS1041" t="inlineStr">
        <is>
          <t>Pa</t>
        </is>
      </c>
      <c r="AT1041" t="inlineStr"/>
      <c r="AU1041" t="inlineStr"/>
      <c r="AV1041" t="inlineStr"/>
      <c r="AW1041" t="inlineStr"/>
      <c r="AX1041" t="inlineStr"/>
      <c r="AY1041" t="inlineStr"/>
      <c r="AZ1041" t="inlineStr"/>
      <c r="BA1041" t="inlineStr"/>
      <c r="BB1041" t="inlineStr"/>
      <c r="BC1041" t="inlineStr"/>
      <c r="BD1041" t="inlineStr"/>
      <c r="BE1041" t="inlineStr"/>
      <c r="BF1041" t="inlineStr"/>
      <c r="BG1041" t="n">
        <v>110</v>
      </c>
      <c r="BH1041" t="inlineStr"/>
      <c r="BI1041" t="inlineStr"/>
      <c r="BJ1041" t="inlineStr"/>
      <c r="BK1041" t="inlineStr"/>
      <c r="BL1041" t="inlineStr"/>
      <c r="BM1041" t="inlineStr">
        <is>
          <t>n</t>
        </is>
      </c>
      <c r="BN1041" t="n">
        <v>0</v>
      </c>
      <c r="BO1041" t="inlineStr"/>
      <c r="BP1041" t="inlineStr"/>
      <c r="BQ1041" t="inlineStr"/>
      <c r="BR1041" t="inlineStr"/>
      <c r="BS1041" t="inlineStr"/>
      <c r="BT1041" t="inlineStr"/>
      <c r="BU1041" t="inlineStr"/>
      <c r="BV1041" t="inlineStr"/>
      <c r="BW1041" t="inlineStr"/>
      <c r="BX1041" t="inlineStr"/>
      <c r="BY1041" t="inlineStr"/>
      <c r="BZ1041" t="inlineStr"/>
      <c r="CA1041" t="inlineStr"/>
      <c r="CB1041" t="inlineStr"/>
      <c r="CC1041" t="inlineStr"/>
      <c r="CD1041" t="inlineStr"/>
      <c r="CE1041" t="inlineStr"/>
      <c r="CF1041" t="inlineStr"/>
      <c r="CG1041" t="inlineStr"/>
      <c r="CH1041" t="inlineStr"/>
      <c r="CI1041" t="inlineStr"/>
      <c r="CJ1041" t="inlineStr"/>
      <c r="CK1041" t="inlineStr"/>
      <c r="CL1041" t="inlineStr"/>
      <c r="CM1041" t="inlineStr"/>
      <c r="CN1041" t="inlineStr"/>
      <c r="CO1041" t="inlineStr"/>
      <c r="CP1041" t="inlineStr"/>
      <c r="CQ1041" t="inlineStr"/>
      <c r="CR1041" t="inlineStr"/>
      <c r="CS1041" t="inlineStr"/>
      <c r="CT1041" t="inlineStr"/>
      <c r="CU1041" t="inlineStr"/>
      <c r="CV1041" t="inlineStr"/>
      <c r="CW1041" t="inlineStr"/>
      <c r="CX1041" t="inlineStr"/>
      <c r="CY1041" t="inlineStr"/>
      <c r="CZ1041" t="inlineStr"/>
      <c r="DA1041" t="inlineStr"/>
      <c r="DB1041" t="inlineStr"/>
      <c r="DC1041" t="inlineStr"/>
      <c r="DD1041" t="inlineStr"/>
      <c r="DE1041" t="inlineStr"/>
      <c r="DF1041" t="inlineStr"/>
      <c r="DG1041" t="inlineStr"/>
    </row>
    <row r="1042">
      <c r="A1042" t="inlineStr">
        <is>
          <t>III</t>
        </is>
      </c>
      <c r="B1042" t="b">
        <v>1</v>
      </c>
      <c r="C1042" t="inlineStr"/>
      <c r="D1042" t="inlineStr"/>
      <c r="E1042" t="n">
        <v>1184</v>
      </c>
      <c r="F1042">
        <f>HYPERLINK("https://portal.dnb.de/opac.htm?method=simpleSearch&amp;cqlMode=true&amp;query=idn%3D106695710X", "Portal")</f>
        <v/>
      </c>
      <c r="G1042" t="inlineStr">
        <is>
          <t>Aaf</t>
        </is>
      </c>
      <c r="H1042" t="inlineStr">
        <is>
          <t>L-1540-315487720</t>
        </is>
      </c>
      <c r="I1042" t="inlineStr">
        <is>
          <t>106695710X</t>
        </is>
      </c>
      <c r="J1042" t="inlineStr">
        <is>
          <t>III 109, 5</t>
        </is>
      </c>
      <c r="K1042" t="inlineStr">
        <is>
          <t>III 109, 5</t>
        </is>
      </c>
      <c r="L1042" t="inlineStr">
        <is>
          <t>III 109, 5</t>
        </is>
      </c>
      <c r="M1042" t="inlineStr"/>
      <c r="N1042" t="inlineStr">
        <is>
          <t>Klag des armeñ|| Manns vnd Sorgenuol/|| yñ theurung vñ hungers not/ Vnd warmit|| er sich dariñ zu tr#[oe]sten/ aus sch#[oe]nen Historien|| der heylige</t>
        </is>
      </c>
      <c r="O1042" t="inlineStr">
        <is>
          <t xml:space="preserve"> : </t>
        </is>
      </c>
      <c r="P1042" t="inlineStr"/>
      <c r="Q1042" t="inlineStr"/>
      <c r="R1042" t="inlineStr"/>
      <c r="S1042" t="inlineStr">
        <is>
          <t>bis 25 cm</t>
        </is>
      </c>
      <c r="T1042" t="inlineStr"/>
      <c r="U1042" t="inlineStr"/>
      <c r="V1042" t="inlineStr"/>
      <c r="W1042" t="inlineStr"/>
      <c r="X1042" t="inlineStr"/>
      <c r="Y1042" t="inlineStr"/>
      <c r="Z1042" t="inlineStr"/>
      <c r="AA1042" t="inlineStr"/>
      <c r="AB1042" t="inlineStr"/>
      <c r="AC1042" t="inlineStr"/>
      <c r="AD1042" t="inlineStr"/>
      <c r="AE1042" t="inlineStr"/>
      <c r="AF1042" t="inlineStr"/>
      <c r="AG1042" t="inlineStr"/>
      <c r="AH1042" t="inlineStr"/>
      <c r="AI1042" t="inlineStr">
        <is>
          <t>Pg</t>
        </is>
      </c>
      <c r="AJ1042" t="inlineStr"/>
      <c r="AK1042" t="inlineStr">
        <is>
          <t>x</t>
        </is>
      </c>
      <c r="AL1042" t="inlineStr"/>
      <c r="AM1042" t="inlineStr">
        <is>
          <t>h/E</t>
        </is>
      </c>
      <c r="AN1042" t="inlineStr"/>
      <c r="AO1042" t="inlineStr"/>
      <c r="AP1042" t="inlineStr"/>
      <c r="AQ1042" t="inlineStr"/>
      <c r="AR1042" t="inlineStr"/>
      <c r="AS1042" t="inlineStr">
        <is>
          <t>Pa</t>
        </is>
      </c>
      <c r="AT1042" t="inlineStr"/>
      <c r="AU1042" t="inlineStr"/>
      <c r="AV1042" t="inlineStr"/>
      <c r="AW1042" t="inlineStr"/>
      <c r="AX1042" t="inlineStr"/>
      <c r="AY1042" t="inlineStr"/>
      <c r="AZ1042" t="inlineStr"/>
      <c r="BA1042" t="inlineStr"/>
      <c r="BB1042" t="inlineStr"/>
      <c r="BC1042" t="inlineStr"/>
      <c r="BD1042" t="inlineStr"/>
      <c r="BE1042" t="inlineStr"/>
      <c r="BF1042" t="inlineStr"/>
      <c r="BG1042" t="n">
        <v>110</v>
      </c>
      <c r="BH1042" t="inlineStr"/>
      <c r="BI1042" t="inlineStr"/>
      <c r="BJ1042" t="inlineStr"/>
      <c r="BK1042" t="inlineStr"/>
      <c r="BL1042" t="inlineStr"/>
      <c r="BM1042" t="inlineStr">
        <is>
          <t>n</t>
        </is>
      </c>
      <c r="BN1042" t="n">
        <v>0</v>
      </c>
      <c r="BO1042" t="inlineStr"/>
      <c r="BP1042" t="inlineStr"/>
      <c r="BQ1042" t="inlineStr"/>
      <c r="BR1042" t="inlineStr">
        <is>
          <t>x</t>
        </is>
      </c>
      <c r="BS1042" t="inlineStr"/>
      <c r="BT1042" t="inlineStr"/>
      <c r="BU1042" t="inlineStr"/>
      <c r="BV1042" t="inlineStr"/>
      <c r="BW1042" t="inlineStr"/>
      <c r="BX1042" t="inlineStr"/>
      <c r="BY1042" t="inlineStr"/>
      <c r="BZ1042" t="inlineStr"/>
      <c r="CA1042" t="inlineStr"/>
      <c r="CB1042" t="inlineStr"/>
      <c r="CC1042" t="inlineStr"/>
      <c r="CD1042" t="inlineStr"/>
      <c r="CE1042" t="inlineStr"/>
      <c r="CF1042" t="inlineStr"/>
      <c r="CG1042" t="inlineStr"/>
      <c r="CH1042" t="inlineStr"/>
      <c r="CI1042" t="inlineStr"/>
      <c r="CJ1042" t="inlineStr"/>
      <c r="CK1042" t="inlineStr"/>
      <c r="CL1042" t="inlineStr"/>
      <c r="CM1042" t="inlineStr"/>
      <c r="CN1042" t="inlineStr"/>
      <c r="CO1042" t="inlineStr"/>
      <c r="CP1042" t="inlineStr"/>
      <c r="CQ1042" t="inlineStr"/>
      <c r="CR1042" t="inlineStr"/>
      <c r="CS1042" t="inlineStr"/>
      <c r="CT1042" t="inlineStr"/>
      <c r="CU1042" t="inlineStr"/>
      <c r="CV1042" t="inlineStr"/>
      <c r="CW1042" t="inlineStr"/>
      <c r="CX1042" t="inlineStr"/>
      <c r="CY1042" t="inlineStr"/>
      <c r="CZ1042" t="inlineStr"/>
      <c r="DA1042" t="inlineStr"/>
      <c r="DB1042" t="inlineStr"/>
      <c r="DC1042" t="inlineStr"/>
      <c r="DD1042" t="inlineStr"/>
      <c r="DE1042" t="inlineStr"/>
      <c r="DF1042" t="inlineStr"/>
      <c r="DG1042" t="inlineStr"/>
    </row>
    <row r="1043">
      <c r="A1043" t="inlineStr">
        <is>
          <t>III</t>
        </is>
      </c>
      <c r="B1043" t="b">
        <v>1</v>
      </c>
      <c r="C1043" t="inlineStr"/>
      <c r="D1043" t="inlineStr"/>
      <c r="E1043" t="n">
        <v>1191</v>
      </c>
      <c r="F1043">
        <f>HYPERLINK("https://portal.dnb.de/opac.htm?method=simpleSearch&amp;cqlMode=true&amp;query=idn%3D1066964122", "Portal")</f>
        <v/>
      </c>
      <c r="G1043" t="inlineStr">
        <is>
          <t>Aaf</t>
        </is>
      </c>
      <c r="H1043" t="inlineStr">
        <is>
          <t>L-1525-315494344</t>
        </is>
      </c>
      <c r="I1043" t="inlineStr">
        <is>
          <t>1066964122</t>
        </is>
      </c>
      <c r="J1043" t="inlineStr">
        <is>
          <t>III 110, 1</t>
        </is>
      </c>
      <c r="K1043" t="inlineStr">
        <is>
          <t>III 110, 1</t>
        </is>
      </c>
      <c r="L1043" t="inlineStr">
        <is>
          <t>III 110, 1</t>
        </is>
      </c>
      <c r="M1043" t="inlineStr"/>
      <c r="N1043" t="inlineStr">
        <is>
          <t xml:space="preserve">Von Leybey=||genschafft/ odder knecht=||heyt/ Wie sich Herren/ vñ|| eygenlewt/ Christlich hal||ten sollen/ Bericht aus|| g#oetlichen Rechten.|| Durch </t>
        </is>
      </c>
      <c r="O1043" t="inlineStr">
        <is>
          <t xml:space="preserve"> : </t>
        </is>
      </c>
      <c r="P1043" t="inlineStr"/>
      <c r="Q1043" t="inlineStr"/>
      <c r="R1043" t="inlineStr"/>
      <c r="S1043" t="inlineStr">
        <is>
          <t>bis 25 cm</t>
        </is>
      </c>
      <c r="T1043" t="inlineStr"/>
      <c r="U1043" t="inlineStr"/>
      <c r="V1043" t="inlineStr"/>
      <c r="W1043" t="inlineStr"/>
      <c r="X1043" t="inlineStr"/>
      <c r="Y1043" t="inlineStr"/>
      <c r="Z1043" t="inlineStr"/>
      <c r="AA1043" t="inlineStr"/>
      <c r="AB1043" t="inlineStr"/>
      <c r="AC1043" t="inlineStr"/>
      <c r="AD1043" t="inlineStr"/>
      <c r="AE1043" t="inlineStr"/>
      <c r="AF1043" t="inlineStr"/>
      <c r="AG1043" t="inlineStr"/>
      <c r="AH1043" t="inlineStr"/>
      <c r="AI1043" t="inlineStr">
        <is>
          <t>HD</t>
        </is>
      </c>
      <c r="AJ1043" t="inlineStr"/>
      <c r="AK1043" t="inlineStr"/>
      <c r="AL1043" t="inlineStr">
        <is>
          <t>x</t>
        </is>
      </c>
      <c r="AM1043" t="inlineStr">
        <is>
          <t>f</t>
        </is>
      </c>
      <c r="AN1043" t="inlineStr"/>
      <c r="AO1043" t="inlineStr"/>
      <c r="AP1043" t="inlineStr"/>
      <c r="AQ1043" t="inlineStr"/>
      <c r="AR1043" t="inlineStr"/>
      <c r="AS1043" t="inlineStr">
        <is>
          <t>Pa</t>
        </is>
      </c>
      <c r="AT1043" t="inlineStr"/>
      <c r="AU1043" t="inlineStr"/>
      <c r="AV1043" t="inlineStr"/>
      <c r="AW1043" t="inlineStr"/>
      <c r="AX1043" t="inlineStr"/>
      <c r="AY1043" t="inlineStr"/>
      <c r="AZ1043" t="inlineStr"/>
      <c r="BA1043" t="inlineStr"/>
      <c r="BB1043" t="inlineStr"/>
      <c r="BC1043" t="inlineStr"/>
      <c r="BD1043" t="inlineStr"/>
      <c r="BE1043" t="inlineStr"/>
      <c r="BF1043" t="inlineStr"/>
      <c r="BG1043" t="n">
        <v>110</v>
      </c>
      <c r="BH1043" t="inlineStr"/>
      <c r="BI1043" t="inlineStr"/>
      <c r="BJ1043" t="inlineStr"/>
      <c r="BK1043" t="inlineStr"/>
      <c r="BL1043" t="inlineStr"/>
      <c r="BM1043" t="inlineStr">
        <is>
          <t>n</t>
        </is>
      </c>
      <c r="BN1043" t="n">
        <v>0</v>
      </c>
      <c r="BO1043" t="inlineStr"/>
      <c r="BP1043" t="inlineStr"/>
      <c r="BQ1043" t="inlineStr"/>
      <c r="BR1043" t="inlineStr"/>
      <c r="BS1043" t="inlineStr">
        <is>
          <t>x sauer</t>
        </is>
      </c>
      <c r="BT1043" t="inlineStr"/>
      <c r="BU1043" t="inlineStr">
        <is>
          <t>x</t>
        </is>
      </c>
      <c r="BV1043" t="inlineStr"/>
      <c r="BW1043" t="inlineStr"/>
      <c r="BX1043" t="inlineStr"/>
      <c r="BY1043" t="inlineStr">
        <is>
          <t>Buchschuh (abriebgefährdet)</t>
        </is>
      </c>
      <c r="BZ1043" t="inlineStr"/>
      <c r="CA1043" t="inlineStr"/>
      <c r="CB1043" t="inlineStr"/>
      <c r="CC1043" t="inlineStr"/>
      <c r="CD1043" t="inlineStr"/>
      <c r="CE1043" t="inlineStr"/>
      <c r="CF1043" t="inlineStr"/>
      <c r="CG1043" t="inlineStr"/>
      <c r="CH1043" t="inlineStr"/>
      <c r="CI1043" t="inlineStr"/>
      <c r="CJ1043" t="inlineStr"/>
      <c r="CK1043" t="inlineStr"/>
      <c r="CL1043" t="inlineStr"/>
      <c r="CM1043" t="inlineStr"/>
      <c r="CN1043" t="inlineStr"/>
      <c r="CO1043" t="inlineStr"/>
      <c r="CP1043" t="inlineStr"/>
      <c r="CQ1043" t="inlineStr"/>
      <c r="CR1043" t="inlineStr"/>
      <c r="CS1043" t="inlineStr"/>
      <c r="CT1043" t="inlineStr"/>
      <c r="CU1043" t="inlineStr"/>
      <c r="CV1043" t="inlineStr"/>
      <c r="CW1043" t="inlineStr"/>
      <c r="CX1043" t="inlineStr"/>
      <c r="CY1043" t="inlineStr"/>
      <c r="CZ1043" t="inlineStr"/>
      <c r="DA1043" t="inlineStr"/>
      <c r="DB1043" t="inlineStr"/>
      <c r="DC1043" t="inlineStr"/>
      <c r="DD1043" t="inlineStr"/>
      <c r="DE1043" t="inlineStr"/>
      <c r="DF1043" t="inlineStr"/>
      <c r="DG1043" t="inlineStr"/>
    </row>
    <row r="1044">
      <c r="A1044" t="inlineStr">
        <is>
          <t>III</t>
        </is>
      </c>
      <c r="B1044" t="b">
        <v>1</v>
      </c>
      <c r="C1044" t="inlineStr"/>
      <c r="D1044" t="inlineStr"/>
      <c r="E1044" t="n">
        <v>1192</v>
      </c>
      <c r="F1044">
        <f>HYPERLINK("https://portal.dnb.de/opac.htm?method=simpleSearch&amp;cqlMode=true&amp;query=idn%3D1003676618", "Portal")</f>
        <v/>
      </c>
      <c r="G1044" t="inlineStr">
        <is>
          <t>Aal</t>
        </is>
      </c>
      <c r="H1044" t="inlineStr">
        <is>
          <t>L-1559-180416669</t>
        </is>
      </c>
      <c r="I1044" t="inlineStr">
        <is>
          <t>1003676618</t>
        </is>
      </c>
      <c r="J1044" t="inlineStr">
        <is>
          <t>III 110, 2</t>
        </is>
      </c>
      <c r="K1044" t="inlineStr">
        <is>
          <t>III 110, 2</t>
        </is>
      </c>
      <c r="L1044" t="inlineStr">
        <is>
          <t>III 110, 2</t>
        </is>
      </c>
      <c r="M1044" t="inlineStr"/>
      <c r="N1044" t="inlineStr">
        <is>
          <t xml:space="preserve">Warhafftige Newe Zeittung|| : Was sich für Empörung nach des Bapsts Pauli des IV. Todt|| welcher den 18. Augusti dises 1559. Jars verschiden|| zu Rom </t>
        </is>
      </c>
      <c r="O1044" t="inlineStr">
        <is>
          <t xml:space="preserve"> : </t>
        </is>
      </c>
      <c r="P1044" t="inlineStr"/>
      <c r="Q1044" t="inlineStr"/>
      <c r="R1044" t="inlineStr"/>
      <c r="S1044" t="inlineStr">
        <is>
          <t>bis 25 cm</t>
        </is>
      </c>
      <c r="T1044" t="inlineStr"/>
      <c r="U1044" t="inlineStr"/>
      <c r="V1044" t="inlineStr"/>
      <c r="W1044" t="inlineStr"/>
      <c r="X1044" t="inlineStr"/>
      <c r="Y1044" t="inlineStr"/>
      <c r="Z1044" t="inlineStr"/>
      <c r="AA1044" t="inlineStr"/>
      <c r="AB1044" t="inlineStr"/>
      <c r="AC1044" t="inlineStr"/>
      <c r="AD1044" t="inlineStr"/>
      <c r="AE1044" t="inlineStr"/>
      <c r="AF1044" t="inlineStr"/>
      <c r="AG1044" t="inlineStr"/>
      <c r="AH1044" t="inlineStr"/>
      <c r="AI1044" t="inlineStr">
        <is>
          <t>Pa</t>
        </is>
      </c>
      <c r="AJ1044" t="inlineStr"/>
      <c r="AK1044" t="inlineStr"/>
      <c r="AL1044" t="inlineStr">
        <is>
          <t>x</t>
        </is>
      </c>
      <c r="AM1044" t="inlineStr">
        <is>
          <t>h/E</t>
        </is>
      </c>
      <c r="AN1044" t="inlineStr"/>
      <c r="AO1044" t="inlineStr"/>
      <c r="AP1044" t="inlineStr"/>
      <c r="AQ1044" t="inlineStr"/>
      <c r="AR1044" t="inlineStr"/>
      <c r="AS1044" t="inlineStr">
        <is>
          <t>Pa</t>
        </is>
      </c>
      <c r="AT1044" t="inlineStr"/>
      <c r="AU1044" t="inlineStr"/>
      <c r="AV1044" t="inlineStr"/>
      <c r="AW1044" t="inlineStr"/>
      <c r="AX1044" t="inlineStr"/>
      <c r="AY1044" t="inlineStr"/>
      <c r="AZ1044" t="inlineStr"/>
      <c r="BA1044" t="inlineStr"/>
      <c r="BB1044" t="inlineStr"/>
      <c r="BC1044" t="inlineStr"/>
      <c r="BD1044" t="inlineStr"/>
      <c r="BE1044" t="inlineStr"/>
      <c r="BF1044" t="inlineStr"/>
      <c r="BG1044" t="n">
        <v>110</v>
      </c>
      <c r="BH1044" t="inlineStr"/>
      <c r="BI1044" t="inlineStr"/>
      <c r="BJ1044" t="inlineStr"/>
      <c r="BK1044" t="inlineStr"/>
      <c r="BL1044" t="inlineStr"/>
      <c r="BM1044" t="inlineStr">
        <is>
          <t>n</t>
        </is>
      </c>
      <c r="BN1044" t="n">
        <v>0</v>
      </c>
      <c r="BO1044" t="inlineStr"/>
      <c r="BP1044" t="inlineStr"/>
      <c r="BQ1044" t="inlineStr"/>
      <c r="BR1044" t="inlineStr"/>
      <c r="BS1044" t="inlineStr"/>
      <c r="BT1044" t="inlineStr"/>
      <c r="BU1044" t="inlineStr"/>
      <c r="BV1044" t="inlineStr"/>
      <c r="BW1044" t="inlineStr"/>
      <c r="BX1044" t="inlineStr"/>
      <c r="BY1044" t="inlineStr"/>
      <c r="BZ1044" t="inlineStr"/>
      <c r="CA1044" t="inlineStr"/>
      <c r="CB1044" t="inlineStr"/>
      <c r="CC1044" t="inlineStr"/>
      <c r="CD1044" t="inlineStr"/>
      <c r="CE1044" t="inlineStr"/>
      <c r="CF1044" t="inlineStr"/>
      <c r="CG1044" t="inlineStr"/>
      <c r="CH1044" t="inlineStr"/>
      <c r="CI1044" t="inlineStr"/>
      <c r="CJ1044" t="inlineStr"/>
      <c r="CK1044" t="inlineStr"/>
      <c r="CL1044" t="inlineStr"/>
      <c r="CM1044" t="inlineStr"/>
      <c r="CN1044" t="inlineStr"/>
      <c r="CO1044" t="inlineStr"/>
      <c r="CP1044" t="inlineStr"/>
      <c r="CQ1044" t="inlineStr"/>
      <c r="CR1044" t="inlineStr"/>
      <c r="CS1044" t="inlineStr"/>
      <c r="CT1044" t="inlineStr"/>
      <c r="CU1044" t="inlineStr"/>
      <c r="CV1044" t="inlineStr"/>
      <c r="CW1044" t="inlineStr"/>
      <c r="CX1044" t="inlineStr"/>
      <c r="CY1044" t="inlineStr"/>
      <c r="CZ1044" t="inlineStr"/>
      <c r="DA1044" t="inlineStr"/>
      <c r="DB1044" t="inlineStr"/>
      <c r="DC1044" t="inlineStr"/>
      <c r="DD1044" t="inlineStr"/>
      <c r="DE1044" t="inlineStr"/>
      <c r="DF1044" t="inlineStr"/>
      <c r="DG1044" t="inlineStr"/>
    </row>
    <row r="1045">
      <c r="A1045" t="inlineStr">
        <is>
          <t>III</t>
        </is>
      </c>
      <c r="B1045" t="b">
        <v>1</v>
      </c>
      <c r="C1045" t="inlineStr"/>
      <c r="D1045" t="inlineStr"/>
      <c r="E1045" t="n">
        <v>1193</v>
      </c>
      <c r="F1045">
        <f>HYPERLINK("https://portal.dnb.de/opac.htm?method=simpleSearch&amp;cqlMode=true&amp;query=idn%3D1066957037", "Portal")</f>
        <v/>
      </c>
      <c r="G1045" t="inlineStr">
        <is>
          <t>Aaf</t>
        </is>
      </c>
      <c r="H1045" t="inlineStr">
        <is>
          <t>L-1519-315487658</t>
        </is>
      </c>
      <c r="I1045" t="inlineStr">
        <is>
          <t>1066957037</t>
        </is>
      </c>
      <c r="J1045" t="inlineStr">
        <is>
          <t>III 110, 3</t>
        </is>
      </c>
      <c r="K1045" t="inlineStr">
        <is>
          <t>III 110, 3</t>
        </is>
      </c>
      <c r="L1045" t="inlineStr">
        <is>
          <t>III 110, 3</t>
        </is>
      </c>
      <c r="M1045" t="inlineStr"/>
      <c r="N1045" t="inlineStr">
        <is>
          <t>IVLIVS.|| Dialogus uiri cuiuspiam eruditissimi, festiuus sane|| ac elegans, quomodo IVLIVS.II. P.M. post|| mortem, coeli fores pulsando, ab ianitore||</t>
        </is>
      </c>
      <c r="O1045" t="inlineStr">
        <is>
          <t xml:space="preserve"> : </t>
        </is>
      </c>
      <c r="P1045" t="inlineStr"/>
      <c r="Q1045" t="inlineStr"/>
      <c r="R1045" t="inlineStr"/>
      <c r="S1045" t="inlineStr">
        <is>
          <t>bis 25 cm</t>
        </is>
      </c>
      <c r="T1045" t="inlineStr"/>
      <c r="U1045" t="inlineStr"/>
      <c r="V1045" t="inlineStr"/>
      <c r="W1045" t="inlineStr"/>
      <c r="X1045" t="inlineStr"/>
      <c r="Y1045" t="inlineStr"/>
      <c r="Z1045" t="inlineStr"/>
      <c r="AA1045" t="inlineStr"/>
      <c r="AB1045" t="inlineStr"/>
      <c r="AC1045" t="inlineStr"/>
      <c r="AD1045" t="inlineStr"/>
      <c r="AE1045" t="inlineStr"/>
      <c r="AF1045" t="inlineStr"/>
      <c r="AG1045" t="inlineStr"/>
      <c r="AH1045" t="inlineStr"/>
      <c r="AI1045" t="inlineStr">
        <is>
          <t>Pa</t>
        </is>
      </c>
      <c r="AJ1045" t="inlineStr"/>
      <c r="AK1045" t="inlineStr">
        <is>
          <t>x</t>
        </is>
      </c>
      <c r="AL1045" t="inlineStr"/>
      <c r="AM1045" t="inlineStr">
        <is>
          <t>h/E</t>
        </is>
      </c>
      <c r="AN1045" t="inlineStr"/>
      <c r="AO1045" t="inlineStr"/>
      <c r="AP1045" t="inlineStr"/>
      <c r="AQ1045" t="inlineStr"/>
      <c r="AR1045" t="inlineStr"/>
      <c r="AS1045" t="inlineStr">
        <is>
          <t>Pa</t>
        </is>
      </c>
      <c r="AT1045" t="inlineStr"/>
      <c r="AU1045" t="inlineStr"/>
      <c r="AV1045" t="inlineStr"/>
      <c r="AW1045" t="inlineStr"/>
      <c r="AX1045" t="inlineStr"/>
      <c r="AY1045" t="inlineStr"/>
      <c r="AZ1045" t="inlineStr"/>
      <c r="BA1045" t="inlineStr"/>
      <c r="BB1045" t="inlineStr"/>
      <c r="BC1045" t="inlineStr"/>
      <c r="BD1045" t="inlineStr"/>
      <c r="BE1045" t="inlineStr"/>
      <c r="BF1045" t="inlineStr"/>
      <c r="BG1045" t="n">
        <v>110</v>
      </c>
      <c r="BH1045" t="inlineStr"/>
      <c r="BI1045" t="inlineStr"/>
      <c r="BJ1045" t="inlineStr"/>
      <c r="BK1045" t="inlineStr"/>
      <c r="BL1045" t="inlineStr"/>
      <c r="BM1045" t="inlineStr">
        <is>
          <t>n</t>
        </is>
      </c>
      <c r="BN1045" t="n">
        <v>0</v>
      </c>
      <c r="BO1045" t="inlineStr"/>
      <c r="BP1045" t="inlineStr"/>
      <c r="BQ1045" t="inlineStr"/>
      <c r="BR1045" t="inlineStr"/>
      <c r="BS1045" t="inlineStr"/>
      <c r="BT1045" t="inlineStr"/>
      <c r="BU1045" t="inlineStr"/>
      <c r="BV1045" t="inlineStr"/>
      <c r="BW1045" t="inlineStr"/>
      <c r="BX1045" t="inlineStr"/>
      <c r="BY1045" t="inlineStr"/>
      <c r="BZ1045" t="inlineStr"/>
      <c r="CA1045" t="inlineStr"/>
      <c r="CB1045" t="inlineStr"/>
      <c r="CC1045" t="inlineStr"/>
      <c r="CD1045" t="inlineStr"/>
      <c r="CE1045" t="inlineStr"/>
      <c r="CF1045" t="inlineStr"/>
      <c r="CG1045" t="inlineStr"/>
      <c r="CH1045" t="inlineStr"/>
      <c r="CI1045" t="inlineStr"/>
      <c r="CJ1045" t="inlineStr"/>
      <c r="CK1045" t="inlineStr"/>
      <c r="CL1045" t="inlineStr"/>
      <c r="CM1045" t="inlineStr"/>
      <c r="CN1045" t="inlineStr"/>
      <c r="CO1045" t="inlineStr"/>
      <c r="CP1045" t="inlineStr"/>
      <c r="CQ1045" t="inlineStr"/>
      <c r="CR1045" t="inlineStr"/>
      <c r="CS1045" t="inlineStr"/>
      <c r="CT1045" t="inlineStr"/>
      <c r="CU1045" t="inlineStr"/>
      <c r="CV1045" t="inlineStr"/>
      <c r="CW1045" t="inlineStr"/>
      <c r="CX1045" t="inlineStr"/>
      <c r="CY1045" t="inlineStr"/>
      <c r="CZ1045" t="inlineStr"/>
      <c r="DA1045" t="inlineStr"/>
      <c r="DB1045" t="inlineStr"/>
      <c r="DC1045" t="inlineStr"/>
      <c r="DD1045" t="inlineStr"/>
      <c r="DE1045" t="inlineStr"/>
      <c r="DF1045" t="inlineStr"/>
      <c r="DG1045" t="inlineStr"/>
    </row>
    <row r="1046">
      <c r="A1046" t="inlineStr">
        <is>
          <t>III</t>
        </is>
      </c>
      <c r="B1046" t="b">
        <v>1</v>
      </c>
      <c r="C1046" t="inlineStr"/>
      <c r="D1046" t="inlineStr"/>
      <c r="E1046" t="inlineStr"/>
      <c r="F1046">
        <f>HYPERLINK("https://portal.dnb.de/opac.htm?method=simpleSearch&amp;cqlMode=true&amp;query=idn%3D1268682446", "Portal")</f>
        <v/>
      </c>
      <c r="G1046" t="inlineStr">
        <is>
          <t>Aa</t>
        </is>
      </c>
      <c r="H1046" t="inlineStr">
        <is>
          <t>L-1530-833778196</t>
        </is>
      </c>
      <c r="I1046" t="inlineStr">
        <is>
          <t>1268682446</t>
        </is>
      </c>
      <c r="J1046" t="inlineStr">
        <is>
          <t>III 110, 4</t>
        </is>
      </c>
      <c r="K1046" t="inlineStr">
        <is>
          <t>III 110, 4</t>
        </is>
      </c>
      <c r="L1046" t="inlineStr">
        <is>
          <t>III 110, 4</t>
        </is>
      </c>
      <c r="M1046" t="inlineStr"/>
      <c r="N1046" t="inlineStr">
        <is>
          <t>[Heiligen-Alphabet] : [Augsburger Formschnitte]</t>
        </is>
      </c>
      <c r="O1046" t="inlineStr">
        <is>
          <t xml:space="preserve"> : </t>
        </is>
      </c>
      <c r="P1046" t="inlineStr"/>
      <c r="Q1046" t="inlineStr"/>
      <c r="R1046" t="inlineStr"/>
      <c r="S1046" t="inlineStr">
        <is>
          <t>bis 25 cm</t>
        </is>
      </c>
      <c r="T1046" t="inlineStr"/>
      <c r="U1046" t="inlineStr"/>
      <c r="V1046" t="inlineStr"/>
      <c r="W1046" t="inlineStr"/>
      <c r="X1046" t="inlineStr"/>
      <c r="Y1046" t="inlineStr"/>
      <c r="Z1046" t="inlineStr"/>
      <c r="AA1046" t="inlineStr"/>
      <c r="AB1046" t="inlineStr"/>
      <c r="AC1046" t="inlineStr"/>
      <c r="AD1046" t="inlineStr"/>
      <c r="AE1046" t="inlineStr"/>
      <c r="AF1046" t="inlineStr"/>
      <c r="AG1046" t="inlineStr"/>
      <c r="AH1046" t="inlineStr"/>
      <c r="AI1046" t="inlineStr">
        <is>
          <t>Pa</t>
        </is>
      </c>
      <c r="AJ1046" t="inlineStr"/>
      <c r="AK1046" t="inlineStr"/>
      <c r="AL1046" t="inlineStr"/>
      <c r="AM1046" t="inlineStr">
        <is>
          <t>h/E</t>
        </is>
      </c>
      <c r="AN1046" t="inlineStr"/>
      <c r="AO1046" t="inlineStr"/>
      <c r="AP1046" t="inlineStr"/>
      <c r="AQ1046" t="inlineStr"/>
      <c r="AR1046" t="inlineStr"/>
      <c r="AS1046" t="inlineStr">
        <is>
          <t>Pa</t>
        </is>
      </c>
      <c r="AT1046" t="inlineStr"/>
      <c r="AU1046" t="inlineStr"/>
      <c r="AV1046" t="inlineStr"/>
      <c r="AW1046" t="inlineStr"/>
      <c r="AX1046" t="inlineStr"/>
      <c r="AY1046" t="inlineStr"/>
      <c r="AZ1046" t="inlineStr"/>
      <c r="BA1046" t="inlineStr"/>
      <c r="BB1046" t="inlineStr"/>
      <c r="BC1046" t="inlineStr"/>
      <c r="BD1046" t="inlineStr"/>
      <c r="BE1046" t="inlineStr"/>
      <c r="BF1046" t="inlineStr"/>
      <c r="BG1046" t="n">
        <v>110</v>
      </c>
      <c r="BH1046" t="inlineStr"/>
      <c r="BI1046" t="inlineStr"/>
      <c r="BJ1046" t="inlineStr"/>
      <c r="BK1046" t="inlineStr"/>
      <c r="BL1046" t="inlineStr"/>
      <c r="BM1046" t="inlineStr">
        <is>
          <t>n</t>
        </is>
      </c>
      <c r="BN1046" t="n">
        <v>0</v>
      </c>
      <c r="BO1046" t="inlineStr"/>
      <c r="BP1046" t="inlineStr"/>
      <c r="BQ1046" t="inlineStr"/>
      <c r="BR1046" t="inlineStr"/>
      <c r="BS1046" t="inlineStr"/>
      <c r="BT1046" t="inlineStr"/>
      <c r="BU1046" t="inlineStr"/>
      <c r="BV1046" t="inlineStr"/>
      <c r="BW1046" t="inlineStr"/>
      <c r="BX1046" t="inlineStr"/>
      <c r="BY1046" t="inlineStr"/>
      <c r="BZ1046" t="inlineStr"/>
      <c r="CA1046" t="inlineStr"/>
      <c r="CB1046" t="inlineStr"/>
      <c r="CC1046" t="inlineStr"/>
      <c r="CD1046" t="inlineStr"/>
      <c r="CE1046" t="inlineStr"/>
      <c r="CF1046" t="inlineStr"/>
      <c r="CG1046" t="inlineStr"/>
      <c r="CH1046" t="inlineStr"/>
      <c r="CI1046" t="inlineStr"/>
      <c r="CJ1046" t="inlineStr"/>
      <c r="CK1046" t="inlineStr"/>
      <c r="CL1046" t="inlineStr"/>
      <c r="CM1046" t="inlineStr"/>
      <c r="CN1046" t="inlineStr"/>
      <c r="CO1046" t="inlineStr"/>
      <c r="CP1046" t="inlineStr"/>
      <c r="CQ1046" t="inlineStr"/>
      <c r="CR1046" t="inlineStr"/>
      <c r="CS1046" t="inlineStr"/>
      <c r="CT1046" t="inlineStr"/>
      <c r="CU1046" t="inlineStr"/>
      <c r="CV1046" t="inlineStr"/>
      <c r="CW1046" t="inlineStr"/>
      <c r="CX1046" t="inlineStr"/>
      <c r="CY1046" t="inlineStr"/>
      <c r="CZ1046" t="inlineStr"/>
      <c r="DA1046" t="inlineStr"/>
      <c r="DB1046" t="inlineStr"/>
      <c r="DC1046" t="inlineStr"/>
      <c r="DD1046" t="inlineStr"/>
      <c r="DE1046" t="inlineStr"/>
      <c r="DF1046" t="inlineStr"/>
      <c r="DG1046" t="inlineStr"/>
    </row>
    <row r="1047">
      <c r="A1047" t="inlineStr">
        <is>
          <t>III</t>
        </is>
      </c>
      <c r="B1047" t="b">
        <v>1</v>
      </c>
      <c r="C1047" t="inlineStr"/>
      <c r="D1047" t="inlineStr"/>
      <c r="E1047" t="n">
        <v>1194</v>
      </c>
      <c r="F1047">
        <f>HYPERLINK("https://portal.dnb.de/opac.htm?method=simpleSearch&amp;cqlMode=true&amp;query=idn%3D1001795830", "Portal")</f>
        <v/>
      </c>
      <c r="G1047" t="inlineStr">
        <is>
          <t>Aal</t>
        </is>
      </c>
      <c r="H1047" t="inlineStr">
        <is>
          <t>L-1546-175573042</t>
        </is>
      </c>
      <c r="I1047" t="inlineStr">
        <is>
          <t>1001795830</t>
        </is>
      </c>
      <c r="J1047" t="inlineStr">
        <is>
          <t>III 110, 5</t>
        </is>
      </c>
      <c r="K1047" t="inlineStr">
        <is>
          <t>III 110, 5</t>
        </is>
      </c>
      <c r="L1047" t="inlineStr">
        <is>
          <t>III 110, 5</t>
        </is>
      </c>
      <c r="M1047" t="inlineStr"/>
      <c r="N1047" t="inlineStr">
        <is>
          <t xml:space="preserve">Ein @Lied für die|| Landsknecht|| gemacht:|| inn diesen Kriegsleufften nütz=||lich zu singen|| ; in Dennmarcker, oder im|| Schweitzer|| thon : </t>
        </is>
      </c>
      <c r="O1047" t="inlineStr">
        <is>
          <t xml:space="preserve"> : </t>
        </is>
      </c>
      <c r="P1047" t="inlineStr"/>
      <c r="Q1047" t="inlineStr"/>
      <c r="R1047" t="inlineStr"/>
      <c r="S1047" t="inlineStr">
        <is>
          <t>bis 25 cm</t>
        </is>
      </c>
      <c r="T1047" t="inlineStr"/>
      <c r="U1047" t="inlineStr"/>
      <c r="V1047" t="inlineStr"/>
      <c r="W1047" t="inlineStr"/>
      <c r="X1047" t="inlineStr"/>
      <c r="Y1047" t="inlineStr"/>
      <c r="Z1047" t="inlineStr"/>
      <c r="AA1047" t="inlineStr"/>
      <c r="AB1047" t="inlineStr"/>
      <c r="AC1047" t="inlineStr"/>
      <c r="AD1047" t="inlineStr"/>
      <c r="AE1047" t="inlineStr"/>
      <c r="AF1047" t="inlineStr"/>
      <c r="AG1047" t="inlineStr"/>
      <c r="AH1047" t="inlineStr"/>
      <c r="AI1047" t="inlineStr">
        <is>
          <t>Br</t>
        </is>
      </c>
      <c r="AJ1047" t="inlineStr"/>
      <c r="AK1047" t="inlineStr"/>
      <c r="AL1047" t="inlineStr"/>
      <c r="AM1047" t="inlineStr"/>
      <c r="AN1047" t="inlineStr"/>
      <c r="AO1047" t="inlineStr"/>
      <c r="AP1047" t="inlineStr"/>
      <c r="AQ1047" t="inlineStr"/>
      <c r="AR1047" t="inlineStr"/>
      <c r="AS1047" t="inlineStr">
        <is>
          <t>Pa</t>
        </is>
      </c>
      <c r="AT1047" t="inlineStr"/>
      <c r="AU1047" t="inlineStr"/>
      <c r="AV1047" t="inlineStr"/>
      <c r="AW1047" t="inlineStr"/>
      <c r="AX1047" t="inlineStr"/>
      <c r="AY1047" t="inlineStr"/>
      <c r="AZ1047" t="inlineStr"/>
      <c r="BA1047" t="inlineStr"/>
      <c r="BB1047" t="inlineStr"/>
      <c r="BC1047" t="inlineStr"/>
      <c r="BD1047" t="inlineStr"/>
      <c r="BE1047" t="inlineStr"/>
      <c r="BF1047" t="inlineStr"/>
      <c r="BG1047" t="inlineStr">
        <is>
          <t>nur 110</t>
        </is>
      </c>
      <c r="BH1047" t="inlineStr"/>
      <c r="BI1047" t="inlineStr"/>
      <c r="BJ1047" t="inlineStr"/>
      <c r="BK1047" t="inlineStr">
        <is>
          <t>x</t>
        </is>
      </c>
      <c r="BL1047" t="inlineStr">
        <is>
          <t>x</t>
        </is>
      </c>
      <c r="BM1047" t="inlineStr">
        <is>
          <t>n</t>
        </is>
      </c>
      <c r="BN1047" t="n">
        <v>0</v>
      </c>
      <c r="BO1047" t="inlineStr"/>
      <c r="BP1047" t="inlineStr"/>
      <c r="BQ1047" t="inlineStr"/>
      <c r="BR1047" t="inlineStr"/>
      <c r="BS1047" t="inlineStr"/>
      <c r="BT1047" t="inlineStr"/>
      <c r="BU1047" t="inlineStr"/>
      <c r="BV1047" t="inlineStr"/>
      <c r="BW1047" t="inlineStr"/>
      <c r="BX1047" t="inlineStr"/>
      <c r="BY1047" t="inlineStr">
        <is>
          <t>Jurismappe</t>
        </is>
      </c>
      <c r="BZ1047" t="inlineStr"/>
      <c r="CA1047" t="inlineStr"/>
      <c r="CB1047" t="inlineStr"/>
      <c r="CC1047" t="inlineStr"/>
      <c r="CD1047" t="inlineStr"/>
      <c r="CE1047" t="inlineStr"/>
      <c r="CF1047" t="inlineStr"/>
      <c r="CG1047" t="inlineStr"/>
      <c r="CH1047" t="inlineStr"/>
      <c r="CI1047" t="inlineStr"/>
      <c r="CJ1047" t="inlineStr"/>
      <c r="CK1047" t="inlineStr"/>
      <c r="CL1047" t="inlineStr"/>
      <c r="CM1047" t="inlineStr"/>
      <c r="CN1047" t="inlineStr"/>
      <c r="CO1047" t="inlineStr"/>
      <c r="CP1047" t="inlineStr"/>
      <c r="CQ1047" t="inlineStr"/>
      <c r="CR1047" t="inlineStr"/>
      <c r="CS1047" t="inlineStr"/>
      <c r="CT1047" t="inlineStr"/>
      <c r="CU1047" t="inlineStr"/>
      <c r="CV1047" t="inlineStr"/>
      <c r="CW1047" t="inlineStr"/>
      <c r="CX1047" t="inlineStr"/>
      <c r="CY1047" t="inlineStr"/>
      <c r="CZ1047" t="inlineStr"/>
      <c r="DA1047" t="inlineStr"/>
      <c r="DB1047" t="inlineStr"/>
      <c r="DC1047" t="inlineStr"/>
      <c r="DD1047" t="inlineStr"/>
      <c r="DE1047" t="inlineStr"/>
      <c r="DF1047" t="inlineStr"/>
      <c r="DG1047" t="inlineStr"/>
    </row>
    <row r="1048">
      <c r="A1048" t="inlineStr">
        <is>
          <t>III</t>
        </is>
      </c>
      <c r="B1048" t="b">
        <v>1</v>
      </c>
      <c r="C1048" t="inlineStr"/>
      <c r="D1048" t="inlineStr"/>
      <c r="E1048" t="n">
        <v>1195</v>
      </c>
      <c r="F1048">
        <f>HYPERLINK("https://portal.dnb.de/opac.htm?method=simpleSearch&amp;cqlMode=true&amp;query=idn%3D1066937397", "Portal")</f>
        <v/>
      </c>
      <c r="G1048" t="inlineStr">
        <is>
          <t>Aaf</t>
        </is>
      </c>
      <c r="H1048" t="inlineStr">
        <is>
          <t>L-1583-315465247</t>
        </is>
      </c>
      <c r="I1048" t="inlineStr">
        <is>
          <t>1066937397</t>
        </is>
      </c>
      <c r="J1048" t="inlineStr">
        <is>
          <t>III 110, 6</t>
        </is>
      </c>
      <c r="K1048" t="inlineStr">
        <is>
          <t>III 110, 6</t>
        </is>
      </c>
      <c r="L1048" t="inlineStr">
        <is>
          <t>III 110, 6</t>
        </is>
      </c>
      <c r="M1048" t="inlineStr">
        <is>
          <t>GF</t>
        </is>
      </c>
      <c r="N1048" t="inlineStr">
        <is>
          <t>T' @Wonderboeck : waer in dat van der VVerldt aen versloten gheopenbaert is ; Wie een der Ick (secht die Heere) senden sal, ontfangt in mynen Naem, di</t>
        </is>
      </c>
      <c r="O1048" t="inlineStr">
        <is>
          <t xml:space="preserve"> : </t>
        </is>
      </c>
      <c r="P1048" t="inlineStr"/>
      <c r="Q1048" t="inlineStr"/>
      <c r="R1048" t="inlineStr"/>
      <c r="S1048" t="inlineStr">
        <is>
          <t>bis 35 cm</t>
        </is>
      </c>
      <c r="T1048" t="inlineStr"/>
      <c r="U1048" t="inlineStr"/>
      <c r="V1048" t="inlineStr"/>
      <c r="W1048" t="inlineStr"/>
      <c r="X1048" t="inlineStr"/>
      <c r="Y1048" t="inlineStr"/>
      <c r="Z1048" t="inlineStr"/>
      <c r="AA1048" t="inlineStr"/>
      <c r="AB1048" t="inlineStr"/>
      <c r="AC1048" t="inlineStr"/>
      <c r="AD1048" t="inlineStr"/>
      <c r="AE1048" t="inlineStr"/>
      <c r="AF1048" t="inlineStr"/>
      <c r="AG1048" t="inlineStr"/>
      <c r="AH1048" t="inlineStr"/>
      <c r="AI1048" t="inlineStr">
        <is>
          <t>HD</t>
        </is>
      </c>
      <c r="AJ1048" t="inlineStr"/>
      <c r="AK1048" t="inlineStr"/>
      <c r="AL1048" t="inlineStr"/>
      <c r="AM1048" t="inlineStr">
        <is>
          <t>h</t>
        </is>
      </c>
      <c r="AN1048" t="inlineStr"/>
      <c r="AO1048" t="inlineStr"/>
      <c r="AP1048" t="inlineStr"/>
      <c r="AQ1048" t="inlineStr"/>
      <c r="AR1048" t="inlineStr"/>
      <c r="AS1048" t="inlineStr">
        <is>
          <t>Pa</t>
        </is>
      </c>
      <c r="AT1048" t="inlineStr"/>
      <c r="AU1048" t="inlineStr"/>
      <c r="AV1048" t="inlineStr"/>
      <c r="AW1048" t="inlineStr"/>
      <c r="AX1048" t="inlineStr"/>
      <c r="AY1048" t="inlineStr"/>
      <c r="AZ1048" t="inlineStr"/>
      <c r="BA1048" t="inlineStr"/>
      <c r="BB1048" t="inlineStr"/>
      <c r="BC1048" t="inlineStr"/>
      <c r="BD1048" t="inlineStr"/>
      <c r="BE1048" t="inlineStr"/>
      <c r="BF1048" t="inlineStr"/>
      <c r="BG1048" t="n">
        <v>60</v>
      </c>
      <c r="BH1048" t="inlineStr"/>
      <c r="BI1048" t="inlineStr"/>
      <c r="BJ1048" t="inlineStr"/>
      <c r="BK1048" t="inlineStr"/>
      <c r="BL1048" t="inlineStr"/>
      <c r="BM1048" t="inlineStr">
        <is>
          <t>n</t>
        </is>
      </c>
      <c r="BN1048" t="n">
        <v>0</v>
      </c>
      <c r="BO1048" t="inlineStr"/>
      <c r="BP1048" t="inlineStr">
        <is>
          <t>Gewebe mit Papier</t>
        </is>
      </c>
      <c r="BQ1048" t="inlineStr"/>
      <c r="BR1048" t="inlineStr"/>
      <c r="BS1048" t="inlineStr"/>
      <c r="BT1048" t="inlineStr"/>
      <c r="BU1048" t="inlineStr"/>
      <c r="BV1048" t="inlineStr">
        <is>
          <t>fester Rücken inzwischen hohl</t>
        </is>
      </c>
      <c r="BW1048" t="inlineStr"/>
      <c r="BX1048" t="inlineStr"/>
      <c r="BY1048" t="inlineStr"/>
      <c r="BZ1048" t="inlineStr"/>
      <c r="CA1048" t="inlineStr"/>
      <c r="CB1048" t="inlineStr"/>
      <c r="CC1048" t="inlineStr"/>
      <c r="CD1048" t="inlineStr"/>
      <c r="CE1048" t="inlineStr"/>
      <c r="CF1048" t="inlineStr"/>
      <c r="CG1048" t="inlineStr"/>
      <c r="CH1048" t="inlineStr"/>
      <c r="CI1048" t="inlineStr"/>
      <c r="CJ1048" t="inlineStr"/>
      <c r="CK1048" t="inlineStr"/>
      <c r="CL1048" t="inlineStr"/>
      <c r="CM1048" t="inlineStr"/>
      <c r="CN1048" t="inlineStr"/>
      <c r="CO1048" t="inlineStr"/>
      <c r="CP1048" t="inlineStr"/>
      <c r="CQ1048" t="inlineStr"/>
      <c r="CR1048" t="inlineStr"/>
      <c r="CS1048" t="inlineStr"/>
      <c r="CT1048" t="inlineStr"/>
      <c r="CU1048" t="inlineStr"/>
      <c r="CV1048" t="inlineStr"/>
      <c r="CW1048" t="inlineStr"/>
      <c r="CX1048" t="inlineStr"/>
      <c r="CY1048" t="inlineStr"/>
      <c r="CZ1048" t="inlineStr"/>
      <c r="DA1048" t="inlineStr"/>
      <c r="DB1048" t="inlineStr"/>
      <c r="DC1048" t="inlineStr"/>
      <c r="DD1048" t="inlineStr"/>
      <c r="DE1048" t="inlineStr"/>
      <c r="DF1048" t="inlineStr"/>
      <c r="DG1048" t="inlineStr"/>
    </row>
    <row r="1049">
      <c r="A1049" t="inlineStr">
        <is>
          <t>III</t>
        </is>
      </c>
      <c r="B1049" t="b">
        <v>0</v>
      </c>
      <c r="C1049" t="inlineStr"/>
      <c r="D1049" t="inlineStr"/>
      <c r="E1049" t="n">
        <v>1196</v>
      </c>
      <c r="F1049">
        <f>HYPERLINK("https://portal.dnb.de/opac.htm?method=simpleSearch&amp;cqlMode=true&amp;query=idn%3D106695982X", "Portal")</f>
        <v/>
      </c>
      <c r="G1049" t="inlineStr"/>
      <c r="H1049" t="inlineStr">
        <is>
          <t>L-1521-315490349</t>
        </is>
      </c>
      <c r="I1049" t="inlineStr">
        <is>
          <t>106695982X</t>
        </is>
      </c>
      <c r="J1049" t="inlineStr"/>
      <c r="K1049" t="inlineStr"/>
      <c r="L1049" t="inlineStr">
        <is>
          <t>III 110, 7</t>
        </is>
      </c>
      <c r="M1049" t="inlineStr"/>
      <c r="N1049" t="inlineStr"/>
      <c r="O1049" t="inlineStr"/>
      <c r="P1049" t="inlineStr"/>
      <c r="Q1049" t="inlineStr"/>
      <c r="R1049" t="inlineStr"/>
      <c r="S1049" t="inlineStr"/>
      <c r="T1049" t="inlineStr"/>
      <c r="U1049" t="inlineStr"/>
      <c r="V1049" t="inlineStr"/>
      <c r="W1049" t="inlineStr"/>
      <c r="X1049" t="inlineStr"/>
      <c r="Y1049" t="inlineStr"/>
      <c r="Z1049" t="inlineStr"/>
      <c r="AA1049" t="inlineStr"/>
      <c r="AB1049" t="inlineStr"/>
      <c r="AC1049" t="inlineStr"/>
      <c r="AD1049" t="inlineStr">
        <is>
          <t>DA</t>
        </is>
      </c>
      <c r="AE1049" t="inlineStr"/>
      <c r="AF1049" t="inlineStr"/>
      <c r="AG1049" t="inlineStr"/>
      <c r="AH1049" t="inlineStr"/>
      <c r="AI1049" t="inlineStr"/>
      <c r="AJ1049" t="inlineStr"/>
      <c r="AK1049" t="inlineStr"/>
      <c r="AL1049" t="inlineStr"/>
      <c r="AM1049" t="inlineStr"/>
      <c r="AN1049" t="inlineStr"/>
      <c r="AO1049" t="inlineStr"/>
      <c r="AP1049" t="inlineStr"/>
      <c r="AQ1049" t="inlineStr"/>
      <c r="AR1049" t="inlineStr"/>
      <c r="AS1049" t="inlineStr"/>
      <c r="AT1049" t="inlineStr"/>
      <c r="AU1049" t="inlineStr"/>
      <c r="AV1049" t="inlineStr"/>
      <c r="AW1049" t="inlineStr"/>
      <c r="AX1049" t="inlineStr"/>
      <c r="AY1049" t="inlineStr"/>
      <c r="AZ1049" t="inlineStr"/>
      <c r="BA1049" t="inlineStr"/>
      <c r="BB1049" t="inlineStr"/>
      <c r="BC1049" t="inlineStr"/>
      <c r="BD1049" t="inlineStr"/>
      <c r="BE1049" t="inlineStr"/>
      <c r="BF1049" t="inlineStr"/>
      <c r="BG1049" t="inlineStr"/>
      <c r="BH1049" t="inlineStr"/>
      <c r="BI1049" t="inlineStr"/>
      <c r="BJ1049" t="inlineStr"/>
      <c r="BK1049" t="inlineStr"/>
      <c r="BL1049" t="inlineStr"/>
      <c r="BM1049" t="inlineStr"/>
      <c r="BN1049" t="n">
        <v>0</v>
      </c>
      <c r="BO1049" t="inlineStr"/>
      <c r="BP1049" t="inlineStr"/>
      <c r="BQ1049" t="inlineStr"/>
      <c r="BR1049" t="inlineStr"/>
      <c r="BS1049" t="inlineStr"/>
      <c r="BT1049" t="inlineStr"/>
      <c r="BU1049" t="inlineStr"/>
      <c r="BV1049" t="inlineStr"/>
      <c r="BW1049" t="inlineStr"/>
      <c r="BX1049" t="inlineStr"/>
      <c r="BY1049" t="inlineStr"/>
      <c r="BZ1049" t="inlineStr"/>
      <c r="CA1049" t="inlineStr"/>
      <c r="CB1049" t="inlineStr"/>
      <c r="CC1049" t="inlineStr"/>
      <c r="CD1049" t="inlineStr"/>
      <c r="CE1049" t="inlineStr"/>
      <c r="CF1049" t="inlineStr"/>
      <c r="CG1049" t="inlineStr"/>
      <c r="CH1049" t="inlineStr"/>
      <c r="CI1049" t="inlineStr"/>
      <c r="CJ1049" t="inlineStr"/>
      <c r="CK1049" t="inlineStr"/>
      <c r="CL1049" t="inlineStr"/>
      <c r="CM1049" t="inlineStr"/>
      <c r="CN1049" t="inlineStr"/>
      <c r="CO1049" t="inlineStr"/>
      <c r="CP1049" t="inlineStr"/>
      <c r="CQ1049" t="inlineStr"/>
      <c r="CR1049" t="inlineStr"/>
      <c r="CS1049" t="inlineStr"/>
      <c r="CT1049" t="inlineStr"/>
      <c r="CU1049" t="inlineStr"/>
      <c r="CV1049" t="inlineStr"/>
      <c r="CW1049" t="inlineStr"/>
      <c r="CX1049" t="inlineStr"/>
      <c r="CY1049" t="inlineStr"/>
      <c r="CZ1049" t="inlineStr"/>
      <c r="DA1049" t="inlineStr"/>
      <c r="DB1049" t="inlineStr"/>
      <c r="DC1049" t="inlineStr"/>
      <c r="DD1049" t="inlineStr"/>
      <c r="DE1049" t="inlineStr"/>
      <c r="DF1049" t="inlineStr"/>
      <c r="DG1049" t="inlineStr"/>
    </row>
    <row r="1050">
      <c r="A1050" t="inlineStr">
        <is>
          <t>III</t>
        </is>
      </c>
      <c r="B1050" t="b">
        <v>1</v>
      </c>
      <c r="C1050" t="inlineStr"/>
      <c r="D1050" t="inlineStr"/>
      <c r="E1050" t="n">
        <v>1197</v>
      </c>
      <c r="F1050">
        <f>HYPERLINK("https://portal.dnb.de/opac.htm?method=simpleSearch&amp;cqlMode=true&amp;query=idn%3D994870507", "Portal")</f>
        <v/>
      </c>
      <c r="G1050" t="inlineStr">
        <is>
          <t>Aal</t>
        </is>
      </c>
      <c r="H1050" t="inlineStr">
        <is>
          <t>L-1546-15823796X</t>
        </is>
      </c>
      <c r="I1050" t="inlineStr">
        <is>
          <t>994870507</t>
        </is>
      </c>
      <c r="J1050" t="inlineStr">
        <is>
          <t>III 110, 8</t>
        </is>
      </c>
      <c r="K1050" t="inlineStr">
        <is>
          <t>III 110, 8</t>
        </is>
      </c>
      <c r="L1050" t="inlineStr">
        <is>
          <t>III 110, 8</t>
        </is>
      </c>
      <c r="M1050" t="inlineStr"/>
      <c r="N1050" t="inlineStr">
        <is>
          <t>Deß @Römischen Anti||christi Trachen Gyfft, so er vnder|| dem Namen Ablaß, bede zur|| Seelen vnd leybs vergyff||tung, auff ain neüwes|| außgossen hatt</t>
        </is>
      </c>
      <c r="O1050" t="inlineStr">
        <is>
          <t xml:space="preserve"> : </t>
        </is>
      </c>
      <c r="P1050" t="inlineStr"/>
      <c r="Q1050" t="inlineStr"/>
      <c r="R1050" t="inlineStr"/>
      <c r="S1050" t="inlineStr">
        <is>
          <t>bis 25 cm</t>
        </is>
      </c>
      <c r="T1050" t="inlineStr"/>
      <c r="U1050" t="inlineStr"/>
      <c r="V1050" t="inlineStr"/>
      <c r="W1050" t="inlineStr"/>
      <c r="X1050" t="inlineStr"/>
      <c r="Y1050" t="inlineStr"/>
      <c r="Z1050" t="inlineStr"/>
      <c r="AA1050" t="inlineStr"/>
      <c r="AB1050" t="inlineStr"/>
      <c r="AC1050" t="inlineStr"/>
      <c r="AD1050" t="inlineStr"/>
      <c r="AE1050" t="inlineStr"/>
      <c r="AF1050" t="inlineStr"/>
      <c r="AG1050" t="inlineStr"/>
      <c r="AH1050" t="inlineStr"/>
      <c r="AI1050" t="inlineStr">
        <is>
          <t>HPg</t>
        </is>
      </c>
      <c r="AJ1050" t="inlineStr"/>
      <c r="AK1050" t="inlineStr"/>
      <c r="AL1050" t="inlineStr"/>
      <c r="AM1050" t="inlineStr">
        <is>
          <t>h/E</t>
        </is>
      </c>
      <c r="AN1050" t="inlineStr"/>
      <c r="AO1050" t="inlineStr"/>
      <c r="AP1050" t="inlineStr"/>
      <c r="AQ1050" t="inlineStr"/>
      <c r="AR1050" t="inlineStr"/>
      <c r="AS1050" t="inlineStr">
        <is>
          <t>Pa</t>
        </is>
      </c>
      <c r="AT1050" t="inlineStr"/>
      <c r="AU1050" t="inlineStr"/>
      <c r="AV1050" t="inlineStr"/>
      <c r="AW1050" t="inlineStr"/>
      <c r="AX1050" t="inlineStr"/>
      <c r="AY1050" t="inlineStr"/>
      <c r="AZ1050" t="inlineStr"/>
      <c r="BA1050" t="inlineStr"/>
      <c r="BB1050" t="inlineStr"/>
      <c r="BC1050" t="inlineStr"/>
      <c r="BD1050" t="inlineStr"/>
      <c r="BE1050" t="inlineStr"/>
      <c r="BF1050" t="inlineStr"/>
      <c r="BG1050" t="n">
        <v>110</v>
      </c>
      <c r="BH1050" t="inlineStr"/>
      <c r="BI1050" t="inlineStr"/>
      <c r="BJ1050" t="inlineStr"/>
      <c r="BK1050" t="inlineStr"/>
      <c r="BL1050" t="inlineStr"/>
      <c r="BM1050" t="inlineStr">
        <is>
          <t>n</t>
        </is>
      </c>
      <c r="BN1050" t="n">
        <v>0</v>
      </c>
      <c r="BO1050" t="inlineStr"/>
      <c r="BP1050" t="inlineStr"/>
      <c r="BQ1050" t="inlineStr"/>
      <c r="BR1050" t="inlineStr"/>
      <c r="BS1050" t="inlineStr"/>
      <c r="BT1050" t="inlineStr"/>
      <c r="BU1050" t="inlineStr"/>
      <c r="BV1050" t="inlineStr"/>
      <c r="BW1050" t="inlineStr"/>
      <c r="BX1050" t="inlineStr"/>
      <c r="BY1050" t="inlineStr"/>
      <c r="BZ1050" t="inlineStr"/>
      <c r="CA1050" t="inlineStr"/>
      <c r="CB1050" t="inlineStr"/>
      <c r="CC1050" t="inlineStr"/>
      <c r="CD1050" t="inlineStr"/>
      <c r="CE1050" t="inlineStr"/>
      <c r="CF1050" t="inlineStr"/>
      <c r="CG1050" t="inlineStr"/>
      <c r="CH1050" t="inlineStr"/>
      <c r="CI1050" t="inlineStr"/>
      <c r="CJ1050" t="inlineStr"/>
      <c r="CK1050" t="inlineStr"/>
      <c r="CL1050" t="inlineStr"/>
      <c r="CM1050" t="inlineStr"/>
      <c r="CN1050" t="inlineStr"/>
      <c r="CO1050" t="inlineStr"/>
      <c r="CP1050" t="inlineStr"/>
      <c r="CQ1050" t="inlineStr"/>
      <c r="CR1050" t="inlineStr"/>
      <c r="CS1050" t="inlineStr"/>
      <c r="CT1050" t="inlineStr"/>
      <c r="CU1050" t="inlineStr"/>
      <c r="CV1050" t="inlineStr"/>
      <c r="CW1050" t="inlineStr"/>
      <c r="CX1050" t="inlineStr"/>
      <c r="CY1050" t="inlineStr"/>
      <c r="CZ1050" t="inlineStr"/>
      <c r="DA1050" t="inlineStr"/>
      <c r="DB1050" t="inlineStr"/>
      <c r="DC1050" t="inlineStr"/>
      <c r="DD1050" t="inlineStr"/>
      <c r="DE1050" t="inlineStr"/>
      <c r="DF1050" t="inlineStr"/>
      <c r="DG1050"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1"/>
  <sheetViews>
    <sheetView topLeftCell="A2" workbookViewId="0">
      <selection activeCell="A31" sqref="A31:XFD31"/>
    </sheetView>
  </sheetViews>
  <sheetFormatPr baseColWidth="10" defaultColWidth="11" defaultRowHeight="11.4"/>
  <cols>
    <col width="13.59765625" customWidth="1" style="67" min="1" max="2"/>
    <col width="155.59765625" customWidth="1" style="67" min="3" max="3"/>
    <col width="11" customWidth="1" style="67" min="4" max="5"/>
    <col width="11" customWidth="1" style="67" min="6" max="16384"/>
  </cols>
  <sheetData>
    <row r="2" ht="14.25" customHeight="1" s="58">
      <c r="A2" s="66" t="inlineStr">
        <is>
          <t>Klemmsammlung</t>
        </is>
      </c>
      <c r="B2" s="60" t="n"/>
      <c r="C2" s="60" t="n"/>
    </row>
    <row r="3">
      <c r="B3" s="60" t="n"/>
      <c r="C3" s="60" t="inlineStr">
        <is>
          <t xml:space="preserve"> </t>
        </is>
      </c>
    </row>
    <row r="4">
      <c r="A4" s="68" t="inlineStr">
        <is>
          <t xml:space="preserve">Signaturgruppe III </t>
        </is>
      </c>
      <c r="B4" s="60" t="n"/>
      <c r="C4" s="60" t="n"/>
    </row>
    <row r="5">
      <c r="B5" s="60" t="n"/>
      <c r="C5" s="60" t="n"/>
    </row>
    <row r="6">
      <c r="A6" s="67" t="inlineStr">
        <is>
          <t>Standorte</t>
        </is>
      </c>
      <c r="B6" s="60" t="n"/>
      <c r="C6" s="60" t="n"/>
    </row>
    <row r="7">
      <c r="A7" s="67" t="inlineStr">
        <is>
          <t>Standort Normalformate 4. EWB, 4. OG Reihe 44</t>
        </is>
      </c>
      <c r="B7" s="60" t="n"/>
      <c r="C7" s="60" t="n"/>
    </row>
    <row r="8">
      <c r="B8" s="60" t="n"/>
      <c r="C8" s="60" t="n"/>
    </row>
    <row r="9">
      <c r="A9" s="67" t="inlineStr">
        <is>
          <t>Standort Großformate 4. EWB, 4. OG Reihe 38</t>
        </is>
      </c>
      <c r="B9" s="60" t="n"/>
      <c r="C9" s="60" t="n"/>
    </row>
    <row r="10">
      <c r="A10" s="67" t="inlineStr">
        <is>
          <t>Standort ÜF 4. EWB, 4. OG R 73A/ 10/ 1</t>
        </is>
      </c>
      <c r="B10" s="60" t="n"/>
      <c r="C10" s="60" t="n"/>
    </row>
    <row r="16" ht="12.75" customHeight="1" s="58">
      <c r="A16" s="69" t="inlineStr">
        <is>
          <t>Informationen zu dieser Mappe</t>
        </is>
      </c>
    </row>
    <row r="18">
      <c r="A18" s="67" t="inlineStr">
        <is>
          <t>Die Mappe basiert auf der Excelliste, die 2020 erstellt worde. Veränderungen/Ergänzungen ab 2022 sind unten aufgeführt.</t>
        </is>
      </c>
    </row>
    <row r="20">
      <c r="A20" s="70" t="inlineStr">
        <is>
          <t>Veränderungen an dieser Mappe:</t>
        </is>
      </c>
    </row>
    <row r="21" customFormat="1" s="71">
      <c r="A21" s="71" t="inlineStr">
        <is>
          <t>Wichtig! Bitte alle relevanten Veränderungen (Einfügen von Zellbezügen, neuen Spalten...) ergänzen, da verschiedene Leute mit der Tabelle arbeiten!!!</t>
        </is>
      </c>
    </row>
    <row r="23">
      <c r="A23" s="67" t="inlineStr">
        <is>
          <t>wann</t>
        </is>
      </c>
      <c r="B23" s="67" t="inlineStr">
        <is>
          <t>wer</t>
        </is>
      </c>
      <c r="C23" s="67" t="inlineStr">
        <is>
          <t>was</t>
        </is>
      </c>
    </row>
    <row r="25">
      <c r="A25" s="72" t="n">
        <v>44595</v>
      </c>
      <c r="B25" s="67" t="inlineStr">
        <is>
          <t>F. Thomschke</t>
        </is>
      </c>
      <c r="C25" s="67" t="inlineStr">
        <is>
          <t>Einfügen neuer Spalten in das Hauptblatt "III_Drucke 1501-1560". Diese worden mit Zebra versehen.</t>
        </is>
      </c>
    </row>
    <row r="26">
      <c r="A26" s="72" t="n"/>
      <c r="C26" s="67" t="inlineStr">
        <is>
          <t>zusätzlich Zebra in Signaturspalte eingefügt</t>
        </is>
      </c>
    </row>
    <row r="27">
      <c r="A27" s="72" t="n"/>
      <c r="C27" s="67" t="inlineStr">
        <is>
          <t>neue Tabellenblätter in die Mappe eingefügt (Infos zu dieser Mappe, Legende_Thomschke, Schäden_Einband, Schäden_Buchblock)</t>
        </is>
      </c>
    </row>
    <row r="28">
      <c r="A28" s="72" t="n"/>
      <c r="C28" s="67" t="inlineStr">
        <is>
          <t>relative Zellbezüge eingefügt (auf III_Drucke 1501-1560, Schäden_Einband, Schäden_Buchblock)</t>
        </is>
      </c>
    </row>
    <row r="29">
      <c r="C29" s="67" t="inlineStr">
        <is>
          <t>grundsätzlich alle Spalten ausgeblendet, die F. Thomschke für die Erfassung nicht benötigt</t>
        </is>
      </c>
    </row>
    <row r="30" ht="33.75" customHeight="1" s="58">
      <c r="C30" s="73" t="inlineStr">
        <is>
          <t>auf dem Hauptblatt alle Zeilen oberhalb der Tabelle (=Angaben zur Aufstellung) auf das Blatt "Infos zu dieser Mappe" übernommen und auf dem Hauptblatt gelöscht --&gt; ist einfacher in Bezug auf 
die relativen Zellbezüge, wenn z.B. Zeilen eingefügt werden</t>
        </is>
      </c>
    </row>
    <row r="31" ht="33.75" customHeight="1" s="58">
      <c r="A31" s="72" t="n">
        <v>44734</v>
      </c>
      <c r="B31" s="67" t="inlineStr">
        <is>
          <t>F. Thomschke</t>
        </is>
      </c>
      <c r="C31" s="73"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topLeftCell="A4" workbookViewId="0">
      <selection activeCell="B8" sqref="B8:B19"/>
    </sheetView>
  </sheetViews>
  <sheetFormatPr baseColWidth="10" defaultColWidth="10.8984375" defaultRowHeight="11.4"/>
  <cols>
    <col width="17.5" bestFit="1" customWidth="1" style="60" min="1" max="1"/>
    <col width="75.19921875" bestFit="1" customWidth="1" style="60" min="2" max="2"/>
    <col width="10.8984375" customWidth="1" style="60" min="3" max="4"/>
    <col width="10.8984375" customWidth="1" style="60" min="5" max="16384"/>
  </cols>
  <sheetData>
    <row r="1" customFormat="1" s="59">
      <c r="A1" s="74" t="inlineStr">
        <is>
          <t>Abkürzung</t>
        </is>
      </c>
      <c r="B1" s="59" t="inlineStr">
        <is>
          <t>Auflösung</t>
        </is>
      </c>
    </row>
    <row r="3">
      <c r="A3" s="57" t="inlineStr">
        <is>
          <t>allg.</t>
        </is>
      </c>
    </row>
    <row r="4">
      <c r="A4" s="60" t="inlineStr">
        <is>
          <t>ÜF</t>
        </is>
      </c>
      <c r="B4" s="60" t="inlineStr">
        <is>
          <t>Überformat</t>
        </is>
      </c>
    </row>
    <row r="5">
      <c r="A5" s="60" t="inlineStr">
        <is>
          <t>SB</t>
        </is>
      </c>
      <c r="B5" s="60" t="inlineStr">
        <is>
          <t>Schutzbehältnis</t>
        </is>
      </c>
    </row>
    <row r="7">
      <c r="A7" s="57" t="inlineStr">
        <is>
          <t>Einbandart</t>
        </is>
      </c>
    </row>
    <row r="8">
      <c r="A8" s="60" t="inlineStr">
        <is>
          <t>Pa</t>
        </is>
      </c>
      <c r="B8" t="inlineStr">
        <is>
          <t>Papier- oder Pappeinband</t>
        </is>
      </c>
    </row>
    <row r="9">
      <c r="A9" s="60" t="inlineStr">
        <is>
          <t>Br</t>
        </is>
      </c>
      <c r="B9" t="inlineStr">
        <is>
          <t>Broschur</t>
        </is>
      </c>
    </row>
    <row r="10">
      <c r="A10" s="60" t="inlineStr">
        <is>
          <t>G</t>
        </is>
      </c>
      <c r="B10" t="inlineStr">
        <is>
          <t>Gewebeeinband</t>
        </is>
      </c>
    </row>
    <row r="11">
      <c r="A11" s="60" t="inlineStr">
        <is>
          <t>HG</t>
        </is>
      </c>
      <c r="B11" t="inlineStr">
        <is>
          <t>Halbgewebeband</t>
        </is>
      </c>
    </row>
    <row r="12">
      <c r="A12" s="60" t="inlineStr">
        <is>
          <t>HD</t>
        </is>
      </c>
      <c r="B12" s="60" t="inlineStr">
        <is>
          <t>Holzdeckelband</t>
        </is>
      </c>
    </row>
    <row r="13">
      <c r="A13" s="60" t="inlineStr">
        <is>
          <t>L</t>
        </is>
      </c>
      <c r="B13" t="inlineStr">
        <is>
          <t>Ledereinband</t>
        </is>
      </c>
    </row>
    <row r="14">
      <c r="A14" s="60" t="inlineStr">
        <is>
          <t>HL</t>
        </is>
      </c>
      <c r="B14" t="inlineStr">
        <is>
          <t>Halbledereinband</t>
        </is>
      </c>
    </row>
    <row r="15">
      <c r="A15" s="60" t="inlineStr">
        <is>
          <t>Pg</t>
        </is>
      </c>
      <c r="B15" t="inlineStr">
        <is>
          <t>Pergamentband</t>
        </is>
      </c>
    </row>
    <row r="16">
      <c r="A16" s="60" t="inlineStr">
        <is>
          <t>HPg</t>
        </is>
      </c>
      <c r="B16" t="inlineStr">
        <is>
          <t>Halbpergamentband</t>
        </is>
      </c>
    </row>
    <row r="17">
      <c r="A17" s="60" t="inlineStr">
        <is>
          <t>Pg (Mak.)</t>
        </is>
      </c>
      <c r="B17" t="inlineStr">
        <is>
          <t>Pergamentband (Makulatur)</t>
        </is>
      </c>
    </row>
    <row r="18">
      <c r="A18" s="60" t="inlineStr">
        <is>
          <t>oE</t>
        </is>
      </c>
      <c r="B18" t="inlineStr">
        <is>
          <t>ohne Einband (ungebunden)</t>
        </is>
      </c>
    </row>
    <row r="19">
      <c r="A19" s="60" t="inlineStr">
        <is>
          <t>EB</t>
        </is>
      </c>
      <c r="B19" s="60" t="inlineStr">
        <is>
          <t>Einzelblätter</t>
        </is>
      </c>
    </row>
    <row r="21">
      <c r="A21" s="57" t="inlineStr">
        <is>
          <t>Rücken</t>
        </is>
      </c>
    </row>
    <row r="22">
      <c r="A22" s="60" t="inlineStr">
        <is>
          <t>f</t>
        </is>
      </c>
      <c r="B22" s="60" t="inlineStr">
        <is>
          <t>fester Rücken</t>
        </is>
      </c>
    </row>
    <row r="23">
      <c r="A23" s="60" t="inlineStr">
        <is>
          <t>f/V</t>
        </is>
      </c>
      <c r="B23" s="60" t="inlineStr">
        <is>
          <t>fester Rücken mit Vergoldung</t>
        </is>
      </c>
    </row>
    <row r="24">
      <c r="A24" s="60" t="inlineStr">
        <is>
          <t>h</t>
        </is>
      </c>
      <c r="B24" s="60" t="inlineStr">
        <is>
          <t>hohler Rücken</t>
        </is>
      </c>
    </row>
    <row r="25">
      <c r="A25" s="60" t="inlineStr">
        <is>
          <t>h/E</t>
        </is>
      </c>
      <c r="B25" s="60" t="inlineStr">
        <is>
          <t>hohler Rücken mit Einlage</t>
        </is>
      </c>
    </row>
    <row r="27">
      <c r="A27" s="57" t="inlineStr">
        <is>
          <t>Ausstattung</t>
        </is>
      </c>
    </row>
    <row r="28">
      <c r="A28" s="60" t="inlineStr">
        <is>
          <t>K</t>
        </is>
      </c>
      <c r="B28" s="60" t="inlineStr">
        <is>
          <t>Kolorierung</t>
        </is>
      </c>
    </row>
    <row r="29">
      <c r="A29" s="60" t="inlineStr">
        <is>
          <t>B</t>
        </is>
      </c>
      <c r="B29" s="60" t="inlineStr">
        <is>
          <t>Buchmalerei</t>
        </is>
      </c>
    </row>
    <row r="30">
      <c r="A30" s="60" t="inlineStr">
        <is>
          <t>I</t>
        </is>
      </c>
      <c r="B30" s="60" t="inlineStr">
        <is>
          <t>Initalien</t>
        </is>
      </c>
    </row>
    <row r="31">
      <c r="A31" s="60" t="inlineStr">
        <is>
          <t>R</t>
        </is>
      </c>
      <c r="B31" s="60" t="inlineStr">
        <is>
          <t>Rubrikation</t>
        </is>
      </c>
    </row>
    <row r="33">
      <c r="A33" s="57" t="inlineStr">
        <is>
          <t>Öffnungswinkel (ÖW)</t>
        </is>
      </c>
    </row>
    <row r="34">
      <c r="A34" s="60" t="inlineStr">
        <is>
          <t>nur 110</t>
        </is>
      </c>
      <c r="B34" s="60" t="inlineStr">
        <is>
          <t xml:space="preserve">wirklich nur bei 110 digitalisieren, z.B. wegen Schaden, weil kein Einband vorhanden ist o.ä. </t>
        </is>
      </c>
    </row>
    <row r="35" ht="45" customHeight="1" s="58">
      <c r="A35" s="60" t="inlineStr">
        <is>
          <t>max 45/60/110/180</t>
        </is>
      </c>
      <c r="B35" s="61"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58">
      <c r="A37" s="56" t="inlineStr">
        <is>
          <t>Schäden/
Restaurierung</t>
        </is>
      </c>
    </row>
    <row r="38">
      <c r="A38" s="60" t="inlineStr">
        <is>
          <t>v</t>
        </is>
      </c>
      <c r="B38" s="60" t="inlineStr">
        <is>
          <t>vorn</t>
        </is>
      </c>
    </row>
    <row r="39">
      <c r="A39" s="60" t="inlineStr">
        <is>
          <t>h</t>
        </is>
      </c>
      <c r="B39" s="60" t="inlineStr">
        <is>
          <t>hinten</t>
        </is>
      </c>
    </row>
    <row r="40">
      <c r="A40" s="60" t="inlineStr">
        <is>
          <t>VD</t>
        </is>
      </c>
      <c r="B40" s="60" t="inlineStr">
        <is>
          <t>Vorderdeckel</t>
        </is>
      </c>
    </row>
    <row r="41">
      <c r="A41" s="60" t="inlineStr">
        <is>
          <t>RD</t>
        </is>
      </c>
      <c r="B41" s="60" t="inlineStr">
        <is>
          <t>Rückdeckel</t>
        </is>
      </c>
    </row>
    <row r="42">
      <c r="A42" s="60" t="inlineStr">
        <is>
          <t>o</t>
        </is>
      </c>
      <c r="B42" s="60" t="inlineStr">
        <is>
          <t>oben</t>
        </is>
      </c>
    </row>
    <row r="43">
      <c r="A43" s="60" t="inlineStr">
        <is>
          <t>u</t>
        </is>
      </c>
      <c r="B43" s="60"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61" workbookViewId="0">
      <selection activeCell="C72" sqref="C72"/>
    </sheetView>
  </sheetViews>
  <sheetFormatPr baseColWidth="10" defaultColWidth="11" defaultRowHeight="11.4"/>
  <cols>
    <col width="16.69921875" customWidth="1" style="61" min="1" max="1"/>
    <col width="23.69921875" bestFit="1" customWidth="1" style="61" min="2" max="2"/>
    <col width="11" customWidth="1" style="61" min="3" max="4"/>
    <col width="11" customWidth="1" style="61" min="5" max="16384"/>
  </cols>
  <sheetData>
    <row r="1" ht="33.75" customHeight="1" s="58">
      <c r="A1" s="77" t="inlineStr">
        <is>
          <t>Datentransferblatt für III Drucke 1501-1560</t>
        </is>
      </c>
      <c r="B1" s="78" t="n"/>
    </row>
    <row r="2" ht="22.5" customHeight="1" s="58">
      <c r="A2" s="61" t="inlineStr">
        <is>
          <t>Signaturen Gesamtanzahl</t>
        </is>
      </c>
      <c r="B2" s="62" t="n"/>
      <c r="C2" s="61">
        <f>Basis!#REF!</f>
        <v/>
      </c>
    </row>
    <row r="3" ht="22.5" customHeight="1" s="58">
      <c r="A3" s="61" t="inlineStr">
        <is>
          <t>Buchbinderische Einheiten</t>
        </is>
      </c>
      <c r="B3" s="62" t="n"/>
      <c r="C3" s="61">
        <f>Basis!#REF!</f>
        <v/>
      </c>
    </row>
    <row r="4" ht="33.75" customHeight="1" s="58">
      <c r="A4" s="61" t="inlineStr">
        <is>
          <t>Anzahl geprüfte Bücher durch Thomschke</t>
        </is>
      </c>
      <c r="B4" s="62" t="n"/>
      <c r="C4" s="61">
        <f>Basis!#REF!</f>
        <v/>
      </c>
    </row>
    <row r="5" ht="22.5" customHeight="1" s="58">
      <c r="A5" s="61" t="inlineStr">
        <is>
          <t>nicht
am Standort (DA)</t>
        </is>
      </c>
      <c r="B5" s="62" t="n"/>
      <c r="C5" s="61">
        <f>Basis!#REF!</f>
        <v/>
      </c>
    </row>
    <row r="6">
      <c r="A6" s="61" t="inlineStr">
        <is>
          <t>Format</t>
        </is>
      </c>
      <c r="B6" s="62" t="inlineStr">
        <is>
          <t>bis 25 cm</t>
        </is>
      </c>
      <c r="C6" s="61">
        <f>Basis!#REF!</f>
        <v/>
      </c>
    </row>
    <row r="7">
      <c r="B7" s="62" t="inlineStr">
        <is>
          <t>bis 35 cm</t>
        </is>
      </c>
      <c r="C7" s="61">
        <f>Basis!#REF!</f>
        <v/>
      </c>
    </row>
    <row r="8">
      <c r="B8" s="62" t="inlineStr">
        <is>
          <t>bis 42 cm</t>
        </is>
      </c>
      <c r="C8" s="61">
        <f>Basis!#REF!</f>
        <v/>
      </c>
    </row>
    <row r="9">
      <c r="B9" s="62" t="inlineStr">
        <is>
          <t>&gt; 42 cm</t>
        </is>
      </c>
      <c r="C9" s="61">
        <f>Basis!#REF!</f>
        <v/>
      </c>
    </row>
    <row r="10">
      <c r="A10" s="61" t="inlineStr">
        <is>
          <t>Anzahl Überformat</t>
        </is>
      </c>
      <c r="B10" s="62" t="n"/>
      <c r="C10" s="61">
        <f>Basis!#REF!</f>
        <v/>
      </c>
    </row>
    <row r="11">
      <c r="A11" s="61" t="inlineStr">
        <is>
          <t>Anzahl Querformat</t>
        </is>
      </c>
      <c r="B11" s="62" t="n"/>
      <c r="C11" s="61">
        <f>Basis!#REF!</f>
        <v/>
      </c>
    </row>
    <row r="12" ht="22.5" customHeight="1" s="58">
      <c r="A12" s="61" t="inlineStr">
        <is>
          <t>Dicke
(&gt;12 cm)</t>
        </is>
      </c>
      <c r="B12" s="62" t="n"/>
      <c r="C12" s="61">
        <f>Basis!#REF!</f>
        <v/>
      </c>
    </row>
    <row r="13" ht="22.5" customHeight="1" s="58">
      <c r="A13" s="61" t="inlineStr">
        <is>
          <t>12° Format
(&lt;15 cm)</t>
        </is>
      </c>
      <c r="B13" s="62" t="n"/>
      <c r="C13" s="61">
        <f>Basis!#REF!</f>
        <v/>
      </c>
    </row>
    <row r="14">
      <c r="A14" s="61" t="inlineStr">
        <is>
          <t>Einbandart</t>
        </is>
      </c>
      <c r="B14" s="78" t="inlineStr">
        <is>
          <t>Papier- oder Pappeinband</t>
        </is>
      </c>
      <c r="C14" s="61">
        <f>Basis!#REF!</f>
        <v/>
      </c>
    </row>
    <row r="15">
      <c r="B15" s="78" t="inlineStr">
        <is>
          <t>Broschur</t>
        </is>
      </c>
      <c r="C15" s="61">
        <f>Basis!#REF!</f>
        <v/>
      </c>
    </row>
    <row r="16">
      <c r="B16" s="78" t="inlineStr">
        <is>
          <t>Gewebeeinband</t>
        </is>
      </c>
      <c r="C16" s="61">
        <f>Basis!#REF!</f>
        <v/>
      </c>
    </row>
    <row r="17">
      <c r="B17" s="78" t="inlineStr">
        <is>
          <t>Halbgewebeband</t>
        </is>
      </c>
      <c r="C17" s="61">
        <f>Basis!#REF!</f>
        <v/>
      </c>
    </row>
    <row r="18">
      <c r="B18" s="63" t="inlineStr">
        <is>
          <t>Holzdeckelband</t>
        </is>
      </c>
      <c r="C18" s="61">
        <f>Basis!#REF!</f>
        <v/>
      </c>
    </row>
    <row r="19">
      <c r="B19" s="78" t="inlineStr">
        <is>
          <t>Ledereinband</t>
        </is>
      </c>
      <c r="C19" s="61">
        <f>Basis!#REF!</f>
        <v/>
      </c>
    </row>
    <row r="20">
      <c r="B20" s="78" t="inlineStr">
        <is>
          <t>Halbledereinband</t>
        </is>
      </c>
      <c r="C20" s="61">
        <f>Basis!#REF!</f>
        <v/>
      </c>
    </row>
    <row r="21">
      <c r="B21" s="78" t="inlineStr">
        <is>
          <t>Pergamentband</t>
        </is>
      </c>
      <c r="C21" s="64">
        <f>Basis!#REF!</f>
        <v/>
      </c>
    </row>
    <row r="22">
      <c r="B22" s="78" t="inlineStr">
        <is>
          <t>Halbpergamentband</t>
        </is>
      </c>
      <c r="C22" s="64">
        <f>Basis!#REF!</f>
        <v/>
      </c>
    </row>
    <row r="23">
      <c r="B23" s="78" t="inlineStr">
        <is>
          <t>Pergamentband (Makulatur)</t>
        </is>
      </c>
      <c r="C23" s="64">
        <f>Basis!#REF!</f>
        <v/>
      </c>
    </row>
    <row r="24">
      <c r="B24" s="78" t="inlineStr">
        <is>
          <t>ohne Einband (ungebunden)</t>
        </is>
      </c>
      <c r="C24" s="61">
        <f>Basis!#REF!</f>
        <v/>
      </c>
    </row>
    <row r="25">
      <c r="B25" s="63" t="inlineStr">
        <is>
          <t>Einzelblätter</t>
        </is>
      </c>
      <c r="C25" s="61">
        <f>Basis!#REF!</f>
        <v/>
      </c>
    </row>
    <row r="26">
      <c r="B26" s="63" t="inlineStr">
        <is>
          <t>Besonderheiten (z.B. Perlen)</t>
        </is>
      </c>
    </row>
    <row r="27" ht="22.5" customHeight="1" s="58">
      <c r="A27" s="61" t="inlineStr">
        <is>
          <t>Einband überformt (ganz od. teilweise)</t>
        </is>
      </c>
      <c r="B27" s="62" t="n"/>
      <c r="C27" s="61">
        <f>Basis!#REF!</f>
        <v/>
      </c>
    </row>
    <row r="28" ht="22.5" customHeight="1" s="58">
      <c r="A28" s="61" t="inlineStr">
        <is>
          <t>Buch bereits restauriert</t>
        </is>
      </c>
      <c r="B28" s="62" t="n"/>
      <c r="C28" s="61">
        <f>Basis!#REF!</f>
        <v/>
      </c>
    </row>
    <row r="29" ht="33.75" customHeight="1" s="58">
      <c r="A29" s="61" t="inlineStr">
        <is>
          <t>fester Rücken (mit und ohne Vergoldung)</t>
        </is>
      </c>
      <c r="B29" s="62" t="n"/>
      <c r="C29" s="61">
        <f>Basis!#REF!</f>
        <v/>
      </c>
    </row>
    <row r="30" ht="22.5" customHeight="1" s="58">
      <c r="A30" s="61" t="inlineStr">
        <is>
          <t>hohler Rücken (mit und ohne Einlage)</t>
        </is>
      </c>
      <c r="B30" s="62" t="n"/>
      <c r="C30" s="61">
        <f>Basis!#REF!</f>
        <v/>
      </c>
    </row>
    <row r="31" ht="22.5" customHeight="1" s="58">
      <c r="A31" s="61" t="inlineStr">
        <is>
          <t>Stehkanten
(bei Perg.)</t>
        </is>
      </c>
      <c r="B31" s="62" t="n"/>
      <c r="C31" s="61">
        <f>Basis!#REF!</f>
        <v/>
      </c>
    </row>
    <row r="32" ht="33.75" customHeight="1" s="58">
      <c r="A32" s="61" t="inlineStr">
        <is>
          <t>Leder pudert ab/
roter Zerfall (extrem)</t>
        </is>
      </c>
      <c r="B32" s="62" t="n"/>
      <c r="C32" s="61">
        <f>Basis!#REF!</f>
        <v/>
      </c>
    </row>
    <row r="33" ht="22.5" customHeight="1" s="58">
      <c r="A33" s="61" t="inlineStr">
        <is>
          <t>Einband stark deformiert</t>
        </is>
      </c>
      <c r="B33" s="62" t="n"/>
      <c r="C33" s="61">
        <f>Basis!#REF!</f>
        <v/>
      </c>
    </row>
    <row r="34" ht="22.5" customHeight="1" s="58">
      <c r="A34" s="61" t="inlineStr">
        <is>
          <t>Beschläge bes. auftragend</t>
        </is>
      </c>
      <c r="B34" s="62" t="n"/>
      <c r="C34" s="61">
        <f>Basis!#REF!</f>
        <v/>
      </c>
    </row>
    <row r="35">
      <c r="A35" s="61" t="inlineStr">
        <is>
          <t>Buchschließe steif</t>
        </is>
      </c>
      <c r="B35" s="62" t="n"/>
      <c r="C35" s="61">
        <f>Basis!#REF!</f>
        <v/>
      </c>
    </row>
    <row r="36">
      <c r="A36" s="61" t="inlineStr">
        <is>
          <t>Buchblock</t>
        </is>
      </c>
      <c r="B36" s="62" t="inlineStr">
        <is>
          <t>Papier</t>
        </is>
      </c>
      <c r="C36" s="61">
        <f>Basis!#REF!</f>
        <v/>
      </c>
    </row>
    <row r="37">
      <c r="B37" s="62" t="inlineStr">
        <is>
          <t>Pergament</t>
        </is>
      </c>
      <c r="C37" s="64">
        <f>Basis!#REF!</f>
        <v/>
      </c>
    </row>
    <row r="38" ht="22.5" customHeight="1" s="58">
      <c r="A38" s="61" t="inlineStr">
        <is>
          <t>saures
Fülmaterial</t>
        </is>
      </c>
      <c r="B38" s="62" t="n"/>
      <c r="C38" s="61">
        <f>Basis!#REF!</f>
        <v/>
      </c>
    </row>
    <row r="39">
      <c r="A39" s="61" t="inlineStr">
        <is>
          <t>Registermarken</t>
        </is>
      </c>
      <c r="B39" s="62" t="n"/>
      <c r="C39" s="61">
        <f>Basis!#REF!</f>
        <v/>
      </c>
    </row>
    <row r="40">
      <c r="A40" s="61" t="inlineStr">
        <is>
          <t>seitliche Heftung</t>
        </is>
      </c>
      <c r="B40" s="62" t="n"/>
      <c r="C40" s="61">
        <f>Basis!#REF!</f>
        <v/>
      </c>
    </row>
    <row r="41" ht="22.5" customHeight="1" s="58">
      <c r="A41" s="61" t="inlineStr">
        <is>
          <t>Buchblock sehr wellig</t>
        </is>
      </c>
      <c r="B41" s="62" t="n"/>
      <c r="C41" s="61">
        <f>Basis!#REF!</f>
        <v/>
      </c>
    </row>
    <row r="42" ht="22.5" customHeight="1" s="58">
      <c r="A42" s="61" t="inlineStr">
        <is>
          <t>Buchblock neigt zum "Bauch"</t>
        </is>
      </c>
      <c r="B42" s="62" t="n"/>
      <c r="C42" s="61">
        <f>Basis!#REF!</f>
        <v/>
      </c>
    </row>
    <row r="43" ht="22.5" customHeight="1" s="58">
      <c r="A43" s="61" t="inlineStr">
        <is>
          <t>geschlossene Lagen</t>
        </is>
      </c>
      <c r="B43" s="62" t="n"/>
      <c r="C43" s="61">
        <f>Basis!#REF!</f>
        <v/>
      </c>
    </row>
    <row r="44" ht="22.5" customHeight="1" s="58">
      <c r="A44" s="61" t="inlineStr">
        <is>
          <t>Anzahl Bücher mit Falttafeln</t>
        </is>
      </c>
      <c r="B44" s="62" t="n"/>
      <c r="C44" s="61">
        <f>Basis!#REF!</f>
        <v/>
      </c>
    </row>
    <row r="45" ht="22.5" customHeight="1" s="58">
      <c r="A45" s="61" t="inlineStr">
        <is>
          <t>Größe Buch+
Falttafeln (BxH)</t>
        </is>
      </c>
      <c r="B45" s="62" t="n"/>
    </row>
    <row r="46">
      <c r="A46" s="61" t="inlineStr">
        <is>
          <t>Originalgrafik</t>
        </is>
      </c>
      <c r="B46" s="62" t="n"/>
      <c r="C46" s="61">
        <f>Basis!#REF!</f>
        <v/>
      </c>
    </row>
    <row r="47" ht="45" customHeight="1" s="58">
      <c r="A47" s="61" t="inlineStr">
        <is>
          <t>Kolorierung / Buchmalerei / Initialen / Rubrikation</t>
        </is>
      </c>
      <c r="B47" s="62" t="n"/>
      <c r="C47" s="61">
        <f>Basis!#REF!</f>
        <v/>
      </c>
    </row>
    <row r="48" ht="22.5" customHeight="1" s="58">
      <c r="A48" s="61" t="inlineStr">
        <is>
          <t>berührungsfreie Digit.</t>
        </is>
      </c>
      <c r="B48" s="62" t="n"/>
      <c r="C48" s="61">
        <f>Basis!#REF!</f>
        <v/>
      </c>
    </row>
    <row r="49" ht="33.75" customHeight="1" s="58">
      <c r="A49" s="61" t="inlineStr">
        <is>
          <t>Schrift weit bis in den Falz (Bundsteg in mm) Textverlust</t>
        </is>
      </c>
      <c r="B49" s="62" t="n"/>
      <c r="C49" s="61">
        <f>Basis!#REF!</f>
        <v/>
      </c>
    </row>
    <row r="50" ht="33.75" customHeight="1" s="58">
      <c r="A50" s="61" t="inlineStr">
        <is>
          <t>nicht digitalisierbar wegen Bundsteg (vorraussichtlich)</t>
        </is>
      </c>
      <c r="B50" s="62" t="n"/>
    </row>
    <row r="51" ht="22.5" customHeight="1" s="58">
      <c r="A51" s="61" t="inlineStr">
        <is>
          <t>max. Öffnungswinkel</t>
        </is>
      </c>
      <c r="B51" s="62" t="n">
        <v>0</v>
      </c>
      <c r="C51" s="61">
        <f>Basis!#REF!</f>
        <v/>
      </c>
    </row>
    <row r="52">
      <c r="B52" s="62" t="n">
        <v>45</v>
      </c>
      <c r="C52" s="61">
        <f>Basis!#REF!</f>
        <v/>
      </c>
    </row>
    <row r="53">
      <c r="B53" s="62" t="inlineStr">
        <is>
          <t>max 45</t>
        </is>
      </c>
      <c r="C53" s="61">
        <f>Basis!#REF!</f>
        <v/>
      </c>
    </row>
    <row r="54">
      <c r="B54" s="62" t="n">
        <v>60</v>
      </c>
      <c r="C54" s="61">
        <f>Basis!#REF!</f>
        <v/>
      </c>
    </row>
    <row r="55">
      <c r="B55" s="62" t="inlineStr">
        <is>
          <t>max 60</t>
        </is>
      </c>
      <c r="C55" s="61">
        <f>Basis!#REF!</f>
        <v/>
      </c>
    </row>
    <row r="56">
      <c r="B56" s="62" t="n">
        <v>80</v>
      </c>
      <c r="C56" s="61">
        <f>Basis!#REF!</f>
        <v/>
      </c>
    </row>
    <row r="57">
      <c r="B57" s="62" t="inlineStr">
        <is>
          <t>max 80</t>
        </is>
      </c>
      <c r="C57" s="61">
        <f>Basis!#REF!</f>
        <v/>
      </c>
    </row>
    <row r="58">
      <c r="B58" s="62" t="n">
        <v>110</v>
      </c>
      <c r="C58" s="61">
        <f>Basis!#REF!</f>
        <v/>
      </c>
    </row>
    <row r="59">
      <c r="B59" s="62" t="inlineStr">
        <is>
          <t>max 110</t>
        </is>
      </c>
      <c r="C59" s="61">
        <f>Basis!#REF!</f>
        <v/>
      </c>
    </row>
    <row r="60">
      <c r="B60" s="62" t="inlineStr">
        <is>
          <t>nur 110</t>
        </is>
      </c>
      <c r="C60" s="61">
        <f>Basis!#REF!</f>
        <v/>
      </c>
    </row>
    <row r="61">
      <c r="B61" s="62" t="n">
        <v>180</v>
      </c>
      <c r="C61" s="61">
        <f>Basis!#REF!</f>
        <v/>
      </c>
    </row>
    <row r="62">
      <c r="B62" s="62" t="inlineStr">
        <is>
          <t>max 180</t>
        </is>
      </c>
      <c r="C62" s="61">
        <f>Basis!#REF!</f>
        <v/>
      </c>
    </row>
    <row r="63">
      <c r="A63" s="61" t="inlineStr">
        <is>
          <t>Digit. mit Begleitung</t>
        </is>
      </c>
      <c r="B63" s="62" t="n"/>
      <c r="C63" s="61">
        <f>Basis!#REF!</f>
        <v/>
      </c>
    </row>
    <row r="64" ht="33.75" customHeight="1" s="58">
      <c r="A64" s="61" t="inlineStr">
        <is>
          <t>Verschmutzung (Vorsatz / Ränder /
ges. BB)</t>
        </is>
      </c>
      <c r="B64" s="62" t="n"/>
      <c r="C64" s="61">
        <f>Basis!#REF!</f>
        <v/>
      </c>
    </row>
    <row r="65">
      <c r="A65" s="61" t="inlineStr">
        <is>
          <t>mikrobieller Befall</t>
        </is>
      </c>
      <c r="B65" s="62" t="n"/>
      <c r="C65" s="61">
        <f>Basis!#REF!</f>
        <v/>
      </c>
    </row>
    <row r="66" ht="22.5" customHeight="1" s="58">
      <c r="A66" s="61" t="inlineStr">
        <is>
          <t>Rest.-Bericht eingeklebt</t>
        </is>
      </c>
      <c r="B66" s="62" t="n"/>
      <c r="C66" s="61">
        <f>Basis!#REF!</f>
        <v/>
      </c>
    </row>
    <row r="67" ht="33.75" customHeight="1" s="58">
      <c r="A67" s="61" t="inlineStr">
        <is>
          <t xml:space="preserve">Blatt mit Notizen zum Buch eingeklebt </t>
        </is>
      </c>
      <c r="B67" s="62" t="n"/>
      <c r="C67" s="61">
        <f>Basis!#REF!</f>
        <v/>
      </c>
    </row>
    <row r="68" ht="22.5" customHeight="1" s="58">
      <c r="A68" s="61" t="inlineStr">
        <is>
          <t>Rest.
notwendig</t>
        </is>
      </c>
      <c r="B68" s="62" t="inlineStr">
        <is>
          <t>gesamt</t>
        </is>
      </c>
      <c r="C68" s="61">
        <f>Basis!#REF!</f>
        <v/>
      </c>
    </row>
    <row r="69">
      <c r="B69" s="62" t="inlineStr">
        <is>
          <t>vor Digit.</t>
        </is>
      </c>
      <c r="C69" s="61">
        <f>Basis!#REF!</f>
        <v/>
      </c>
    </row>
    <row r="70">
      <c r="B70" s="62" t="inlineStr">
        <is>
          <t>nach Digit.</t>
        </is>
      </c>
      <c r="C70" s="61">
        <f>Basis!#REF!</f>
        <v/>
      </c>
    </row>
    <row r="71">
      <c r="B71" s="62" t="inlineStr">
        <is>
          <t>vor und nach Digit.</t>
        </is>
      </c>
      <c r="C71" s="61">
        <f>Basis!#REF!</f>
        <v/>
      </c>
    </row>
    <row r="72">
      <c r="B72" s="62" t="inlineStr">
        <is>
          <t>ja ÖW=0</t>
        </is>
      </c>
      <c r="C72" s="61">
        <f>Basis!#REF!</f>
        <v/>
      </c>
    </row>
    <row r="73" ht="33.75" customHeight="1" s="58">
      <c r="A73" s="61" t="inlineStr">
        <is>
          <t>Rest.-Aufwand gesamt
(in Std.)</t>
        </is>
      </c>
      <c r="B73" s="62" t="n"/>
      <c r="C73" s="65">
        <f>Basis!#REF!</f>
        <v/>
      </c>
    </row>
    <row r="74" ht="22.5" customHeight="1" s="58">
      <c r="A74" s="61" t="inlineStr">
        <is>
          <t>Anzahl erfolgter Restaurierung</t>
        </is>
      </c>
      <c r="B74" s="62" t="n"/>
      <c r="C74" s="61">
        <f>Basis!#REF!</f>
        <v/>
      </c>
    </row>
    <row r="75">
      <c r="A75" s="61" t="inlineStr">
        <is>
          <t>Kassette</t>
        </is>
      </c>
      <c r="B75" s="62" t="n"/>
      <c r="C75" s="61">
        <f>Basis!#REF!</f>
        <v/>
      </c>
    </row>
    <row r="76">
      <c r="A76" s="61" t="inlineStr">
        <is>
          <t>Schuber</t>
        </is>
      </c>
      <c r="B76" s="62" t="n"/>
      <c r="C76" s="61">
        <f>Basis!#REF!</f>
        <v/>
      </c>
    </row>
    <row r="77">
      <c r="A77" s="61" t="inlineStr">
        <is>
          <t>Buchschuh</t>
        </is>
      </c>
      <c r="B77" s="62" t="n"/>
      <c r="C77" s="61">
        <f>Basis!#REF!</f>
        <v/>
      </c>
    </row>
    <row r="78">
      <c r="A78" s="61" t="inlineStr">
        <is>
          <t xml:space="preserve">Mappe </t>
        </is>
      </c>
      <c r="B78" s="62" t="n"/>
      <c r="C78" s="61">
        <f>Basis!#REF!</f>
        <v/>
      </c>
    </row>
    <row r="79">
      <c r="A79" s="61" t="inlineStr">
        <is>
          <t>Umschlag</t>
        </is>
      </c>
      <c r="B79" s="62" t="n"/>
      <c r="C79" s="61">
        <f>Basis!#REF!</f>
        <v/>
      </c>
      <c r="D79" s="61">
        <f>C79-Basis!#REF!</f>
        <v/>
      </c>
    </row>
    <row r="80">
      <c r="A80" s="61" t="inlineStr">
        <is>
          <t>SB neu</t>
        </is>
      </c>
      <c r="B80" s="62" t="n"/>
      <c r="C80" s="61">
        <f>Basis!#REF!</f>
        <v/>
      </c>
    </row>
    <row r="81" ht="22.5" customHeight="1" s="58">
      <c r="A81" s="61" t="inlineStr">
        <is>
          <t>Anmerkungen (allg.)</t>
        </is>
      </c>
      <c r="B81" s="62" t="n"/>
      <c r="C81" s="61">
        <f>Basis!#REF!</f>
        <v/>
      </c>
    </row>
    <row r="82" ht="22.5" customHeight="1" s="58">
      <c r="A82" s="61" t="inlineStr">
        <is>
          <t>für Testphase
vorsehen</t>
        </is>
      </c>
      <c r="B82" s="62" t="inlineStr">
        <is>
          <t>gesamt</t>
        </is>
      </c>
      <c r="C82" s="61">
        <f>Basis!#REF!</f>
        <v/>
      </c>
    </row>
    <row r="83">
      <c r="B83" s="62" t="inlineStr">
        <is>
          <t>Öffnungswinkel 45</t>
        </is>
      </c>
      <c r="C83" s="61">
        <f>Basis!#REF!</f>
        <v/>
      </c>
    </row>
    <row r="84">
      <c r="B84" s="62" t="inlineStr">
        <is>
          <t>Öffnungswinkel 110</t>
        </is>
      </c>
      <c r="C84" s="61">
        <f>Basis!#REF!</f>
        <v/>
      </c>
    </row>
    <row r="85" ht="22.5" customHeight="1" s="58">
      <c r="A85" s="61" t="inlineStr">
        <is>
          <t>Schutzbehältnis empfohlen</t>
        </is>
      </c>
      <c r="B85" s="62"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E20" sqref="E20:E23"/>
    </sheetView>
  </sheetViews>
  <sheetFormatPr baseColWidth="10" defaultRowHeight="11.4"/>
  <cols>
    <col width="62.19921875" customWidth="1" style="58" min="2" max="2"/>
    <col width="44.59765625" customWidth="1" style="58" min="3" max="3"/>
    <col width="34.3984375" customWidth="1" style="58" min="4" max="4"/>
    <col width="36.19921875" customWidth="1" style="58" min="6" max="6"/>
  </cols>
  <sheetData>
    <row r="1" ht="14.25" customHeight="1" s="5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58">
      <c r="A54" s="44" t="n">
        <v>0</v>
      </c>
      <c r="B54" s="45" t="inlineStr">
        <is>
          <t>Objekt ist vollständig benutzbar</t>
        </is>
      </c>
      <c r="D54" s="41" t="n"/>
      <c r="E54" s="41" t="n"/>
      <c r="F54" s="41" t="n"/>
    </row>
    <row r="55" ht="12.75" customHeight="1" s="58">
      <c r="A55" s="44" t="n">
        <v>1</v>
      </c>
      <c r="B55" s="45" t="inlineStr">
        <is>
          <t>eingeschränkte Benutzbarkeit, geringer Reparaturaufwand</t>
        </is>
      </c>
      <c r="D55" s="41" t="n"/>
      <c r="E55" s="41" t="n"/>
      <c r="F55" s="41" t="n"/>
    </row>
    <row r="56" ht="27.75" customHeight="1" s="58">
      <c r="A56" s="44" t="n">
        <v>2</v>
      </c>
      <c r="B56" s="45" t="inlineStr">
        <is>
          <t>eingeschränkte Benutzbarkeit, hoher Reparaturaufwand</t>
        </is>
      </c>
      <c r="D56" s="41" t="n"/>
      <c r="E56" s="41" t="n"/>
      <c r="F56" s="41" t="n"/>
    </row>
    <row r="57" ht="24.75" customHeight="1" s="5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58">
      <c r="A63" s="43" t="n"/>
      <c r="B63" s="43" t="n"/>
      <c r="C63" s="42" t="n"/>
    </row>
    <row r="64" ht="12.75" customHeight="1" s="58">
      <c r="A64" s="43" t="n"/>
      <c r="B64" s="49" t="n"/>
      <c r="C64" s="42" t="n"/>
    </row>
    <row r="65" ht="12.75" customHeight="1" s="58">
      <c r="C65" s="42" t="n"/>
    </row>
    <row r="66" ht="12.75" customHeight="1" s="5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cols>
    <col width="16" customWidth="1" style="58" min="1" max="1"/>
    <col width="11" customWidth="1" style="12" min="2" max="3"/>
    <col width="12.19921875" customWidth="1" style="12" min="4" max="4"/>
    <col width="11" customWidth="1" style="12" min="5" max="5"/>
    <col width="28.09765625" customWidth="1" style="15" min="6" max="6"/>
    <col width="4.69921875" customWidth="1" style="58" min="7" max="7"/>
    <col width="2.5" customWidth="1" style="58" min="13" max="13"/>
  </cols>
  <sheetData>
    <row r="1" ht="14.25" customHeight="1" s="5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58">
      <c r="A18" s="5" t="n"/>
      <c r="B18" s="21" t="n"/>
      <c r="C18" s="20" t="n"/>
      <c r="D18" s="24" t="n"/>
    </row>
    <row r="19" ht="12.75" customHeight="1" s="58">
      <c r="A19" s="6" t="n"/>
      <c r="B19" s="22" t="n"/>
      <c r="C19" s="17" t="n"/>
      <c r="D19" s="25" t="n"/>
    </row>
    <row r="20" ht="12.75" customHeight="1" s="58">
      <c r="A20" s="6" t="n"/>
      <c r="B20" s="22" t="n"/>
      <c r="C20" s="17" t="n"/>
      <c r="D20" s="25" t="n"/>
    </row>
    <row r="21" ht="12.75" customHeight="1" s="58">
      <c r="A21" s="6" t="n"/>
      <c r="B21" s="22" t="n"/>
      <c r="C21" s="17" t="n"/>
      <c r="D21" s="25" t="n"/>
    </row>
    <row r="22" ht="12.75" customHeight="1" s="58">
      <c r="A22" s="6" t="n"/>
      <c r="B22" s="22" t="n"/>
      <c r="C22" s="17" t="n"/>
      <c r="D22" s="25" t="n"/>
    </row>
    <row r="23" ht="12.75" customHeight="1" s="58">
      <c r="A23" s="6" t="n"/>
      <c r="B23" s="22" t="n"/>
      <c r="C23" s="17" t="n"/>
      <c r="D23" s="25" t="n"/>
    </row>
    <row r="24" ht="12.75" customHeight="1" s="58">
      <c r="A24" s="6" t="n"/>
      <c r="B24" s="22" t="n"/>
      <c r="C24" s="17" t="n"/>
      <c r="D24" s="25" t="n"/>
    </row>
    <row r="25" ht="12.75" customHeight="1" s="58">
      <c r="A25" s="6" t="n"/>
      <c r="B25" s="22" t="n"/>
      <c r="C25" s="17" t="n"/>
      <c r="D25" s="25" t="n"/>
    </row>
    <row r="26" ht="12.75" customHeight="1" s="58">
      <c r="A26" s="7" t="n"/>
      <c r="B26" s="23" t="n"/>
      <c r="C26" s="18" t="n"/>
      <c r="D26" s="26" t="n"/>
    </row>
    <row r="27">
      <c r="B27" s="19" t="n"/>
      <c r="C27" s="19" t="n"/>
      <c r="D27" s="15" t="n"/>
    </row>
    <row r="28">
      <c r="A28" s="39" t="n"/>
      <c r="B28" s="36" t="n"/>
      <c r="C28" s="38" t="n"/>
      <c r="D28" s="35" t="n"/>
    </row>
    <row r="29" ht="12.75" customHeight="1" s="58">
      <c r="A29" s="5" t="n"/>
      <c r="B29" s="21" t="n"/>
      <c r="C29" s="20" t="n"/>
      <c r="D29" s="24" t="n"/>
    </row>
    <row r="30" ht="12.75" customHeight="1" s="58">
      <c r="A30" s="6" t="n"/>
      <c r="B30" s="22" t="n"/>
      <c r="C30" s="17" t="n"/>
      <c r="D30" s="25" t="n"/>
    </row>
    <row r="31" ht="12.75" customHeight="1" s="58">
      <c r="A31" s="6" t="n"/>
      <c r="B31" s="22" t="n"/>
      <c r="C31" s="17" t="n"/>
      <c r="D31" s="25" t="n"/>
    </row>
    <row r="32" ht="12.75" customHeight="1" s="58">
      <c r="A32" s="6" t="n"/>
      <c r="B32" s="22" t="n"/>
      <c r="C32" s="17" t="n"/>
      <c r="D32" s="25" t="n"/>
    </row>
    <row r="33" ht="12.75" customHeight="1" s="58">
      <c r="A33" s="6" t="n"/>
      <c r="B33" s="22" t="n"/>
      <c r="C33" s="17" t="n"/>
      <c r="D33" s="25" t="n"/>
    </row>
    <row r="34" ht="12.75" customHeight="1" s="58">
      <c r="A34" s="6" t="n"/>
      <c r="B34" s="22" t="n"/>
      <c r="C34" s="17" t="n"/>
      <c r="D34" s="25" t="n"/>
    </row>
    <row r="35" ht="12.75" customHeight="1" s="58">
      <c r="A35" s="6" t="n"/>
      <c r="B35" s="22" t="n"/>
      <c r="C35" s="17" t="n"/>
      <c r="D35" s="25" t="n"/>
    </row>
    <row r="36" ht="12.75" customHeight="1" s="58">
      <c r="A36" s="6" t="n"/>
      <c r="B36" s="22" t="n"/>
      <c r="C36" s="17" t="n"/>
      <c r="D36" s="25" t="n"/>
    </row>
    <row r="37" ht="12.75" customHeight="1" s="5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2022-11-25T17:29:02Z</dcterms:modified>
  <cp:lastModifiedBy>Wendler, André</cp:lastModifiedBy>
  <cp:lastPrinted>2022-06-14T10:14:52Z</cp:lastPrinted>
</cp:coreProperties>
</file>